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5" autoFilterDateGrouping="1"/>
  </bookViews>
  <sheets>
    <sheet name="CONTROL" sheetId="1" state="visible" r:id="rId1"/>
    <sheet name="SEM 1" sheetId="2" state="visible" r:id="rId2"/>
    <sheet name="6-9-26" sheetId="3" state="visible" r:id="rId3"/>
    <sheet name="SEM 2" sheetId="4" state="visible" r:id="rId4"/>
    <sheet name="13-9-26" sheetId="5" state="visible" r:id="rId5"/>
    <sheet name="SEM 3" sheetId="6" state="visible" r:id="rId6"/>
    <sheet name="20-9-26" sheetId="7" state="visible" r:id="rId7"/>
    <sheet name="19-09-2026" sheetId="8" state="visible" r:id="rId8"/>
  </sheets>
  <externalReferences>
    <externalReference r:id="rId9"/>
    <externalReference r:id="rId10"/>
  </externalReferences>
  <definedNames>
    <definedName name="_xlnm.Print_Area" localSheetId="1">'SEM 1'!$A$1:$CW$62</definedName>
    <definedName name="_xlnm.Print_Area" localSheetId="2">'6-9-26'!$A$1:$R$97</definedName>
    <definedName name="_xlnm.Print_Area" localSheetId="3">'SEM 2'!$A$1:$CW$62</definedName>
    <definedName name="_xlnm.Print_Area" localSheetId="4">'13-9-26'!$A$1:$R$151</definedName>
    <definedName name="_xlnm.Print_Area" localSheetId="5">'SEM 3'!$A$1:$CW$62</definedName>
    <definedName name="_xlnm.Print_Area" localSheetId="6">'20-9-26'!$A$1:$R$151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 * #,##0.0_ ;_ * \-#,##0.0_ ;_ * &quot;-&quot;?_ ;_ @_ "/>
    <numFmt numFmtId="165" formatCode="&quot;CARRERA&quot;\ 0"/>
    <numFmt numFmtId="166" formatCode="_ * #,##0.00_ ;_ * \-#,##0.00_ ;_ * &quot;-&quot;??_ ;_ @_ "/>
    <numFmt numFmtId="167" formatCode="&quot;COD&quot;\ 00"/>
    <numFmt numFmtId="168" formatCode="0.0"/>
    <numFmt numFmtId="169" formatCode="_ * #,##0_ ;_ * \-#,##0_ ;_ * &quot;-&quot;_ ;_ @_ "/>
    <numFmt numFmtId="170" formatCode="&quot;COD &quot;0"/>
    <numFmt numFmtId="171" formatCode="0&quot;C&quot;"/>
    <numFmt numFmtId="172" formatCode="&quot;CARRERA &quot;0"/>
  </numFmts>
  <fonts count="9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20"/>
      <scheme val="minor"/>
    </font>
    <font>
      <name val="Aptos Narrow"/>
      <family val="2"/>
      <b val="1"/>
      <color theme="0"/>
      <sz val="18"/>
      <scheme val="minor"/>
    </font>
    <font>
      <name val="Bahnschrift SemiCondensed"/>
      <family val="2"/>
      <b val="1"/>
      <color rgb="FF002060"/>
      <sz val="14"/>
    </font>
    <font>
      <name val="Bahnschrift SemiCondensed"/>
      <family val="2"/>
      <color theme="0"/>
      <sz val="9"/>
    </font>
    <font>
      <name val="Aptos Narrow"/>
      <family val="2"/>
      <b val="1"/>
      <color theme="0"/>
      <sz val="14"/>
      <scheme val="minor"/>
    </font>
    <font>
      <name val="Aptos Narrow"/>
      <family val="2"/>
      <color theme="1"/>
      <sz val="14"/>
      <scheme val="minor"/>
    </font>
    <font>
      <name val="Bahnschrift SemiCondensed"/>
      <family val="2"/>
      <color theme="1"/>
      <sz val="11"/>
    </font>
    <font>
      <name val="Bahnschrift SemiCondensed"/>
      <family val="2"/>
      <color theme="0"/>
      <sz val="14"/>
    </font>
    <font>
      <name val="Aptos Narrow"/>
      <family val="2"/>
      <b val="1"/>
      <color rgb="FF002060"/>
      <sz val="14"/>
      <scheme val="minor"/>
    </font>
    <font>
      <name val="Aptos Narrow"/>
      <family val="2"/>
      <b val="1"/>
      <color rgb="FFFFFF00"/>
      <sz val="14"/>
      <scheme val="minor"/>
    </font>
    <font>
      <name val="Bahnschrift SemiCondensed"/>
      <family val="2"/>
      <color rgb="FFFFFF00"/>
      <sz val="14"/>
    </font>
    <font>
      <name val="Bahnschrift SemiCondensed"/>
      <family val="2"/>
      <color theme="0"/>
      <sz val="10"/>
    </font>
    <font>
      <name val="Bahnschrift SemiCondensed"/>
      <family val="2"/>
      <color theme="0"/>
      <sz val="11"/>
    </font>
    <font>
      <name val="Bahnschrift SemiCondensed"/>
      <family val="2"/>
      <b val="1"/>
      <color theme="0"/>
      <sz val="10"/>
    </font>
    <font>
      <name val="Aptos Narrow"/>
      <family val="2"/>
      <b val="1"/>
      <color theme="0"/>
      <sz val="12"/>
      <scheme val="minor"/>
    </font>
    <font>
      <name val="Bahnschrift SemiCondensed"/>
      <family val="2"/>
      <color theme="1"/>
      <sz val="14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C000"/>
      <sz val="14"/>
      <scheme val="minor"/>
    </font>
    <font>
      <name val="Aptos Narrow"/>
      <family val="2"/>
      <color theme="0"/>
      <sz val="14"/>
      <scheme val="minor"/>
    </font>
    <font>
      <name val="Aptos Narrow"/>
      <family val="2"/>
      <b val="1"/>
      <color rgb="FFFFFF00"/>
      <sz val="16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FF00"/>
      <sz val="12"/>
      <scheme val="minor"/>
    </font>
    <font>
      <name val="Bahnschrift SemiBold SemiConden"/>
      <family val="2"/>
      <b val="1"/>
      <color rgb="FFFFFF00"/>
      <sz val="10"/>
    </font>
    <font>
      <name val="Bahnschrift SemiCondensed"/>
      <family val="2"/>
      <b val="1"/>
      <color rgb="FFFFFF00"/>
      <sz val="10"/>
    </font>
    <font>
      <name val="Bahnschrift SemiCondensed"/>
      <family val="2"/>
      <b val="1"/>
      <color rgb="FFFFFF00"/>
      <sz val="9"/>
    </font>
    <font>
      <name val="Aptos Narrow"/>
      <family val="2"/>
      <color rgb="FFFFFF00"/>
      <sz val="11"/>
      <scheme val="minor"/>
    </font>
    <font>
      <name val="Bahnschrift SemiCondensed"/>
      <family val="2"/>
      <b val="1"/>
      <color rgb="FFFFFF00"/>
      <sz val="14"/>
    </font>
    <font>
      <name val="Bahnschrift SemiCondensed"/>
      <family val="2"/>
      <b val="1"/>
      <color theme="1"/>
      <sz val="14"/>
    </font>
    <font>
      <name val="Bahnschrift SemiCondensed"/>
      <family val="2"/>
      <b val="1"/>
      <color theme="1"/>
      <sz val="12"/>
    </font>
    <font>
      <name val="Bahnschrift SemiCondensed"/>
      <family val="2"/>
      <b val="1"/>
      <color theme="1"/>
      <sz val="16"/>
    </font>
    <font>
      <name val="Bahnschrift SemiCondensed"/>
      <family val="2"/>
      <b val="1"/>
      <color theme="1"/>
      <sz val="22"/>
    </font>
    <font>
      <name val="Aptos Narrow"/>
      <family val="2"/>
      <color rgb="FFFFFF00"/>
      <sz val="10"/>
      <scheme val="minor"/>
    </font>
    <font>
      <name val="Aptos Narrow"/>
      <family val="2"/>
      <color rgb="FFFFFF00"/>
      <sz val="9"/>
      <scheme val="minor"/>
    </font>
    <font>
      <name val="Bahnschrift SemiCondensed"/>
      <family val="2"/>
      <b val="1"/>
      <color theme="1"/>
      <sz val="11"/>
    </font>
    <font>
      <name val="Bahnschrift SemiCondensed"/>
      <family val="2"/>
      <b val="1"/>
      <color theme="1"/>
      <sz val="18"/>
    </font>
    <font>
      <name val="Bahnschrift SemiCondensed"/>
      <family val="2"/>
      <b val="1"/>
      <color theme="1"/>
      <sz val="10"/>
    </font>
    <font>
      <name val="Bahnschrift SemiCondensed"/>
      <family val="2"/>
      <b val="1"/>
      <color rgb="FFFFFF00"/>
      <sz val="18"/>
    </font>
    <font>
      <name val="Bahnschrift SemiCondensed"/>
      <family val="2"/>
      <color rgb="FFFFFF00"/>
      <sz val="18"/>
    </font>
    <font>
      <name val="Bahnschrift SemiCondensed"/>
      <family val="2"/>
      <sz val="14"/>
    </font>
    <font>
      <name val="Bahnschrift SemiCondensed"/>
      <family val="2"/>
      <color rgb="FFFFFF00"/>
      <sz val="16"/>
    </font>
    <font>
      <name val="Aptos Narrow"/>
      <family val="2"/>
      <color theme="1"/>
      <sz val="16"/>
      <scheme val="minor"/>
    </font>
    <font>
      <name val="Aptos Narrow"/>
      <family val="2"/>
      <color theme="1"/>
      <sz val="18"/>
      <scheme val="minor"/>
    </font>
    <font>
      <name val="Aptos Narrow"/>
      <family val="2"/>
      <color theme="1"/>
      <sz val="20"/>
      <scheme val="minor"/>
    </font>
    <font>
      <name val="Aptos Narrow"/>
      <family val="2"/>
      <color rgb="FFFFFF00"/>
      <sz val="24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sz val="18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0"/>
      <sz val="16"/>
      <scheme val="minor"/>
    </font>
    <font>
      <name val="Aptos Narrow"/>
      <family val="2"/>
      <b val="1"/>
      <color rgb="FF00B0F0"/>
      <sz val="14"/>
      <scheme val="minor"/>
    </font>
    <font>
      <name val="ADLaM Display"/>
      <b val="1"/>
      <color theme="1"/>
      <sz val="14"/>
    </font>
    <font>
      <name val="ADLaM Display"/>
      <color rgb="FF000000"/>
      <sz val="14"/>
    </font>
    <font>
      <name val="ADLaM Display"/>
      <color rgb="FF002060"/>
      <sz val="14"/>
    </font>
    <font>
      <name val="ADLaM Display"/>
      <color theme="0"/>
      <sz val="14"/>
    </font>
    <font>
      <name val="ADLaM Display"/>
      <b val="1"/>
      <sz val="14"/>
    </font>
    <font>
      <name val="ADLaM Display"/>
      <color theme="1"/>
      <sz val="14"/>
    </font>
    <font>
      <name val="Calibri"/>
      <family val="2"/>
      <sz val="11"/>
    </font>
    <font>
      <name val="Aptos Narrow"/>
      <family val="2"/>
      <b val="1"/>
      <color rgb="FFFFFF00"/>
      <sz val="28"/>
      <scheme val="minor"/>
    </font>
    <font>
      <name val="Aptos Narrow"/>
      <family val="2"/>
      <b val="1"/>
      <color theme="1"/>
      <sz val="20"/>
      <scheme val="minor"/>
    </font>
    <font>
      <name val="Aptos Narrow"/>
      <family val="2"/>
      <b val="1"/>
      <color rgb="FFFFFF00"/>
      <sz val="20"/>
      <scheme val="minor"/>
    </font>
    <font>
      <name val="Aptos Narrow"/>
      <family val="2"/>
      <b val="1"/>
      <color rgb="FFFFFF00"/>
      <sz val="24"/>
      <scheme val="minor"/>
    </font>
    <font>
      <name val="Aptos Narrow"/>
      <family val="2"/>
      <color rgb="FFFFFF00"/>
      <sz val="20"/>
      <scheme val="minor"/>
    </font>
    <font>
      <name val="Bahnschrift SemiCondensed"/>
      <family val="2"/>
      <b val="1"/>
      <sz val="18"/>
    </font>
    <font>
      <name val="Aptos Narrow"/>
      <family val="2"/>
      <color theme="1"/>
      <sz val="26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26"/>
      <scheme val="minor"/>
    </font>
    <font>
      <name val="Aptos Narrow"/>
      <family val="2"/>
      <b val="1"/>
      <color theme="0"/>
      <sz val="22"/>
      <scheme val="minor"/>
    </font>
    <font>
      <name val="Aptos Narrow"/>
      <family val="2"/>
      <color rgb="FFFFFF00"/>
      <sz val="18"/>
      <scheme val="minor"/>
    </font>
    <font>
      <name val="Aptos Narrow"/>
      <family val="2"/>
      <b val="1"/>
      <color theme="1"/>
      <sz val="24"/>
      <scheme val="minor"/>
    </font>
    <font>
      <name val="Aptos Narrow"/>
      <family val="2"/>
      <b val="1"/>
      <color rgb="FFFFFF00"/>
      <sz val="18"/>
      <scheme val="minor"/>
    </font>
    <font>
      <name val="Aptos Narrow"/>
      <family val="2"/>
      <b val="1"/>
      <sz val="16"/>
      <scheme val="minor"/>
    </font>
    <font>
      <name val="Aptos Narrow"/>
      <family val="2"/>
      <color rgb="FF002060"/>
      <sz val="16"/>
      <scheme val="minor"/>
    </font>
    <font>
      <name val="Aptos Narrow"/>
      <family val="2"/>
      <sz val="16"/>
      <scheme val="minor"/>
    </font>
    <font>
      <name val="Aptos Narrow"/>
      <family val="2"/>
      <b val="1"/>
      <sz val="20"/>
      <scheme val="minor"/>
    </font>
    <font>
      <name val="Aptos Narrow"/>
      <family val="2"/>
      <color rgb="FF2603B9"/>
      <sz val="16"/>
      <scheme val="minor"/>
    </font>
    <font>
      <name val="Aptos Narrow"/>
      <family val="2"/>
      <b val="1"/>
      <color theme="4"/>
      <sz val="14"/>
      <scheme val="minor"/>
    </font>
    <font>
      <name val="Aptos Narrow"/>
      <family val="2"/>
      <b val="1"/>
      <color theme="4"/>
      <sz val="18"/>
      <scheme val="minor"/>
    </font>
    <font>
      <name val="Aptos Narrow"/>
      <family val="2"/>
      <b val="1"/>
      <color rgb="FF0070C0"/>
      <sz val="14"/>
      <scheme val="minor"/>
    </font>
    <font>
      <name val="Bahnschrift SemiCondensed"/>
      <family val="2"/>
      <b val="1"/>
      <color theme="0"/>
      <sz val="16"/>
    </font>
    <font>
      <name val="Bahnschrift SemiBold SemiConden"/>
      <family val="2"/>
      <b val="1"/>
      <color theme="0"/>
      <sz val="16"/>
    </font>
    <font>
      <name val="Bahnschrift SemiCondensed"/>
      <family val="2"/>
      <b val="1"/>
      <sz val="20"/>
    </font>
    <font>
      <name val="Aptos Narrow"/>
      <family val="2"/>
      <b val="1"/>
      <color rgb="FF2603B9"/>
      <sz val="16"/>
      <scheme val="minor"/>
    </font>
    <font>
      <name val="Aptos Narrow"/>
      <family val="2"/>
      <b val="1"/>
      <color rgb="FFFFFF00"/>
      <sz val="8"/>
      <scheme val="minor"/>
    </font>
    <font>
      <name val="Bahnschrift SemiBold SemiConden"/>
      <family val="2"/>
      <b val="1"/>
      <color rgb="FF002060"/>
      <sz val="14"/>
    </font>
    <font>
      <name val="Bahnschrift SemiBold SemiConden"/>
      <family val="2"/>
      <b val="1"/>
      <color theme="0"/>
      <sz val="14"/>
    </font>
    <font>
      <name val="Bahnschrift SemiBold SemiConden"/>
      <family val="2"/>
      <b val="1"/>
      <color rgb="FF002060"/>
      <sz val="16"/>
    </font>
    <font>
      <name val="Bahnschrift SemiBold SemiConden"/>
      <family val="2"/>
      <b val="1"/>
      <color theme="0"/>
      <sz val="18"/>
    </font>
    <font>
      <name val="Bahnschrift SemiBold SemiConden"/>
      <family val="2"/>
      <b val="1"/>
      <color rgb="FF002060"/>
      <sz val="24"/>
    </font>
    <font>
      <name val="Aptos Narrow"/>
      <family val="2"/>
      <color rgb="FFFFFF00"/>
      <sz val="16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0" tint="-0.1499984740745262"/>
      <sz val="11"/>
      <scheme val="minor"/>
    </font>
  </fonts>
  <fills count="3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16F616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darkDown">
        <fgColor rgb="FF002060"/>
        <bgColor rgb="FF0070C0"/>
      </patternFill>
    </fill>
    <fill>
      <patternFill patternType="solid">
        <fgColor theme="1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901AF"/>
        <bgColor indexed="64"/>
      </patternFill>
    </fill>
    <fill>
      <gradientFill type="linear" degree="90">
        <stop position="0">
          <color theme="1"/>
        </stop>
        <stop position="0.5">
          <color rgb="FF0070C0"/>
        </stop>
        <stop position="1">
          <color theme="1"/>
        </stop>
      </gradientFill>
    </fill>
    <fill>
      <patternFill patternType="solid">
        <fgColor rgb="FFD9E3F3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darkDown">
        <fgColor theme="1"/>
        <bgColor theme="1" tint="0.1499374370555742"/>
      </patternFill>
    </fill>
    <fill>
      <patternFill patternType="solid">
        <fgColor rgb="FF2603B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1" tint="0.499984740745262"/>
        <bgColor indexed="64"/>
      </patternFill>
    </fill>
    <fill>
      <gradientFill type="linear" degree="90">
        <stop position="0">
          <color theme="2"/>
        </stop>
        <stop position="1">
          <color rgb="FF002060"/>
        </stop>
      </gradientFill>
    </fill>
    <fill>
      <patternFill patternType="darkDown">
        <fgColor theme="8" tint="-0.249946592608417"/>
        <bgColor rgb="FF0070C0"/>
      </patternFill>
    </fill>
    <fill>
      <patternFill patternType="darkDown">
        <fgColor theme="1"/>
        <bgColor rgb="FF0070C0"/>
      </patternFill>
    </fill>
    <fill>
      <patternFill patternType="lightGrid">
        <bgColor theme="1" tint="0.249946592608417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1" fillId="0" borderId="0"/>
    <xf numFmtId="9" fontId="1" fillId="0" borderId="0"/>
    <xf numFmtId="0" fontId="60" fillId="0" borderId="0" applyAlignment="1">
      <alignment vertical="center"/>
    </xf>
  </cellStyleXfs>
  <cellXfs count="62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49" fontId="0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/>
    </xf>
    <xf numFmtId="0" fontId="22" fillId="15" borderId="9" pivotButton="0" quotePrefix="0" xfId="0"/>
    <xf numFmtId="0" fontId="22" fillId="15" borderId="17" pivotButton="0" quotePrefix="0" xfId="0"/>
    <xf numFmtId="0" fontId="2" fillId="0" borderId="0" applyAlignment="1" pivotButton="0" quotePrefix="0" xfId="0">
      <alignment horizontal="center" vertical="center"/>
    </xf>
    <xf numFmtId="0" fontId="4" fillId="15" borderId="1" applyAlignment="1" pivotButton="0" quotePrefix="0" xfId="0">
      <alignment vertical="center"/>
    </xf>
    <xf numFmtId="0" fontId="4" fillId="15" borderId="2" applyAlignment="1" pivotButton="0" quotePrefix="0" xfId="0">
      <alignment vertical="center"/>
    </xf>
    <xf numFmtId="0" fontId="5" fillId="15" borderId="2" applyAlignment="1" pivotButton="0" quotePrefix="0" xfId="0">
      <alignment vertical="center"/>
    </xf>
    <xf numFmtId="0" fontId="5" fillId="15" borderId="2" applyAlignment="1" pivotButton="0" quotePrefix="0" xfId="0">
      <alignment vertical="center" wrapText="1"/>
    </xf>
    <xf numFmtId="0" fontId="31" fillId="15" borderId="9" applyAlignment="1" pivotButton="0" quotePrefix="0" xfId="0">
      <alignment horizontal="center" vertical="center"/>
    </xf>
    <xf numFmtId="0" fontId="32" fillId="4" borderId="13" applyAlignment="1" pivotButton="0" quotePrefix="0" xfId="0">
      <alignment horizontal="center" vertical="center"/>
    </xf>
    <xf numFmtId="0" fontId="33" fillId="4" borderId="2" applyAlignment="1" pivotButton="0" quotePrefix="0" xfId="0">
      <alignment horizontal="centerContinuous" vertical="center" wrapText="1"/>
    </xf>
    <xf numFmtId="2" fontId="34" fillId="2" borderId="2" applyAlignment="1" pivotButton="0" quotePrefix="0" xfId="0">
      <alignment horizontal="centerContinuous" vertical="center"/>
    </xf>
    <xf numFmtId="0" fontId="34" fillId="4" borderId="2" applyAlignment="1" pivotButton="0" quotePrefix="0" xfId="0">
      <alignment horizontal="centerContinuous" vertical="center" wrapText="1"/>
    </xf>
    <xf numFmtId="4" fontId="34" fillId="2" borderId="2" applyAlignment="1" pivotButton="0" quotePrefix="0" xfId="0">
      <alignment horizontal="centerContinuous" vertical="center" wrapText="1"/>
    </xf>
    <xf numFmtId="0" fontId="34" fillId="2" borderId="2" applyAlignment="1" pivotButton="0" quotePrefix="0" xfId="0">
      <alignment horizontal="centerContinuous" vertical="center" wrapText="1"/>
    </xf>
    <xf numFmtId="0" fontId="35" fillId="2" borderId="22" applyAlignment="1" pivotButton="0" quotePrefix="0" xfId="0">
      <alignment horizontal="center" vertical="center"/>
    </xf>
    <xf numFmtId="0" fontId="33" fillId="6" borderId="2" applyAlignment="1" pivotButton="0" quotePrefix="0" xfId="0">
      <alignment horizontal="center" vertical="center" wrapText="1"/>
    </xf>
    <xf numFmtId="4" fontId="34" fillId="2" borderId="2" applyAlignment="1" pivotButton="0" quotePrefix="0" xfId="0">
      <alignment horizontal="centerContinuous" vertical="center"/>
    </xf>
    <xf numFmtId="0" fontId="32" fillId="16" borderId="9" applyAlignment="1" pivotButton="0" quotePrefix="0" xfId="0">
      <alignment horizontal="center"/>
    </xf>
    <xf numFmtId="0" fontId="32" fillId="16" borderId="1" applyAlignment="1" pivotButton="0" quotePrefix="0" xfId="0">
      <alignment horizontal="center"/>
    </xf>
    <xf numFmtId="4" fontId="19" fillId="17" borderId="8" applyAlignment="1" pivotButton="0" quotePrefix="0" xfId="0">
      <alignment horizontal="right"/>
    </xf>
    <xf numFmtId="4" fontId="11" fillId="18" borderId="5" pivotButton="0" quotePrefix="0" xfId="0"/>
    <xf numFmtId="4" fontId="11" fillId="19" borderId="5" pivotButton="0" quotePrefix="0" xfId="0"/>
    <xf numFmtId="4" fontId="19" fillId="17" borderId="5" applyAlignment="1" pivotButton="0" quotePrefix="0" xfId="0">
      <alignment horizontal="right"/>
    </xf>
    <xf numFmtId="2" fontId="15" fillId="12" borderId="8" applyAlignment="1" pivotButton="0" quotePrefix="0" xfId="0">
      <alignment horizontal="center" vertical="center" wrapText="1"/>
    </xf>
    <xf numFmtId="0" fontId="32" fillId="4" borderId="9" applyAlignment="1" pivotButton="0" quotePrefix="0" xfId="0">
      <alignment horizontal="centerContinuous" vertical="center" wrapText="1"/>
    </xf>
    <xf numFmtId="0" fontId="38" fillId="4" borderId="9" applyAlignment="1" pivotButton="0" quotePrefix="0" xfId="0">
      <alignment horizontal="center" vertical="center"/>
    </xf>
    <xf numFmtId="0" fontId="40" fillId="4" borderId="9" applyAlignment="1" pivotButton="0" quotePrefix="0" xfId="0">
      <alignment horizontal="center" vertical="center" wrapText="1"/>
    </xf>
    <xf numFmtId="4" fontId="43" fillId="2" borderId="5" applyAlignment="1" pivotButton="0" quotePrefix="0" xfId="0">
      <alignment vertical="center"/>
    </xf>
    <xf numFmtId="49" fontId="26" fillId="19" borderId="20" applyAlignment="1" pivotButton="0" quotePrefix="0" xfId="0">
      <alignment horizontal="center" vertical="center"/>
    </xf>
    <xf numFmtId="14" fontId="27" fillId="19" borderId="19" applyAlignment="1" pivotButton="0" quotePrefix="0" xfId="0">
      <alignment horizontal="center" vertical="center" textRotation="90"/>
    </xf>
    <xf numFmtId="14" fontId="27" fillId="19" borderId="12" applyAlignment="1" pivotButton="0" quotePrefix="0" xfId="0">
      <alignment horizontal="center" vertical="center" textRotation="90"/>
    </xf>
    <xf numFmtId="14" fontId="28" fillId="19" borderId="21" applyAlignment="1" pivotButton="0" quotePrefix="0" xfId="0">
      <alignment horizontal="center" vertical="center" textRotation="90"/>
    </xf>
    <xf numFmtId="14" fontId="28" fillId="19" borderId="19" applyAlignment="1" pivotButton="0" quotePrefix="0" xfId="0">
      <alignment horizontal="center" vertical="center" textRotation="90"/>
    </xf>
    <xf numFmtId="0" fontId="29" fillId="19" borderId="21" applyAlignment="1" pivotButton="0" quotePrefix="0" xfId="0">
      <alignment horizontal="center" vertical="center" wrapText="1" readingOrder="1"/>
    </xf>
    <xf numFmtId="0" fontId="29" fillId="19" borderId="12" applyAlignment="1" pivotButton="0" quotePrefix="0" xfId="0">
      <alignment horizontal="center" vertical="center" wrapText="1"/>
    </xf>
    <xf numFmtId="0" fontId="29" fillId="19" borderId="7" applyAlignment="1" pivotButton="0" quotePrefix="0" xfId="0">
      <alignment horizontal="center" vertical="center" wrapText="1"/>
    </xf>
    <xf numFmtId="0" fontId="23" fillId="19" borderId="20" applyAlignment="1" pivotButton="0" quotePrefix="0" xfId="0">
      <alignment horizontal="center" vertical="center"/>
    </xf>
    <xf numFmtId="0" fontId="38" fillId="4" borderId="2" applyAlignment="1" pivotButton="0" quotePrefix="0" xfId="0">
      <alignment horizontal="centerContinuous" vertical="center" wrapText="1"/>
    </xf>
    <xf numFmtId="0" fontId="40" fillId="4" borderId="2" applyAlignment="1" pivotButton="0" quotePrefix="0" xfId="0">
      <alignment horizontal="centerContinuous" vertical="center" wrapText="1"/>
    </xf>
    <xf numFmtId="0" fontId="32" fillId="4" borderId="2" applyAlignment="1" pivotButton="0" quotePrefix="0" xfId="0">
      <alignment horizontal="center" vertical="center"/>
    </xf>
    <xf numFmtId="0" fontId="37" fillId="19" borderId="11" applyAlignment="1" pivotButton="0" quotePrefix="0" xfId="0">
      <alignment horizontal="center" vertical="center" wrapText="1"/>
    </xf>
    <xf numFmtId="0" fontId="3" fillId="20" borderId="11" applyAlignment="1" pivotButton="0" quotePrefix="0" xfId="0">
      <alignment horizontal="center"/>
    </xf>
    <xf numFmtId="4" fontId="20" fillId="2" borderId="0" applyAlignment="1" pivotButton="0" quotePrefix="0" xfId="0">
      <alignment horizontal="center" vertical="center"/>
    </xf>
    <xf numFmtId="0" fontId="32" fillId="4" borderId="8" applyAlignment="1" pivotButton="0" quotePrefix="0" xfId="0">
      <alignment horizontal="centerContinuous" vertical="center" wrapText="1"/>
    </xf>
    <xf numFmtId="4" fontId="44" fillId="15" borderId="23" applyAlignment="1" pivotButton="0" quotePrefix="0" xfId="0">
      <alignment horizontal="centerContinuous" vertical="center" wrapText="1"/>
    </xf>
    <xf numFmtId="4" fontId="14" fillId="15" borderId="23" applyAlignment="1" pivotButton="0" quotePrefix="0" xfId="0">
      <alignment horizontal="centerContinuous" vertical="center" wrapText="1"/>
    </xf>
    <xf numFmtId="4" fontId="41" fillId="15" borderId="2" applyAlignment="1" pivotButton="0" quotePrefix="0" xfId="0">
      <alignment horizontal="centerContinuous" vertical="center" wrapText="1"/>
    </xf>
    <xf numFmtId="4" fontId="42" fillId="15" borderId="22" applyAlignment="1" pivotButton="0" quotePrefix="0" xfId="0">
      <alignment horizontal="centerContinuous" vertical="center" wrapText="1"/>
    </xf>
    <xf numFmtId="0" fontId="16" fillId="19" borderId="24" applyAlignment="1" pivotButton="0" quotePrefix="0" xfId="0">
      <alignment horizontal="center" vertical="center"/>
    </xf>
    <xf numFmtId="0" fontId="16" fillId="19" borderId="25" applyAlignment="1" pivotButton="0" quotePrefix="0" xfId="0">
      <alignment horizontal="center" vertical="center"/>
    </xf>
    <xf numFmtId="0" fontId="16" fillId="19" borderId="26" applyAlignment="1" pivotButton="0" quotePrefix="0" xfId="0">
      <alignment horizontal="center" vertical="center"/>
    </xf>
    <xf numFmtId="0" fontId="6" fillId="4" borderId="15" applyAlignment="1" pivotButton="0" quotePrefix="0" xfId="0">
      <alignment vertical="center" wrapText="1"/>
    </xf>
    <xf numFmtId="0" fontId="6" fillId="4" borderId="15" applyAlignment="1" pivotButton="0" quotePrefix="0" xfId="0">
      <alignment vertical="center"/>
    </xf>
    <xf numFmtId="0" fontId="32" fillId="4" borderId="15" applyAlignment="1" pivotButton="0" quotePrefix="0" xfId="0">
      <alignment horizontal="right" vertical="center"/>
    </xf>
    <xf numFmtId="49" fontId="10" fillId="0" borderId="5" applyAlignment="1" pivotButton="0" quotePrefix="0" xfId="0">
      <alignment horizontal="center"/>
    </xf>
    <xf numFmtId="0" fontId="10" fillId="0" borderId="5" applyAlignment="1" pivotButton="0" quotePrefix="0" xfId="0">
      <alignment horizontal="center"/>
    </xf>
    <xf numFmtId="0" fontId="9" fillId="19" borderId="5" applyAlignment="1" pivotButton="0" quotePrefix="0" xfId="0">
      <alignment horizontal="center"/>
    </xf>
    <xf numFmtId="49" fontId="10" fillId="19" borderId="5" applyAlignment="1" pivotButton="0" quotePrefix="0" xfId="0">
      <alignment horizontal="center"/>
    </xf>
    <xf numFmtId="0" fontId="10" fillId="19" borderId="5" applyAlignment="1" pivotButton="0" quotePrefix="0" xfId="0">
      <alignment horizontal="center"/>
    </xf>
    <xf numFmtId="0" fontId="10" fillId="19" borderId="5" pivotButton="0" quotePrefix="0" xfId="0"/>
    <xf numFmtId="1" fontId="39" fillId="6" borderId="7" applyAlignment="1" pivotButton="0" quotePrefix="0" xfId="0">
      <alignment horizontal="center" vertical="center"/>
    </xf>
    <xf numFmtId="4" fontId="23" fillId="22" borderId="9" applyAlignment="1" pivotButton="0" quotePrefix="0" xfId="0">
      <alignment horizontal="center" vertical="center"/>
    </xf>
    <xf numFmtId="4" fontId="23" fillId="22" borderId="1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 vertical="center" wrapText="1"/>
    </xf>
    <xf numFmtId="0" fontId="48" fillId="7" borderId="0" applyAlignment="1" pivotButton="0" quotePrefix="0" xfId="0">
      <alignment horizontal="center" vertical="center"/>
    </xf>
    <xf numFmtId="0" fontId="3" fillId="0" borderId="0" pivotButton="0" quotePrefix="0" xfId="0"/>
    <xf numFmtId="49" fontId="22" fillId="0" borderId="0" applyAlignment="1" pivotButton="0" quotePrefix="0" xfId="0">
      <alignment horizontal="left" vertical="center"/>
    </xf>
    <xf numFmtId="0" fontId="20" fillId="0" borderId="0" pivotButton="0" quotePrefix="0" xfId="0"/>
    <xf numFmtId="0" fontId="2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2" fontId="49" fillId="4" borderId="29" applyAlignment="1" pivotButton="0" quotePrefix="0" xfId="0">
      <alignment horizontal="centerContinuous" vertical="center"/>
    </xf>
    <xf numFmtId="0" fontId="49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53" fillId="8" borderId="40" applyAlignment="1" pivotButton="0" quotePrefix="0" xfId="0">
      <alignment horizontal="center" vertical="center"/>
    </xf>
    <xf numFmtId="0" fontId="20" fillId="8" borderId="40" applyAlignment="1" pivotButton="0" quotePrefix="0" xfId="0">
      <alignment horizontal="center" vertical="center" wrapText="1"/>
    </xf>
    <xf numFmtId="0" fontId="53" fillId="8" borderId="10" applyAlignment="1" pivotButton="0" quotePrefix="0" xfId="0">
      <alignment horizontal="center" vertical="center" wrapText="1"/>
    </xf>
    <xf numFmtId="0" fontId="53" fillId="8" borderId="41" applyAlignment="1" pivotButton="0" quotePrefix="0" xfId="0">
      <alignment horizontal="center" vertical="center"/>
    </xf>
    <xf numFmtId="0" fontId="53" fillId="8" borderId="10" applyAlignment="1" pivotButton="0" quotePrefix="0" xfId="0">
      <alignment horizontal="center" vertical="center"/>
    </xf>
    <xf numFmtId="0" fontId="53" fillId="8" borderId="3" applyAlignment="1" pivotButton="0" quotePrefix="0" xfId="0">
      <alignment horizontal="center" vertical="center"/>
    </xf>
    <xf numFmtId="0" fontId="53" fillId="8" borderId="42" applyAlignment="1" pivotButton="0" quotePrefix="0" xfId="0">
      <alignment horizontal="center" vertical="center"/>
    </xf>
    <xf numFmtId="49" fontId="53" fillId="8" borderId="3" applyAlignment="1" pivotButton="0" quotePrefix="0" xfId="0">
      <alignment horizontal="center" vertical="center"/>
    </xf>
    <xf numFmtId="49" fontId="53" fillId="8" borderId="41" applyAlignment="1" pivotButton="0" quotePrefix="0" xfId="0">
      <alignment horizontal="center" vertical="center"/>
    </xf>
    <xf numFmtId="49" fontId="53" fillId="8" borderId="18" applyAlignment="1" pivotButton="0" quotePrefix="0" xfId="0">
      <alignment horizontal="center" vertical="center"/>
    </xf>
    <xf numFmtId="0" fontId="53" fillId="8" borderId="18" applyAlignment="1" pivotButton="0" quotePrefix="0" xfId="0">
      <alignment horizontal="center" vertical="center"/>
    </xf>
    <xf numFmtId="0" fontId="54" fillId="0" borderId="6" applyAlignment="1" pivotButton="0" quotePrefix="0" xfId="0">
      <alignment horizontal="center" vertical="center"/>
    </xf>
    <xf numFmtId="0" fontId="55" fillId="23" borderId="5" applyAlignment="1" pivotButton="0" quotePrefix="0" xfId="0">
      <alignment horizontal="left" vertical="center" shrinkToFit="1"/>
    </xf>
    <xf numFmtId="164" fontId="57" fillId="9" borderId="5" applyAlignment="1" pivotButton="0" quotePrefix="0" xfId="0">
      <alignment horizontal="center" vertical="center"/>
    </xf>
    <xf numFmtId="0" fontId="58" fillId="6" borderId="5" applyAlignment="1" pivotButton="0" quotePrefix="0" xfId="0">
      <alignment horizontal="center" vertical="center"/>
    </xf>
    <xf numFmtId="2" fontId="54" fillId="2" borderId="43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48" fillId="7" borderId="9" pivotButton="0" quotePrefix="0" xfId="0"/>
    <xf numFmtId="0" fontId="48" fillId="7" borderId="3" pivotButton="0" quotePrefix="0" xfId="0"/>
    <xf numFmtId="0" fontId="61" fillId="7" borderId="3" applyAlignment="1" pivotButton="0" quotePrefix="0" xfId="0">
      <alignment horizontal="left" vertical="center"/>
    </xf>
    <xf numFmtId="14" fontId="61" fillId="7" borderId="3" applyAlignment="1" pivotButton="0" quotePrefix="0" xfId="0">
      <alignment horizontal="left" vertical="center"/>
    </xf>
    <xf numFmtId="0" fontId="48" fillId="7" borderId="3" applyAlignment="1" pivotButton="0" quotePrefix="0" xfId="0">
      <alignment horizontal="center"/>
    </xf>
    <xf numFmtId="0" fontId="48" fillId="7" borderId="4" pivotButton="0" quotePrefix="0" xfId="0"/>
    <xf numFmtId="0" fontId="62" fillId="0" borderId="0" applyAlignment="1" pivotButton="0" quotePrefix="0" xfId="0">
      <alignment horizontal="center" vertical="center"/>
    </xf>
    <xf numFmtId="0" fontId="47" fillId="0" borderId="0" pivotButton="0" quotePrefix="0" xfId="0"/>
    <xf numFmtId="0" fontId="63" fillId="26" borderId="14" applyAlignment="1" pivotButton="0" quotePrefix="0" xfId="0">
      <alignment horizontal="center" vertical="center"/>
    </xf>
    <xf numFmtId="0" fontId="63" fillId="26" borderId="15" applyAlignment="1" pivotButton="0" quotePrefix="0" xfId="0">
      <alignment horizontal="center" vertical="center"/>
    </xf>
    <xf numFmtId="0" fontId="63" fillId="26" borderId="16" applyAlignment="1" pivotButton="0" quotePrefix="0" xfId="0">
      <alignment horizontal="center" vertical="center"/>
    </xf>
    <xf numFmtId="0" fontId="63" fillId="7" borderId="21" applyAlignment="1" pivotButton="0" quotePrefix="0" xfId="0">
      <alignment horizontal="center" vertical="center"/>
    </xf>
    <xf numFmtId="0" fontId="47" fillId="0" borderId="19" applyAlignment="1" pivotButton="0" quotePrefix="0" xfId="0">
      <alignment horizontal="center" vertical="center"/>
    </xf>
    <xf numFmtId="0" fontId="62" fillId="11" borderId="1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/>
    </xf>
    <xf numFmtId="0" fontId="63" fillId="7" borderId="36" applyAlignment="1" pivotButton="0" quotePrefix="0" xfId="0">
      <alignment horizontal="center" vertical="center"/>
    </xf>
    <xf numFmtId="0" fontId="47" fillId="0" borderId="14" applyAlignment="1" pivotButton="0" quotePrefix="0" xfId="0">
      <alignment horizontal="center" vertical="center"/>
    </xf>
    <xf numFmtId="0" fontId="47" fillId="0" borderId="15" applyAlignment="1" pivotButton="0" quotePrefix="0" xfId="0">
      <alignment horizontal="center" vertical="center"/>
    </xf>
    <xf numFmtId="0" fontId="62" fillId="11" borderId="15" applyAlignment="1" pivotButton="0" quotePrefix="0" xfId="0">
      <alignment horizontal="center" vertical="center"/>
    </xf>
    <xf numFmtId="0" fontId="63" fillId="7" borderId="15" applyAlignment="1" pivotButton="0" quotePrefix="0" xfId="0">
      <alignment horizontal="center" vertical="center"/>
    </xf>
    <xf numFmtId="0" fontId="62" fillId="11" borderId="16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/>
    </xf>
    <xf numFmtId="0" fontId="64" fillId="7" borderId="31" applyAlignment="1" pivotButton="0" quotePrefix="0" xfId="0">
      <alignment horizontal="left" vertical="center"/>
    </xf>
    <xf numFmtId="0" fontId="61" fillId="7" borderId="33" applyAlignment="1" pivotButton="0" quotePrefix="0" xfId="0">
      <alignment horizontal="left" vertical="center"/>
    </xf>
    <xf numFmtId="0" fontId="65" fillId="7" borderId="33" pivotButton="0" quotePrefix="0" xfId="0"/>
    <xf numFmtId="0" fontId="48" fillId="7" borderId="33" pivotButton="0" quotePrefix="0" xfId="0"/>
    <xf numFmtId="14" fontId="61" fillId="7" borderId="33" applyAlignment="1" pivotButton="0" quotePrefix="0" xfId="0">
      <alignment horizontal="left" vertical="center"/>
    </xf>
    <xf numFmtId="0" fontId="65" fillId="7" borderId="32" pivotButton="0" quotePrefix="0" xfId="0"/>
    <xf numFmtId="0" fontId="65" fillId="7" borderId="33" applyAlignment="1" pivotButton="0" quotePrefix="0" xfId="0">
      <alignment horizontal="center"/>
    </xf>
    <xf numFmtId="0" fontId="62" fillId="3" borderId="1" applyAlignment="1" pivotButton="0" quotePrefix="0" xfId="0">
      <alignment horizontal="center" vertical="center"/>
    </xf>
    <xf numFmtId="0" fontId="25" fillId="3" borderId="22" applyAlignment="1" pivotButton="0" quotePrefix="0" xfId="0">
      <alignment horizontal="center" vertical="center"/>
    </xf>
    <xf numFmtId="0" fontId="62" fillId="3" borderId="2" applyAlignment="1" pivotButton="0" quotePrefix="0" xfId="0">
      <alignment vertical="center"/>
    </xf>
    <xf numFmtId="0" fontId="66" fillId="0" borderId="19" applyAlignment="1" pivotButton="0" quotePrefix="0" xfId="0">
      <alignment horizontal="center" vertical="center"/>
    </xf>
    <xf numFmtId="0" fontId="62" fillId="0" borderId="11" applyAlignment="1" pivotButton="0" quotePrefix="0" xfId="0">
      <alignment horizontal="center" vertical="center"/>
    </xf>
    <xf numFmtId="0" fontId="66" fillId="0" borderId="14" applyAlignment="1" pivotButton="0" quotePrefix="0" xfId="0">
      <alignment horizontal="center" vertical="center"/>
    </xf>
    <xf numFmtId="0" fontId="62" fillId="0" borderId="15" applyAlignment="1" pivotButton="0" quotePrefix="0" xfId="0">
      <alignment horizontal="left" vertical="center"/>
    </xf>
    <xf numFmtId="0" fontId="47" fillId="0" borderId="15" pivotButton="0" quotePrefix="0" xfId="0"/>
    <xf numFmtId="0" fontId="62" fillId="0" borderId="16" applyAlignment="1" pivotButton="0" quotePrefix="0" xfId="0">
      <alignment horizontal="center" vertical="center"/>
    </xf>
    <xf numFmtId="0" fontId="62" fillId="0" borderId="15" pivotButton="0" quotePrefix="0" xfId="0"/>
    <xf numFmtId="0" fontId="25" fillId="3" borderId="4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/>
    </xf>
    <xf numFmtId="0" fontId="62" fillId="0" borderId="3" pivotButton="0" quotePrefix="0" xfId="0"/>
    <xf numFmtId="0" fontId="62" fillId="0" borderId="4" applyAlignment="1" pivotButton="0" quotePrefix="0" xfId="0">
      <alignment horizontal="center" vertical="center"/>
    </xf>
    <xf numFmtId="0" fontId="66" fillId="0" borderId="5" applyAlignment="1" pivotButton="0" quotePrefix="0" xfId="0">
      <alignment horizontal="center" vertical="center"/>
    </xf>
    <xf numFmtId="0" fontId="47" fillId="2" borderId="0" pivotButton="0" quotePrefix="0" xfId="0"/>
    <xf numFmtId="0" fontId="62" fillId="2" borderId="11" applyAlignment="1" pivotButton="0" quotePrefix="0" xfId="0">
      <alignment horizontal="center" vertical="center"/>
    </xf>
    <xf numFmtId="0" fontId="62" fillId="2" borderId="0" pivotButton="0" quotePrefix="0" xfId="0"/>
    <xf numFmtId="1" fontId="56" fillId="29" borderId="5" applyAlignment="1" pivotButton="0" quotePrefix="0" xfId="0">
      <alignment horizontal="center" vertical="center" shrinkToFit="1"/>
    </xf>
    <xf numFmtId="0" fontId="56" fillId="29" borderId="5" applyAlignment="1" pivotButton="0" quotePrefix="0" xfId="0">
      <alignment horizontal="center" vertical="center"/>
    </xf>
    <xf numFmtId="0" fontId="56" fillId="29" borderId="5" applyAlignment="1" pivotButton="0" quotePrefix="0" xfId="0">
      <alignment horizontal="center" vertical="center" shrinkToFit="1"/>
    </xf>
    <xf numFmtId="1" fontId="56" fillId="29" borderId="5" applyAlignment="1" pivotButton="0" quotePrefix="0" xfId="2">
      <alignment horizontal="center" vertical="center" shrinkToFit="1"/>
    </xf>
    <xf numFmtId="1" fontId="56" fillId="29" borderId="5" applyAlignment="1" pivotButton="0" quotePrefix="0" xfId="2">
      <alignment horizontal="center" vertical="center"/>
    </xf>
    <xf numFmtId="0" fontId="56" fillId="29" borderId="5" applyAlignment="1" pivotButton="0" quotePrefix="0" xfId="2">
      <alignment horizontal="center" vertical="center" shrinkToFit="1"/>
    </xf>
    <xf numFmtId="0" fontId="56" fillId="29" borderId="5" applyAlignment="1" pivotButton="0" quotePrefix="0" xfId="0">
      <alignment horizontal="center" vertical="center" wrapText="1"/>
    </xf>
    <xf numFmtId="1" fontId="56" fillId="29" borderId="5" applyAlignment="1" pivotButton="0" quotePrefix="0" xfId="0">
      <alignment horizontal="center" vertical="center"/>
    </xf>
    <xf numFmtId="0" fontId="5" fillId="3" borderId="36" applyAlignment="1" pivotButton="0" quotePrefix="0" xfId="0">
      <alignment vertical="center"/>
    </xf>
    <xf numFmtId="0" fontId="5" fillId="3" borderId="37" applyAlignment="1" pivotButton="0" quotePrefix="0" xfId="0">
      <alignment vertical="center"/>
    </xf>
    <xf numFmtId="0" fontId="48" fillId="7" borderId="0" pivotButton="0" quotePrefix="0" xfId="0"/>
    <xf numFmtId="0" fontId="46" fillId="0" borderId="0" applyAlignment="1" pivotButton="0" quotePrefix="0" xfId="0">
      <alignment horizontal="center" vertical="center" wrapText="1"/>
    </xf>
    <xf numFmtId="1" fontId="67" fillId="0" borderId="0" applyAlignment="1" pivotButton="0" quotePrefix="0" xfId="0">
      <alignment horizontal="center" vertical="center"/>
    </xf>
    <xf numFmtId="12" fontId="47" fillId="0" borderId="0" applyAlignment="1" pivotButton="0" quotePrefix="0" xfId="0">
      <alignment horizontal="center" vertical="center"/>
    </xf>
    <xf numFmtId="0" fontId="71" fillId="7" borderId="1" applyAlignment="1" pivotButton="0" quotePrefix="0" xfId="0">
      <alignment vertical="center"/>
    </xf>
    <xf numFmtId="0" fontId="30" fillId="7" borderId="22" applyAlignment="1" pivotButton="0" quotePrefix="0" xfId="0">
      <alignment vertical="center"/>
    </xf>
    <xf numFmtId="0" fontId="46" fillId="0" borderId="0" applyAlignment="1" pivotButton="0" quotePrefix="0" xfId="0">
      <alignment horizontal="left" vertical="center" wrapText="1"/>
    </xf>
    <xf numFmtId="0" fontId="72" fillId="0" borderId="1" applyAlignment="1" pivotButton="0" quotePrefix="0" xfId="0">
      <alignment horizontal="centerContinuous" vertical="center"/>
    </xf>
    <xf numFmtId="0" fontId="2" fillId="0" borderId="22" applyAlignment="1" pivotButton="0" quotePrefix="0" xfId="0">
      <alignment horizontal="centerContinuous" vertical="center"/>
    </xf>
    <xf numFmtId="1" fontId="57" fillId="3" borderId="5" applyAlignment="1" pivotButton="0" quotePrefix="0" xfId="0">
      <alignment horizontal="center" vertical="center"/>
    </xf>
    <xf numFmtId="0" fontId="57" fillId="3" borderId="5" applyAlignment="1" pivotButton="0" quotePrefix="0" xfId="0">
      <alignment horizontal="center" vertical="center"/>
    </xf>
    <xf numFmtId="9" fontId="57" fillId="3" borderId="5" applyAlignment="1" pivotButton="0" quotePrefix="0" xfId="1">
      <alignment vertical="center"/>
    </xf>
    <xf numFmtId="1" fontId="12" fillId="7" borderId="14" applyAlignment="1" pivotButton="0" quotePrefix="0" xfId="0">
      <alignment horizontal="center"/>
    </xf>
    <xf numFmtId="0" fontId="12" fillId="7" borderId="14" applyAlignment="1" pivotButton="0" quotePrefix="0" xfId="0">
      <alignment horizontal="center" vertical="center"/>
    </xf>
    <xf numFmtId="0" fontId="63" fillId="7" borderId="9" applyAlignment="1" pivotButton="0" quotePrefix="0" xfId="0">
      <alignment horizontal="center" vertical="center"/>
    </xf>
    <xf numFmtId="0" fontId="47" fillId="0" borderId="3" applyAlignment="1" pivotButton="0" quotePrefix="0" xfId="0">
      <alignment horizontal="center" vertical="center"/>
    </xf>
    <xf numFmtId="0" fontId="62" fillId="11" borderId="4" applyAlignment="1" pivotButton="0" quotePrefix="0" xfId="0">
      <alignment horizontal="center" vertical="center"/>
    </xf>
    <xf numFmtId="0" fontId="63" fillId="7" borderId="3" applyAlignment="1" pivotButton="0" quotePrefix="0" xfId="0">
      <alignment horizontal="center" vertical="center"/>
    </xf>
    <xf numFmtId="0" fontId="63" fillId="7" borderId="19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 vertical="center"/>
    </xf>
    <xf numFmtId="0" fontId="63" fillId="7" borderId="0" applyAlignment="1" pivotButton="0" quotePrefix="0" xfId="0">
      <alignment horizontal="center" vertical="center"/>
    </xf>
    <xf numFmtId="0" fontId="63" fillId="7" borderId="14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center"/>
    </xf>
    <xf numFmtId="0" fontId="62" fillId="0" borderId="0" pivotButton="0" quotePrefix="0" xfId="0"/>
    <xf numFmtId="0" fontId="25" fillId="3" borderId="3" applyAlignment="1" pivotButton="0" quotePrefix="0" xfId="0">
      <alignment horizontal="center" vertical="center"/>
    </xf>
    <xf numFmtId="0" fontId="62" fillId="3" borderId="3" applyAlignment="1" pivotButton="0" quotePrefix="0" xfId="0">
      <alignment vertical="center"/>
    </xf>
    <xf numFmtId="0" fontId="66" fillId="0" borderId="8" applyAlignment="1" pivotButton="0" quotePrefix="0" xfId="0">
      <alignment horizontal="center" vertical="center"/>
    </xf>
    <xf numFmtId="0" fontId="62" fillId="2" borderId="3" pivotButton="0" quotePrefix="0" xfId="0"/>
    <xf numFmtId="165" fontId="62" fillId="25" borderId="9" applyAlignment="1" pivotButton="0" quotePrefix="0" xfId="0">
      <alignment horizontal="centerContinuous" vertical="center"/>
    </xf>
    <xf numFmtId="0" fontId="62" fillId="25" borderId="3" applyAlignment="1" pivotButton="0" quotePrefix="0" xfId="0">
      <alignment horizontal="centerContinuous" vertical="center"/>
    </xf>
    <xf numFmtId="0" fontId="62" fillId="25" borderId="4" applyAlignment="1" pivotButton="0" quotePrefix="0" xfId="0">
      <alignment horizontal="centerContinuous" vertical="center"/>
    </xf>
    <xf numFmtId="165" fontId="62" fillId="25" borderId="9" applyAlignment="1" pivotButton="0" quotePrefix="0" xfId="0">
      <alignment horizontal="centerContinuous"/>
    </xf>
    <xf numFmtId="0" fontId="62" fillId="25" borderId="3" applyAlignment="1" pivotButton="0" quotePrefix="0" xfId="0">
      <alignment horizontal="centerContinuous"/>
    </xf>
    <xf numFmtId="0" fontId="62" fillId="25" borderId="4" applyAlignment="1" pivotButton="0" quotePrefix="0" xfId="0">
      <alignment horizontal="centerContinuous"/>
    </xf>
    <xf numFmtId="9" fontId="57" fillId="3" borderId="8" applyAlignment="1" pivotButton="0" quotePrefix="0" xfId="1">
      <alignment vertical="center"/>
    </xf>
    <xf numFmtId="0" fontId="57" fillId="3" borderId="8" applyAlignment="1" pivotButton="0" quotePrefix="0" xfId="0">
      <alignment horizontal="center" vertical="center"/>
    </xf>
    <xf numFmtId="0" fontId="24" fillId="5" borderId="9" applyAlignment="1" pivotButton="0" quotePrefix="0" xfId="0">
      <alignment vertical="center"/>
    </xf>
    <xf numFmtId="0" fontId="24" fillId="5" borderId="3" applyAlignment="1" pivotButton="0" quotePrefix="0" xfId="0">
      <alignment vertical="center"/>
    </xf>
    <xf numFmtId="0" fontId="24" fillId="5" borderId="3" applyAlignment="1" pivotButton="0" quotePrefix="0" xfId="0">
      <alignment horizontal="right" vertical="center"/>
    </xf>
    <xf numFmtId="2" fontId="24" fillId="4" borderId="11" applyAlignment="1" pivotButton="0" quotePrefix="0" xfId="0">
      <alignment horizontal="centerContinuous" vertical="center"/>
    </xf>
    <xf numFmtId="2" fontId="24" fillId="5" borderId="4" applyAlignment="1" pivotButton="0" quotePrefix="0" xfId="0">
      <alignment horizontal="centerContinuous" vertical="center"/>
    </xf>
    <xf numFmtId="0" fontId="24" fillId="8" borderId="19" applyAlignment="1" pivotButton="0" quotePrefix="0" xfId="0">
      <alignment vertical="center"/>
    </xf>
    <xf numFmtId="0" fontId="24" fillId="8" borderId="0" applyAlignment="1" pivotButton="0" quotePrefix="0" xfId="0">
      <alignment vertical="center"/>
    </xf>
    <xf numFmtId="0" fontId="24" fillId="8" borderId="0" applyAlignment="1" pivotButton="0" quotePrefix="0" xfId="0">
      <alignment horizontal="right" vertical="center"/>
    </xf>
    <xf numFmtId="2" fontId="24" fillId="8" borderId="11" applyAlignment="1" pivotButton="0" quotePrefix="0" xfId="0">
      <alignment horizontal="centerContinuous" vertical="center"/>
    </xf>
    <xf numFmtId="0" fontId="24" fillId="4" borderId="19" applyAlignment="1" pivotButton="0" quotePrefix="0" xfId="0">
      <alignment vertical="center"/>
    </xf>
    <xf numFmtId="0" fontId="24" fillId="4" borderId="0" applyAlignment="1" pivotButton="0" quotePrefix="0" xfId="0">
      <alignment vertical="center"/>
    </xf>
    <xf numFmtId="0" fontId="24" fillId="4" borderId="0" applyAlignment="1" pivotButton="0" quotePrefix="0" xfId="0">
      <alignment horizontal="right" vertical="center"/>
    </xf>
    <xf numFmtId="0" fontId="23" fillId="21" borderId="14" applyAlignment="1" pivotButton="0" quotePrefix="0" xfId="0">
      <alignment vertical="center"/>
    </xf>
    <xf numFmtId="0" fontId="23" fillId="21" borderId="15" applyAlignment="1" pivotButton="0" quotePrefix="0" xfId="0">
      <alignment vertical="center"/>
    </xf>
    <xf numFmtId="0" fontId="23" fillId="21" borderId="15" applyAlignment="1" pivotButton="0" quotePrefix="0" xfId="0">
      <alignment horizontal="right" vertical="center"/>
    </xf>
    <xf numFmtId="2" fontId="23" fillId="21" borderId="16" applyAlignment="1" pivotButton="0" quotePrefix="0" xfId="0">
      <alignment horizontal="centerContinuous" vertical="center"/>
    </xf>
    <xf numFmtId="0" fontId="8" fillId="15" borderId="21" applyAlignment="1" pivotButton="0" quotePrefix="0" xfId="0">
      <alignment vertical="center"/>
    </xf>
    <xf numFmtId="0" fontId="8" fillId="15" borderId="36" applyAlignment="1" pivotButton="0" quotePrefix="0" xfId="0">
      <alignment vertical="center"/>
    </xf>
    <xf numFmtId="0" fontId="8" fillId="15" borderId="37" applyAlignment="1" pivotButton="0" quotePrefix="0" xfId="0">
      <alignment vertical="center"/>
    </xf>
    <xf numFmtId="0" fontId="20" fillId="15" borderId="37" pivotButton="0" quotePrefix="0" xfId="0"/>
    <xf numFmtId="0" fontId="20" fillId="15" borderId="37" applyAlignment="1" pivotButton="0" quotePrefix="0" xfId="0">
      <alignment horizontal="center"/>
    </xf>
    <xf numFmtId="4" fontId="62" fillId="5" borderId="3" applyAlignment="1" pivotButton="0" quotePrefix="0" xfId="0">
      <alignment horizontal="centerContinuous" vertical="center"/>
    </xf>
    <xf numFmtId="4" fontId="62" fillId="8" borderId="0" applyAlignment="1" pivotButton="0" quotePrefix="0" xfId="0">
      <alignment horizontal="centerContinuous" vertical="center"/>
    </xf>
    <xf numFmtId="4" fontId="62" fillId="4" borderId="0" applyAlignment="1" pivotButton="0" quotePrefix="0" xfId="0">
      <alignment horizontal="centerContinuous" vertical="center"/>
    </xf>
    <xf numFmtId="4" fontId="63" fillId="21" borderId="15" applyAlignment="1" pivotButton="0" quotePrefix="0" xfId="0">
      <alignment horizontal="centerContinuous" vertical="center"/>
    </xf>
    <xf numFmtId="0" fontId="4" fillId="15" borderId="28" applyAlignment="1" pivotButton="0" quotePrefix="0" xfId="0">
      <alignment vertical="center"/>
    </xf>
    <xf numFmtId="0" fontId="4" fillId="15" borderId="29" applyAlignment="1" pivotButton="0" quotePrefix="0" xfId="0">
      <alignment vertical="center"/>
    </xf>
    <xf numFmtId="0" fontId="4" fillId="15" borderId="29" applyAlignment="1" pivotButton="0" quotePrefix="0" xfId="0">
      <alignment horizontal="center" vertical="center"/>
    </xf>
    <xf numFmtId="0" fontId="4" fillId="15" borderId="30" applyAlignment="1" pivotButton="0" quotePrefix="0" xfId="0">
      <alignment vertical="center"/>
    </xf>
    <xf numFmtId="2" fontId="49" fillId="2" borderId="29" applyAlignment="1" pivotButton="0" quotePrefix="0" xfId="0">
      <alignment vertical="center"/>
    </xf>
    <xf numFmtId="2" fontId="49" fillId="2" borderId="29" applyAlignment="1" pivotButton="0" quotePrefix="0" xfId="0">
      <alignment horizontal="center" vertical="center"/>
    </xf>
    <xf numFmtId="2" fontId="50" fillId="4" borderId="29" applyAlignment="1" pivotButton="0" quotePrefix="0" xfId="0">
      <alignment horizontal="centerContinuous" vertical="center"/>
    </xf>
    <xf numFmtId="0" fontId="5" fillId="3" borderId="31" applyAlignment="1" pivotButton="0" quotePrefix="0" xfId="0">
      <alignment horizontal="centerContinuous" vertical="center"/>
    </xf>
    <xf numFmtId="0" fontId="5" fillId="3" borderId="33" applyAlignment="1" pivotButton="0" quotePrefix="0" xfId="0">
      <alignment horizontal="centerContinuous" vertical="center"/>
    </xf>
    <xf numFmtId="0" fontId="4" fillId="15" borderId="33" applyAlignment="1" pivotButton="0" quotePrefix="0" xfId="0">
      <alignment vertical="center"/>
    </xf>
    <xf numFmtId="0" fontId="5" fillId="7" borderId="9" applyAlignment="1" pivotButton="0" quotePrefix="0" xfId="0">
      <alignment vertical="center"/>
    </xf>
    <xf numFmtId="0" fontId="5" fillId="7" borderId="4" applyAlignment="1" pivotButton="0" quotePrefix="0" xfId="0">
      <alignment vertical="center"/>
    </xf>
    <xf numFmtId="0" fontId="5" fillId="7" borderId="19" applyAlignment="1" pivotButton="0" quotePrefix="0" xfId="0">
      <alignment vertical="center"/>
    </xf>
    <xf numFmtId="0" fontId="5" fillId="7" borderId="11" applyAlignment="1" pivotButton="0" quotePrefix="0" xfId="0">
      <alignment vertical="center"/>
    </xf>
    <xf numFmtId="0" fontId="5" fillId="7" borderId="14" applyAlignment="1" pivotButton="0" quotePrefix="0" xfId="0">
      <alignment horizontal="centerContinuous" vertical="center"/>
    </xf>
    <xf numFmtId="0" fontId="5" fillId="7" borderId="16" applyAlignment="1" pivotButton="0" quotePrefix="0" xfId="0">
      <alignment horizontal="centerContinuous" vertical="center"/>
    </xf>
    <xf numFmtId="2" fontId="50" fillId="5" borderId="33" applyAlignment="1" pivotButton="0" quotePrefix="0" xfId="0">
      <alignment vertical="center"/>
    </xf>
    <xf numFmtId="2" fontId="50" fillId="5" borderId="32" applyAlignment="1" pivotButton="0" quotePrefix="0" xfId="0">
      <alignment vertical="center"/>
    </xf>
    <xf numFmtId="2" fontId="50" fillId="5" borderId="0" applyAlignment="1" pivotButton="0" quotePrefix="0" xfId="0">
      <alignment vertical="center"/>
    </xf>
    <xf numFmtId="2" fontId="50" fillId="5" borderId="34" applyAlignment="1" pivotButton="0" quotePrefix="0" xfId="0">
      <alignment vertical="center"/>
    </xf>
    <xf numFmtId="2" fontId="50" fillId="5" borderId="38" applyAlignment="1" pivotButton="0" quotePrefix="0" xfId="0">
      <alignment horizontal="centerContinuous" vertical="center"/>
    </xf>
    <xf numFmtId="49" fontId="52" fillId="7" borderId="31" applyAlignment="1" pivotButton="0" quotePrefix="0" xfId="0">
      <alignment horizontal="centerContinuous" vertical="center"/>
    </xf>
    <xf numFmtId="49" fontId="52" fillId="7" borderId="33" applyAlignment="1" pivotButton="0" quotePrefix="0" xfId="0">
      <alignment horizontal="centerContinuous" vertical="center"/>
    </xf>
    <xf numFmtId="49" fontId="52" fillId="7" borderId="32" applyAlignment="1" pivotButton="0" quotePrefix="0" xfId="0">
      <alignment horizontal="centerContinuous" vertical="center"/>
    </xf>
    <xf numFmtId="49" fontId="52" fillId="7" borderId="31" applyAlignment="1" pivotButton="0" quotePrefix="0" xfId="0">
      <alignment horizontal="centerContinuous" vertical="center" wrapText="1"/>
    </xf>
    <xf numFmtId="49" fontId="52" fillId="7" borderId="33" applyAlignment="1" pivotButton="0" quotePrefix="0" xfId="0">
      <alignment horizontal="centerContinuous" vertical="center" wrapText="1"/>
    </xf>
    <xf numFmtId="49" fontId="52" fillId="7" borderId="32" applyAlignment="1" pivotButton="0" quotePrefix="0" xfId="0">
      <alignment horizontal="centerContinuous" vertical="center" wrapText="1"/>
    </xf>
    <xf numFmtId="4" fontId="74" fillId="4" borderId="28" applyAlignment="1" pivotButton="0" quotePrefix="0" xfId="0">
      <alignment horizontal="centerContinuous" vertical="center"/>
    </xf>
    <xf numFmtId="4" fontId="74" fillId="4" borderId="29" applyAlignment="1" pivotButton="0" quotePrefix="0" xfId="0">
      <alignment horizontal="centerContinuous" vertical="center"/>
    </xf>
    <xf numFmtId="0" fontId="74" fillId="2" borderId="28" applyAlignment="1" pivotButton="0" quotePrefix="0" xfId="0">
      <alignment horizontal="centerContinuous" vertical="center"/>
    </xf>
    <xf numFmtId="0" fontId="74" fillId="2" borderId="29" applyAlignment="1" pivotButton="0" quotePrefix="0" xfId="0">
      <alignment horizontal="centerContinuous" vertical="center"/>
    </xf>
    <xf numFmtId="0" fontId="74" fillId="2" borderId="30" applyAlignment="1" pivotButton="0" quotePrefix="0" xfId="0">
      <alignment horizontal="centerContinuous" vertical="center"/>
    </xf>
    <xf numFmtId="0" fontId="74" fillId="0" borderId="31" applyAlignment="1" pivotButton="0" quotePrefix="0" xfId="0">
      <alignment horizontal="centerContinuous" vertical="center"/>
    </xf>
    <xf numFmtId="0" fontId="74" fillId="0" borderId="33" applyAlignment="1" pivotButton="0" quotePrefix="0" xfId="0">
      <alignment horizontal="centerContinuous" vertical="center"/>
    </xf>
    <xf numFmtId="0" fontId="74" fillId="0" borderId="29" applyAlignment="1" pivotButton="0" quotePrefix="0" xfId="0">
      <alignment horizontal="centerContinuous" vertical="center"/>
    </xf>
    <xf numFmtId="0" fontId="74" fillId="0" borderId="30" applyAlignment="1" pivotButton="0" quotePrefix="0" xfId="0">
      <alignment horizontal="centerContinuous" vertical="center"/>
    </xf>
    <xf numFmtId="14" fontId="74" fillId="0" borderId="31" applyAlignment="1" pivotButton="0" quotePrefix="0" xfId="0">
      <alignment horizontal="centerContinuous" vertical="center"/>
    </xf>
    <xf numFmtId="0" fontId="74" fillId="0" borderId="32" applyAlignment="1" pivotButton="0" quotePrefix="0" xfId="0">
      <alignment horizontal="centerContinuous" vertical="center"/>
    </xf>
    <xf numFmtId="0" fontId="52" fillId="7" borderId="9" applyAlignment="1" pivotButton="0" quotePrefix="0" xfId="0">
      <alignment horizontal="center" vertical="center"/>
    </xf>
    <xf numFmtId="0" fontId="8" fillId="7" borderId="8" applyAlignment="1" pivotButton="0" quotePrefix="0" xfId="0">
      <alignment vertical="top"/>
    </xf>
    <xf numFmtId="0" fontId="8" fillId="7" borderId="7" applyAlignment="1" pivotButton="0" quotePrefix="0" xfId="0">
      <alignment vertical="top"/>
    </xf>
    <xf numFmtId="0" fontId="52" fillId="7" borderId="14" applyAlignment="1" pivotButton="0" quotePrefix="0" xfId="0">
      <alignment horizontal="center" vertical="center"/>
    </xf>
    <xf numFmtId="1" fontId="52" fillId="7" borderId="9" applyAlignment="1" pivotButton="0" quotePrefix="0" xfId="0">
      <alignment horizontal="center"/>
    </xf>
    <xf numFmtId="0" fontId="52" fillId="7" borderId="7" applyAlignment="1" pivotButton="0" quotePrefix="0" xfId="0">
      <alignment horizontal="center" vertical="center"/>
    </xf>
    <xf numFmtId="165" fontId="74" fillId="29" borderId="9" applyAlignment="1" pivotButton="0" quotePrefix="0" xfId="0">
      <alignment horizontal="centerContinuous" vertical="center"/>
    </xf>
    <xf numFmtId="0" fontId="74" fillId="29" borderId="3" applyAlignment="1" pivotButton="0" quotePrefix="0" xfId="0">
      <alignment horizontal="centerContinuous" vertical="center"/>
    </xf>
    <xf numFmtId="0" fontId="74" fillId="29" borderId="46" applyAlignment="1" pivotButton="0" quotePrefix="0" xfId="0">
      <alignment horizontal="centerContinuous" vertical="center"/>
    </xf>
    <xf numFmtId="0" fontId="74" fillId="29" borderId="47" applyAlignment="1" pivotButton="0" quotePrefix="0" xfId="0">
      <alignment horizontal="centerContinuous" vertical="center"/>
    </xf>
    <xf numFmtId="49" fontId="76" fillId="29" borderId="5" applyAlignment="1" pivotButton="0" quotePrefix="0" xfId="0">
      <alignment horizontal="center" vertical="center"/>
    </xf>
    <xf numFmtId="2" fontId="76" fillId="29" borderId="1" applyAlignment="1" pivotButton="0" quotePrefix="0" xfId="0">
      <alignment horizontal="centerContinuous" vertical="top"/>
    </xf>
    <xf numFmtId="2" fontId="76" fillId="29" borderId="2" applyAlignment="1" pivotButton="0" quotePrefix="0" xfId="0">
      <alignment horizontal="centerContinuous" vertical="center"/>
    </xf>
    <xf numFmtId="2" fontId="76" fillId="29" borderId="22" applyAlignment="1" pivotButton="0" quotePrefix="0" xfId="0">
      <alignment vertical="center"/>
    </xf>
    <xf numFmtId="49" fontId="76" fillId="29" borderId="32" applyAlignment="1" pivotButton="0" quotePrefix="0" xfId="0">
      <alignment horizontal="center" vertical="center"/>
    </xf>
    <xf numFmtId="2" fontId="76" fillId="29" borderId="31" applyAlignment="1" pivotButton="0" quotePrefix="0" xfId="0">
      <alignment horizontal="centerContinuous" vertical="top"/>
    </xf>
    <xf numFmtId="2" fontId="76" fillId="29" borderId="33" applyAlignment="1" pivotButton="0" quotePrefix="0" xfId="0">
      <alignment horizontal="centerContinuous" vertical="center"/>
    </xf>
    <xf numFmtId="2" fontId="76" fillId="29" borderId="32" applyAlignment="1" pivotButton="0" quotePrefix="0" xfId="0">
      <alignment vertical="center"/>
    </xf>
    <xf numFmtId="49" fontId="76" fillId="29" borderId="39" applyAlignment="1" pivotButton="0" quotePrefix="0" xfId="0">
      <alignment horizontal="center" vertical="center"/>
    </xf>
    <xf numFmtId="2" fontId="76" fillId="29" borderId="32" applyAlignment="1" pivotButton="0" quotePrefix="0" xfId="0">
      <alignment horizontal="center" vertical="center"/>
    </xf>
    <xf numFmtId="0" fontId="62" fillId="3" borderId="9" applyAlignment="1" pivotButton="0" quotePrefix="0" xfId="0">
      <alignment horizontal="center" vertical="center"/>
    </xf>
    <xf numFmtId="4" fontId="23" fillId="12" borderId="44" applyAlignment="1" pivotButton="0" quotePrefix="0" xfId="0">
      <alignment horizontal="right" vertical="center"/>
    </xf>
    <xf numFmtId="4" fontId="23" fillId="31" borderId="45" applyAlignment="1" pivotButton="0" quotePrefix="0" xfId="0">
      <alignment vertical="center"/>
    </xf>
    <xf numFmtId="4" fontId="23" fillId="15" borderId="44" applyAlignment="1" pivotButton="0" quotePrefix="0" xfId="0">
      <alignment horizontal="right" vertical="center"/>
    </xf>
    <xf numFmtId="4" fontId="77" fillId="5" borderId="37" applyAlignment="1" pivotButton="0" quotePrefix="0" xfId="0">
      <alignment horizontal="centerContinuous" vertical="center"/>
    </xf>
    <xf numFmtId="0" fontId="24" fillId="8" borderId="39" applyAlignment="1" pivotButton="0" quotePrefix="0" xfId="0">
      <alignment horizontal="center" vertical="center" wrapText="1"/>
    </xf>
    <xf numFmtId="0" fontId="24" fillId="8" borderId="51" applyAlignment="1" pivotButton="0" quotePrefix="0" xfId="0">
      <alignment horizontal="center" vertical="center" wrapText="1"/>
    </xf>
    <xf numFmtId="0" fontId="24" fillId="8" borderId="5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2" fillId="0" borderId="0" pivotButton="0" quotePrefix="0" xfId="0"/>
    <xf numFmtId="0" fontId="4" fillId="27" borderId="3" applyAlignment="1" pivotButton="0" quotePrefix="0" xfId="0">
      <alignment vertical="center"/>
    </xf>
    <xf numFmtId="0" fontId="46" fillId="2" borderId="0" applyAlignment="1" pivotButton="0" quotePrefix="0" xfId="0">
      <alignment vertical="center"/>
    </xf>
    <xf numFmtId="0" fontId="78" fillId="28" borderId="5" applyAlignment="1" pivotButton="0" quotePrefix="0" xfId="0">
      <alignment horizontal="center" vertical="center"/>
    </xf>
    <xf numFmtId="0" fontId="13" fillId="28" borderId="5" applyAlignment="1" pivotButton="0" quotePrefix="0" xfId="0">
      <alignment horizontal="center" vertical="center"/>
    </xf>
    <xf numFmtId="0" fontId="23" fillId="28" borderId="5" applyAlignment="1" pivotButton="0" quotePrefix="0" xfId="0">
      <alignment horizontal="center" vertical="center"/>
    </xf>
    <xf numFmtId="0" fontId="23" fillId="28" borderId="5" applyAlignment="1" pivotButton="0" quotePrefix="0" xfId="0">
      <alignment vertical="center"/>
    </xf>
    <xf numFmtId="0" fontId="23" fillId="28" borderId="5" applyAlignment="1" pivotButton="0" quotePrefix="0" xfId="0">
      <alignment vertical="center" wrapText="1"/>
    </xf>
    <xf numFmtId="0" fontId="23" fillId="28" borderId="1" applyAlignment="1" pivotButton="0" quotePrefix="0" xfId="0">
      <alignment vertical="center"/>
    </xf>
    <xf numFmtId="0" fontId="23" fillId="28" borderId="2" applyAlignment="1" pivotButton="0" quotePrefix="0" xfId="0">
      <alignment vertical="center"/>
    </xf>
    <xf numFmtId="0" fontId="23" fillId="28" borderId="22" applyAlignment="1" pivotButton="0" quotePrefix="0" xfId="0">
      <alignment vertical="center"/>
    </xf>
    <xf numFmtId="0" fontId="23" fillId="28" borderId="5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center"/>
    </xf>
    <xf numFmtId="0" fontId="23" fillId="33" borderId="5" applyAlignment="1" pivotButton="0" quotePrefix="0" xfId="0">
      <alignment horizontal="center" vertical="center"/>
    </xf>
    <xf numFmtId="0" fontId="52" fillId="20" borderId="5" applyAlignment="1" pivotButton="0" quotePrefix="0" xfId="0">
      <alignment horizontal="left" vertical="center"/>
    </xf>
    <xf numFmtId="1" fontId="8" fillId="13" borderId="5" applyAlignment="1" pivotButton="0" quotePrefix="0" xfId="0">
      <alignment horizontal="center" vertical="center"/>
    </xf>
    <xf numFmtId="10" fontId="8" fillId="13" borderId="5" applyAlignment="1" pivotButton="0" quotePrefix="0" xfId="0">
      <alignment horizontal="center" vertical="center"/>
    </xf>
    <xf numFmtId="1" fontId="8" fillId="12" borderId="5" applyAlignment="1" pivotButton="0" quotePrefix="0" xfId="0">
      <alignment horizontal="center" vertical="center"/>
    </xf>
    <xf numFmtId="10" fontId="8" fillId="12" borderId="5" applyAlignment="1" pivotButton="0" quotePrefix="0" xfId="0">
      <alignment horizontal="center" vertical="center"/>
    </xf>
    <xf numFmtId="1" fontId="8" fillId="31" borderId="5" applyAlignment="1" pivotButton="0" quotePrefix="0" xfId="0">
      <alignment horizontal="center" vertical="center"/>
    </xf>
    <xf numFmtId="10" fontId="8" fillId="31" borderId="5" applyAlignment="1" pivotButton="0" quotePrefix="0" xfId="0">
      <alignment horizontal="center" vertical="center"/>
    </xf>
    <xf numFmtId="1" fontId="8" fillId="20" borderId="5" applyAlignment="1" pivotButton="0" quotePrefix="0" xfId="0">
      <alignment horizontal="center" vertical="center"/>
    </xf>
    <xf numFmtId="9" fontId="8" fillId="20" borderId="5" applyAlignment="1" pivotButton="0" quotePrefix="0" xfId="1">
      <alignment horizontal="center" vertical="center"/>
    </xf>
    <xf numFmtId="0" fontId="73" fillId="34" borderId="5" applyAlignment="1" pivotButton="0" quotePrefix="0" xfId="0">
      <alignment horizontal="center" vertical="center"/>
    </xf>
    <xf numFmtId="0" fontId="73" fillId="33" borderId="5" applyAlignment="1" pivotButton="0" quotePrefix="0" xfId="0">
      <alignment horizontal="center" vertical="center"/>
    </xf>
    <xf numFmtId="0" fontId="73" fillId="33" borderId="7" applyAlignment="1" pivotButton="0" quotePrefix="0" xfId="0">
      <alignment horizontal="center" vertical="center"/>
    </xf>
    <xf numFmtId="0" fontId="5" fillId="7" borderId="5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2" fillId="2" borderId="0" applyAlignment="1" pivotButton="0" quotePrefix="0" xfId="0">
      <alignment horizontal="center" vertical="center"/>
    </xf>
    <xf numFmtId="0" fontId="80" fillId="2" borderId="0" applyAlignment="1" pivotButton="0" quotePrefix="0" xfId="0">
      <alignment horizontal="left" vertical="center"/>
    </xf>
    <xf numFmtId="1" fontId="79" fillId="2" borderId="0" applyAlignment="1" pivotButton="0" quotePrefix="0" xfId="0">
      <alignment horizontal="center" vertical="center"/>
    </xf>
    <xf numFmtId="10" fontId="79" fillId="2" borderId="0" applyAlignment="1" pivotButton="0" quotePrefix="0" xfId="0">
      <alignment horizontal="center" vertical="center"/>
    </xf>
    <xf numFmtId="9" fontId="79" fillId="2" borderId="0" applyAlignment="1" pivotButton="0" quotePrefix="0" xfId="1">
      <alignment horizontal="center" vertical="center"/>
    </xf>
    <xf numFmtId="0" fontId="45" fillId="2" borderId="0" pivotButton="0" quotePrefix="0" xfId="0"/>
    <xf numFmtId="2" fontId="5" fillId="27" borderId="1" applyAlignment="1" pivotButton="0" quotePrefix="0" xfId="0">
      <alignment vertical="center"/>
    </xf>
    <xf numFmtId="2" fontId="5" fillId="27" borderId="2" applyAlignment="1" pivotButton="0" quotePrefix="0" xfId="0">
      <alignment vertical="center"/>
    </xf>
    <xf numFmtId="0" fontId="81" fillId="27" borderId="2" applyAlignment="1" pivotButton="0" quotePrefix="0" xfId="0">
      <alignment horizontal="center" vertical="center"/>
    </xf>
    <xf numFmtId="10" fontId="81" fillId="27" borderId="2" applyAlignment="1" pivotButton="0" quotePrefix="0" xfId="0">
      <alignment horizontal="center" vertical="center"/>
    </xf>
    <xf numFmtId="0" fontId="8" fillId="27" borderId="2" applyAlignment="1" pivotButton="0" quotePrefix="0" xfId="0">
      <alignment horizontal="center" vertical="center"/>
    </xf>
    <xf numFmtId="0" fontId="82" fillId="27" borderId="2" applyAlignment="1" pivotButton="0" quotePrefix="0" xfId="0">
      <alignment horizontal="center" vertical="center"/>
    </xf>
    <xf numFmtId="0" fontId="69" fillId="27" borderId="9" applyAlignment="1" pivotButton="0" quotePrefix="0" xfId="0">
      <alignment vertical="center"/>
    </xf>
    <xf numFmtId="0" fontId="69" fillId="27" borderId="3" applyAlignment="1" pivotButton="0" quotePrefix="0" xfId="0">
      <alignment vertical="center"/>
    </xf>
    <xf numFmtId="0" fontId="69" fillId="27" borderId="4" applyAlignment="1" pivotButton="0" quotePrefix="0" xfId="0">
      <alignment vertical="center"/>
    </xf>
    <xf numFmtId="0" fontId="23" fillId="28" borderId="1" applyAlignment="1" pivotButton="0" quotePrefix="0" xfId="0">
      <alignment horizontal="centerContinuous" vertical="center"/>
    </xf>
    <xf numFmtId="0" fontId="23" fillId="28" borderId="22" applyAlignment="1" pivotButton="0" quotePrefix="0" xfId="0">
      <alignment horizontal="centerContinuous" vertical="center"/>
    </xf>
    <xf numFmtId="0" fontId="23" fillId="28" borderId="2" applyAlignment="1" pivotButton="0" quotePrefix="0" xfId="0">
      <alignment horizontal="center" vertical="center"/>
    </xf>
    <xf numFmtId="0" fontId="5" fillId="27" borderId="11" applyAlignment="1" pivotButton="0" quotePrefix="0" xfId="0">
      <alignment horizontal="center" vertical="center" wrapText="1"/>
    </xf>
    <xf numFmtId="0" fontId="5" fillId="27" borderId="1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2" fontId="18" fillId="27" borderId="28" applyAlignment="1" pivotButton="0" quotePrefix="0" xfId="0">
      <alignment vertical="top"/>
    </xf>
    <xf numFmtId="0" fontId="18" fillId="27" borderId="29" applyAlignment="1" pivotButton="0" quotePrefix="0" xfId="0">
      <alignment horizontal="right" vertical="center"/>
    </xf>
    <xf numFmtId="0" fontId="85" fillId="28" borderId="5" applyAlignment="1" pivotButton="0" quotePrefix="0" xfId="0">
      <alignment horizontal="center" vertical="center"/>
    </xf>
    <xf numFmtId="0" fontId="86" fillId="28" borderId="5" applyAlignment="1" pivotButton="0" quotePrefix="0" xfId="0">
      <alignment horizontal="center" vertical="center" wrapText="1"/>
    </xf>
    <xf numFmtId="0" fontId="13" fillId="28" borderId="1" applyAlignment="1" pivotButton="0" quotePrefix="0" xfId="0">
      <alignment horizontal="center" vertical="center"/>
    </xf>
    <xf numFmtId="0" fontId="13" fillId="28" borderId="1" applyAlignment="1" pivotButton="0" quotePrefix="0" xfId="0">
      <alignment horizontal="centerContinuous" vertical="center"/>
    </xf>
    <xf numFmtId="0" fontId="13" fillId="28" borderId="2" applyAlignment="1" pivotButton="0" quotePrefix="0" xfId="0">
      <alignment horizontal="centerContinuous" vertical="center"/>
    </xf>
    <xf numFmtId="0" fontId="13" fillId="28" borderId="22" applyAlignment="1" pivotButton="0" quotePrefix="0" xfId="0">
      <alignment horizontal="centerContinuous" vertical="center"/>
    </xf>
    <xf numFmtId="0" fontId="86" fillId="28" borderId="22" applyAlignment="1" pivotButton="0" quotePrefix="0" xfId="0">
      <alignment horizontal="center" vertical="center" wrapText="1"/>
    </xf>
    <xf numFmtId="0" fontId="52" fillId="27" borderId="5" applyAlignment="1" pivotButton="0" quotePrefix="0" xfId="0">
      <alignment horizontal="center" vertical="center"/>
    </xf>
    <xf numFmtId="10" fontId="88" fillId="35" borderId="43" applyAlignment="1" pivotButton="0" quotePrefix="0" xfId="0">
      <alignment horizontal="center" vertical="center"/>
    </xf>
    <xf numFmtId="0" fontId="52" fillId="31" borderId="15" applyAlignment="1" pivotButton="0" quotePrefix="0" xfId="0">
      <alignment vertical="center"/>
    </xf>
    <xf numFmtId="0" fontId="52" fillId="31" borderId="16" applyAlignment="1" pivotButton="0" quotePrefix="0" xfId="0">
      <alignment vertical="center"/>
    </xf>
    <xf numFmtId="0" fontId="5" fillId="27" borderId="5" applyAlignment="1" pivotButton="0" quotePrefix="0" xfId="0">
      <alignment horizontal="center" vertical="center"/>
    </xf>
    <xf numFmtId="0" fontId="52" fillId="31" borderId="2" applyAlignment="1" pivotButton="0" quotePrefix="0" xfId="0">
      <alignment vertical="center"/>
    </xf>
    <xf numFmtId="0" fontId="52" fillId="31" borderId="22" applyAlignment="1" pivotButton="0" quotePrefix="0" xfId="0">
      <alignment vertical="center"/>
    </xf>
    <xf numFmtId="10" fontId="88" fillId="35" borderId="35" applyAlignment="1" pivotButton="0" quotePrefix="0" xfId="0">
      <alignment horizontal="center" vertical="center"/>
    </xf>
    <xf numFmtId="0" fontId="5" fillId="27" borderId="9" pivotButton="0" quotePrefix="0" xfId="0"/>
    <xf numFmtId="10" fontId="5" fillId="27" borderId="2" applyAlignment="1" pivotButton="0" quotePrefix="0" xfId="0">
      <alignment horizontal="right" vertical="center"/>
    </xf>
    <xf numFmtId="0" fontId="3" fillId="2" borderId="0" pivotButton="0" quotePrefix="0" xfId="0"/>
    <xf numFmtId="49" fontId="83" fillId="31" borderId="7" applyAlignment="1" pivotButton="0" quotePrefix="0" xfId="0">
      <alignment horizontal="centerContinuous" vertical="center"/>
    </xf>
    <xf numFmtId="49" fontId="83" fillId="31" borderId="5" applyAlignment="1" pivotButton="0" quotePrefix="0" xfId="0">
      <alignment horizontal="centerContinuous" vertical="center"/>
    </xf>
    <xf numFmtId="2" fontId="45" fillId="0" borderId="0" pivotButton="0" quotePrefix="0" xfId="0"/>
    <xf numFmtId="4" fontId="45" fillId="0" borderId="0" pivotButton="0" quotePrefix="0" xfId="0"/>
    <xf numFmtId="0" fontId="0" fillId="0" borderId="0" applyAlignment="1" pivotButton="0" quotePrefix="0" xfId="0">
      <alignment horizontal="center"/>
    </xf>
    <xf numFmtId="0" fontId="52" fillId="20" borderId="22" applyAlignment="1" pivotButton="0" quotePrefix="0" xfId="0">
      <alignment horizontal="left" vertical="center"/>
    </xf>
    <xf numFmtId="2" fontId="18" fillId="27" borderId="28" applyAlignment="1" pivotButton="0" quotePrefix="0" xfId="0">
      <alignment horizontal="right" vertical="center"/>
    </xf>
    <xf numFmtId="0" fontId="91" fillId="10" borderId="19" applyAlignment="1" pivotButton="0" quotePrefix="0" xfId="0">
      <alignment horizontal="centerContinuous" vertical="center"/>
    </xf>
    <xf numFmtId="0" fontId="91" fillId="10" borderId="15" applyAlignment="1" pivotButton="0" quotePrefix="0" xfId="0">
      <alignment horizontal="centerContinuous" vertical="center"/>
    </xf>
    <xf numFmtId="10" fontId="5" fillId="27" borderId="1" applyAlignment="1" pivotButton="0" quotePrefix="0" xfId="0">
      <alignment horizontal="right" vertical="center"/>
    </xf>
    <xf numFmtId="10" fontId="82" fillId="27" borderId="22" applyAlignment="1" pivotButton="0" quotePrefix="0" xfId="0">
      <alignment vertical="center"/>
    </xf>
    <xf numFmtId="0" fontId="81" fillId="27" borderId="0" applyAlignment="1" pivotButton="0" quotePrefix="0" xfId="0">
      <alignment horizontal="center" vertical="center"/>
    </xf>
    <xf numFmtId="10" fontId="81" fillId="27" borderId="0" applyAlignment="1" pivotButton="0" quotePrefix="0" xfId="0">
      <alignment horizontal="center" vertical="center"/>
    </xf>
    <xf numFmtId="0" fontId="81" fillId="27" borderId="15" applyAlignment="1" pivotButton="0" quotePrefix="0" xfId="0">
      <alignment horizontal="center" vertical="center"/>
    </xf>
    <xf numFmtId="10" fontId="81" fillId="27" borderId="15" applyAlignment="1" pivotButton="0" quotePrefix="0" xfId="0">
      <alignment horizontal="center" vertical="center"/>
    </xf>
    <xf numFmtId="0" fontId="5" fillId="27" borderId="16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/>
    </xf>
    <xf numFmtId="49" fontId="5" fillId="36" borderId="0" applyAlignment="1" pivotButton="0" quotePrefix="0" xfId="0">
      <alignment vertical="center"/>
    </xf>
    <xf numFmtId="49" fontId="5" fillId="36" borderId="19" applyAlignment="1" pivotButton="0" quotePrefix="0" xfId="0">
      <alignment vertical="center"/>
    </xf>
    <xf numFmtId="49" fontId="8" fillId="36" borderId="11" applyAlignment="1" pivotButton="0" quotePrefix="0" xfId="0">
      <alignment vertical="center"/>
    </xf>
    <xf numFmtId="49" fontId="5" fillId="36" borderId="15" applyAlignment="1" pivotButton="0" quotePrefix="0" xfId="0">
      <alignment vertical="center"/>
    </xf>
    <xf numFmtId="49" fontId="8" fillId="36" borderId="16" applyAlignment="1" pivotButton="0" quotePrefix="0" xfId="0">
      <alignment vertical="center"/>
    </xf>
    <xf numFmtId="0" fontId="89" fillId="10" borderId="33" applyAlignment="1" pivotButton="0" quotePrefix="0" xfId="0">
      <alignment vertical="center"/>
    </xf>
    <xf numFmtId="0" fontId="89" fillId="10" borderId="49" applyAlignment="1" pivotButton="0" quotePrefix="0" xfId="0">
      <alignment vertical="center"/>
    </xf>
    <xf numFmtId="2" fontId="18" fillId="27" borderId="9" applyAlignment="1" pivotButton="0" quotePrefix="0" xfId="0">
      <alignment horizontal="left" vertical="top"/>
    </xf>
    <xf numFmtId="2" fontId="18" fillId="27" borderId="3" applyAlignment="1" pivotButton="0" quotePrefix="0" xfId="0">
      <alignment horizontal="right" vertical="center"/>
    </xf>
    <xf numFmtId="2" fontId="18" fillId="27" borderId="3" applyAlignment="1" pivotButton="0" quotePrefix="0" xfId="0">
      <alignment horizontal="centerContinuous" vertical="center"/>
    </xf>
    <xf numFmtId="2" fontId="18" fillId="27" borderId="4" applyAlignment="1" pivotButton="0" quotePrefix="0" xfId="0">
      <alignment horizontal="right" vertical="center"/>
    </xf>
    <xf numFmtId="0" fontId="89" fillId="10" borderId="53" applyAlignment="1" pivotButton="0" quotePrefix="0" xfId="0">
      <alignment vertical="center"/>
    </xf>
    <xf numFmtId="0" fontId="89" fillId="10" borderId="50" applyAlignment="1" pivotButton="0" quotePrefix="0" xfId="0">
      <alignment horizontal="right" vertical="center"/>
    </xf>
    <xf numFmtId="0" fontId="87" fillId="7" borderId="1" applyAlignment="1" pivotButton="0" quotePrefix="0" xfId="0">
      <alignment horizontal="center" vertical="center"/>
    </xf>
    <xf numFmtId="10" fontId="88" fillId="35" borderId="5" applyAlignment="1" pivotButton="0" quotePrefix="0" xfId="0">
      <alignment horizontal="center" vertical="center"/>
    </xf>
    <xf numFmtId="49" fontId="83" fillId="31" borderId="14" applyAlignment="1" pivotButton="0" quotePrefix="0" xfId="0">
      <alignment horizontal="centerContinuous" vertical="center"/>
    </xf>
    <xf numFmtId="49" fontId="83" fillId="31" borderId="1" applyAlignment="1" pivotButton="0" quotePrefix="0" xfId="0">
      <alignment horizontal="centerContinuous" vertical="center"/>
    </xf>
    <xf numFmtId="0" fontId="23" fillId="28" borderId="9" applyAlignment="1" pivotButton="0" quotePrefix="0" xfId="0">
      <alignment horizontal="centerContinuous" vertical="center"/>
    </xf>
    <xf numFmtId="0" fontId="23" fillId="28" borderId="3" applyAlignment="1" pivotButton="0" quotePrefix="0" xfId="0">
      <alignment horizontal="centerContinuous" vertical="center"/>
    </xf>
    <xf numFmtId="0" fontId="90" fillId="35" borderId="0" applyAlignment="1" pivotButton="0" quotePrefix="0" xfId="0">
      <alignment horizontal="centerContinuous" vertical="center"/>
    </xf>
    <xf numFmtId="49" fontId="5" fillId="36" borderId="1" applyAlignment="1" pivotButton="0" quotePrefix="0" xfId="0">
      <alignment vertical="center"/>
    </xf>
    <xf numFmtId="49" fontId="5" fillId="36" borderId="2" applyAlignment="1" pivotButton="0" quotePrefix="0" xfId="0">
      <alignment vertical="center"/>
    </xf>
    <xf numFmtId="49" fontId="8" fillId="36" borderId="22" applyAlignment="1" pivotButton="0" quotePrefix="0" xfId="0">
      <alignment vertical="center"/>
    </xf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5" pivotButton="0" quotePrefix="0" xfId="0"/>
    <xf numFmtId="0" fontId="24" fillId="0" borderId="0" applyAlignment="1" pivotButton="0" quotePrefix="0" xfId="0">
      <alignment horizontal="left"/>
    </xf>
    <xf numFmtId="0" fontId="63" fillId="15" borderId="1" applyAlignment="1" pivotButton="0" quotePrefix="0" xfId="0">
      <alignment horizontal="centerContinuous" vertical="center"/>
    </xf>
    <xf numFmtId="0" fontId="63" fillId="15" borderId="2" applyAlignment="1" pivotButton="0" quotePrefix="0" xfId="0">
      <alignment horizontal="centerContinuous" vertical="center"/>
    </xf>
    <xf numFmtId="0" fontId="63" fillId="15" borderId="22" applyAlignment="1" pivotButton="0" quotePrefix="0" xfId="0">
      <alignment horizontal="centerContinuous" vertical="center"/>
    </xf>
    <xf numFmtId="0" fontId="73" fillId="15" borderId="0" applyAlignment="1" pivotButton="0" quotePrefix="0" xfId="0">
      <alignment horizontal="centerContinuous" vertical="center"/>
    </xf>
    <xf numFmtId="0" fontId="92" fillId="12" borderId="5" applyAlignment="1" pivotButton="0" quotePrefix="0" xfId="0">
      <alignment horizontal="center" vertical="center"/>
    </xf>
    <xf numFmtId="0" fontId="92" fillId="12" borderId="22" applyAlignment="1" pivotButton="0" quotePrefix="0" xfId="0">
      <alignment horizontal="center" vertical="center"/>
    </xf>
    <xf numFmtId="0" fontId="90" fillId="35" borderId="22" applyAlignment="1" pivotButton="0" quotePrefix="0" xfId="0">
      <alignment horizontal="centerContinuous" vertical="center"/>
    </xf>
    <xf numFmtId="0" fontId="53" fillId="8" borderId="34" applyAlignment="1" pivotButton="0" quotePrefix="0" xfId="0">
      <alignment horizontal="center" vertical="center"/>
    </xf>
    <xf numFmtId="0" fontId="20" fillId="8" borderId="51" applyAlignment="1" pivotButton="0" quotePrefix="0" xfId="0">
      <alignment horizontal="center" vertical="center" wrapText="1"/>
    </xf>
    <xf numFmtId="0" fontId="53" fillId="8" borderId="54" applyAlignment="1" pivotButton="0" quotePrefix="0" xfId="0">
      <alignment horizontal="center" vertical="center" wrapText="1"/>
    </xf>
    <xf numFmtId="0" fontId="53" fillId="8" borderId="51" applyAlignment="1" pivotButton="0" quotePrefix="0" xfId="0">
      <alignment horizontal="center" vertical="center"/>
    </xf>
    <xf numFmtId="0" fontId="53" fillId="8" borderId="54" applyAlignment="1" pivotButton="0" quotePrefix="0" xfId="0">
      <alignment horizontal="center" vertical="center"/>
    </xf>
    <xf numFmtId="0" fontId="53" fillId="8" borderId="0" applyAlignment="1" pivotButton="0" quotePrefix="0" xfId="0">
      <alignment horizontal="center" vertical="center"/>
    </xf>
    <xf numFmtId="0" fontId="53" fillId="8" borderId="55" applyAlignment="1" pivotButton="0" quotePrefix="0" xfId="0">
      <alignment horizontal="center" vertical="center"/>
    </xf>
    <xf numFmtId="49" fontId="53" fillId="8" borderId="0" applyAlignment="1" pivotButton="0" quotePrefix="0" xfId="0">
      <alignment horizontal="center" vertical="center"/>
    </xf>
    <xf numFmtId="49" fontId="53" fillId="8" borderId="34" applyAlignment="1" pivotButton="0" quotePrefix="0" xfId="0">
      <alignment horizontal="center" vertical="center"/>
    </xf>
    <xf numFmtId="49" fontId="53" fillId="8" borderId="21" applyAlignment="1" pivotButton="0" quotePrefix="0" xfId="0">
      <alignment horizontal="center" vertical="center"/>
    </xf>
    <xf numFmtId="0" fontId="53" fillId="8" borderId="21" applyAlignment="1" pivotButton="0" quotePrefix="0" xfId="0">
      <alignment horizontal="center" vertical="center"/>
    </xf>
    <xf numFmtId="0" fontId="55" fillId="37" borderId="5" applyAlignment="1" pivotButton="0" quotePrefix="0" xfId="0">
      <alignment horizontal="left" vertical="center" shrinkToFit="1"/>
    </xf>
    <xf numFmtId="1" fontId="56" fillId="37" borderId="5" applyAlignment="1" pivotButton="0" quotePrefix="0" xfId="0">
      <alignment horizontal="center" vertical="center" shrinkToFit="1"/>
    </xf>
    <xf numFmtId="0" fontId="56" fillId="37" borderId="5" applyAlignment="1" pivotButton="0" quotePrefix="0" xfId="0">
      <alignment horizontal="center" vertical="center" shrinkToFit="1"/>
    </xf>
    <xf numFmtId="0" fontId="56" fillId="37" borderId="5" applyAlignment="1" pivotButton="0" quotePrefix="0" xfId="0">
      <alignment horizontal="center" vertical="center"/>
    </xf>
    <xf numFmtId="1" fontId="56" fillId="37" borderId="5" applyAlignment="1" pivotButton="0" quotePrefix="0" xfId="2">
      <alignment horizontal="center" vertical="center" shrinkToFit="1"/>
    </xf>
    <xf numFmtId="0" fontId="56" fillId="37" borderId="5" applyAlignment="1" pivotButton="0" quotePrefix="0" xfId="2">
      <alignment horizontal="center" vertical="center" shrinkToFit="1"/>
    </xf>
    <xf numFmtId="1" fontId="56" fillId="37" borderId="5" applyAlignment="1" pivotButton="0" quotePrefix="0" xfId="2">
      <alignment horizontal="center" vertical="center"/>
    </xf>
    <xf numFmtId="0" fontId="56" fillId="37" borderId="5" applyAlignment="1" pivotButton="0" quotePrefix="0" xfId="0">
      <alignment horizontal="center" vertical="center" wrapText="1"/>
    </xf>
    <xf numFmtId="1" fontId="56" fillId="37" borderId="5" applyAlignment="1" pivotButton="0" quotePrefix="0" xfId="0">
      <alignment horizontal="center" vertical="center"/>
    </xf>
    <xf numFmtId="0" fontId="74" fillId="4" borderId="28" applyAlignment="1" pivotButton="0" quotePrefix="0" xfId="0">
      <alignment horizontal="centerContinuous" vertical="center"/>
    </xf>
    <xf numFmtId="0" fontId="63" fillId="26" borderId="0" applyAlignment="1" pivotButton="0" quotePrefix="0" xfId="0">
      <alignment horizontal="center" vertical="center"/>
    </xf>
    <xf numFmtId="0" fontId="47" fillId="0" borderId="9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0" fontId="47" fillId="0" borderId="11" applyAlignment="1" pivotButton="0" quotePrefix="0" xfId="0">
      <alignment horizontal="center" vertical="center"/>
    </xf>
    <xf numFmtId="0" fontId="47" fillId="0" borderId="16" applyAlignment="1" pivotButton="0" quotePrefix="0" xfId="0">
      <alignment horizontal="center" vertical="center"/>
    </xf>
    <xf numFmtId="0" fontId="62" fillId="11" borderId="3" applyAlignment="1" pivotButton="0" quotePrefix="0" xfId="0">
      <alignment horizontal="center" vertical="center"/>
    </xf>
    <xf numFmtId="0" fontId="62" fillId="11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Continuous" vertical="center"/>
    </xf>
    <xf numFmtId="0" fontId="2" fillId="25" borderId="11" applyAlignment="1" pivotButton="0" quotePrefix="0" xfId="0">
      <alignment horizontal="centerContinuous" vertical="center"/>
    </xf>
    <xf numFmtId="0" fontId="12" fillId="7" borderId="12" applyAlignment="1" pivotButton="0" quotePrefix="0" xfId="0">
      <alignment vertical="top"/>
    </xf>
    <xf numFmtId="0" fontId="66" fillId="0" borderId="9" applyAlignment="1" pivotButton="0" quotePrefix="0" xfId="0">
      <alignment horizontal="center" vertical="center"/>
    </xf>
    <xf numFmtId="0" fontId="62" fillId="0" borderId="9" applyAlignment="1" pivotButton="0" quotePrefix="0" xfId="0">
      <alignment horizontal="left" vertical="center"/>
    </xf>
    <xf numFmtId="0" fontId="62" fillId="0" borderId="19" applyAlignment="1" pivotButton="0" quotePrefix="0" xfId="0">
      <alignment horizontal="left" vertical="center"/>
    </xf>
    <xf numFmtId="0" fontId="62" fillId="0" borderId="14" applyAlignment="1" pivotButton="0" quotePrefix="0" xfId="0">
      <alignment horizontal="left" vertical="center"/>
    </xf>
    <xf numFmtId="0" fontId="4" fillId="15" borderId="56" applyAlignment="1" pivotButton="0" quotePrefix="0" xfId="0">
      <alignment vertical="center"/>
    </xf>
    <xf numFmtId="0" fontId="4" fillId="15" borderId="46" applyAlignment="1" pivotButton="0" quotePrefix="0" xfId="0">
      <alignment vertical="center"/>
    </xf>
    <xf numFmtId="0" fontId="4" fillId="15" borderId="46" applyAlignment="1" pivotButton="0" quotePrefix="0" xfId="0">
      <alignment horizontal="center" vertical="center"/>
    </xf>
    <xf numFmtId="0" fontId="4" fillId="15" borderId="3" applyAlignment="1" pivotButton="0" quotePrefix="0" xfId="0">
      <alignment vertical="center"/>
    </xf>
    <xf numFmtId="0" fontId="4" fillId="15" borderId="47" applyAlignment="1" pivotButton="0" quotePrefix="0" xfId="0">
      <alignment vertical="center"/>
    </xf>
    <xf numFmtId="0" fontId="74" fillId="0" borderId="53" applyAlignment="1" pivotButton="0" quotePrefix="0" xfId="0">
      <alignment horizontal="centerContinuous" vertical="center"/>
    </xf>
    <xf numFmtId="2" fontId="50" fillId="5" borderId="50" applyAlignment="1" pivotButton="0" quotePrefix="0" xfId="0">
      <alignment vertical="center"/>
    </xf>
    <xf numFmtId="2" fontId="50" fillId="5" borderId="11" applyAlignment="1" pivotButton="0" quotePrefix="0" xfId="0">
      <alignment vertical="center"/>
    </xf>
    <xf numFmtId="2" fontId="50" fillId="5" borderId="57" applyAlignment="1" pivotButton="0" quotePrefix="0" xfId="0">
      <alignment horizontal="centerContinuous" vertical="center"/>
    </xf>
    <xf numFmtId="0" fontId="24" fillId="8" borderId="58" applyAlignment="1" pivotButton="0" quotePrefix="0" xfId="0">
      <alignment horizontal="center" vertical="center" wrapText="1"/>
    </xf>
    <xf numFmtId="0" fontId="54" fillId="0" borderId="5" applyAlignment="1" pivotButton="0" quotePrefix="0" xfId="0">
      <alignment horizontal="center" vertical="center"/>
    </xf>
    <xf numFmtId="2" fontId="54" fillId="2" borderId="5" applyAlignment="1" pivotButton="0" quotePrefix="0" xfId="0">
      <alignment horizontal="right" vertical="center"/>
    </xf>
    <xf numFmtId="0" fontId="8" fillId="15" borderId="19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20" fillId="15" borderId="0" pivotButton="0" quotePrefix="0" xfId="0"/>
    <xf numFmtId="0" fontId="20" fillId="15" borderId="0" applyAlignment="1" pivotButton="0" quotePrefix="0" xfId="0">
      <alignment horizontal="center"/>
    </xf>
    <xf numFmtId="4" fontId="23" fillId="12" borderId="59" applyAlignment="1" pivotButton="0" quotePrefix="0" xfId="0">
      <alignment horizontal="right" vertical="center"/>
    </xf>
    <xf numFmtId="4" fontId="23" fillId="31" borderId="60" applyAlignment="1" pivotButton="0" quotePrefix="0" xfId="0">
      <alignment vertical="center"/>
    </xf>
    <xf numFmtId="0" fontId="8" fillId="15" borderId="14" applyAlignment="1" pivotButton="0" quotePrefix="0" xfId="0">
      <alignment vertical="center"/>
    </xf>
    <xf numFmtId="0" fontId="8" fillId="15" borderId="15" applyAlignment="1" pivotButton="0" quotePrefix="0" xfId="0">
      <alignment vertical="center"/>
    </xf>
    <xf numFmtId="0" fontId="20" fillId="15" borderId="15" pivotButton="0" quotePrefix="0" xfId="0"/>
    <xf numFmtId="0" fontId="20" fillId="15" borderId="15" applyAlignment="1" pivotButton="0" quotePrefix="0" xfId="0">
      <alignment horizontal="center"/>
    </xf>
    <xf numFmtId="4" fontId="23" fillId="15" borderId="61" applyAlignment="1" pivotButton="0" quotePrefix="0" xfId="0">
      <alignment horizontal="right" vertical="center"/>
    </xf>
    <xf numFmtId="0" fontId="74" fillId="4" borderId="29" applyAlignment="1" pivotButton="0" quotePrefix="0" xfId="0">
      <alignment horizontal="centerContinuous" vertical="center"/>
    </xf>
    <xf numFmtId="0" fontId="74" fillId="4" borderId="30" applyAlignment="1" pivotButton="0" quotePrefix="0" xfId="0">
      <alignment horizontal="centerContinuous" vertical="center"/>
    </xf>
    <xf numFmtId="4" fontId="90" fillId="35" borderId="1" applyAlignment="1" pivotButton="0" quotePrefix="0" xfId="0">
      <alignment horizontal="centerContinuous" vertical="center"/>
    </xf>
    <xf numFmtId="0" fontId="5" fillId="36" borderId="1" applyAlignment="1" pivotButton="0" quotePrefix="0" xfId="0">
      <alignment vertical="center"/>
    </xf>
    <xf numFmtId="4" fontId="5" fillId="32" borderId="59" applyAlignment="1" pivotButton="0" quotePrefix="0" xfId="0">
      <alignment horizontal="right" vertical="center"/>
    </xf>
    <xf numFmtId="1" fontId="90" fillId="35" borderId="1" applyAlignment="1" pivotButton="0" quotePrefix="0" xfId="0">
      <alignment horizontal="centerContinuous" vertical="center"/>
    </xf>
    <xf numFmtId="0" fontId="52" fillId="31" borderId="22" applyAlignment="1" pivotButton="0" quotePrefix="0" xfId="0">
      <alignment horizontal="left" vertical="center"/>
    </xf>
    <xf numFmtId="0" fontId="52" fillId="31" borderId="5" applyAlignment="1" pivotButton="0" quotePrefix="0" xfId="0">
      <alignment horizontal="left" vertical="center"/>
    </xf>
    <xf numFmtId="0" fontId="0" fillId="0" borderId="0" pivotButton="0" quotePrefix="0" xfId="0"/>
    <xf numFmtId="0" fontId="52" fillId="0" borderId="0" applyAlignment="1" pivotButton="0" quotePrefix="0" xfId="0">
      <alignment horizontal="center" vertical="center"/>
    </xf>
    <xf numFmtId="10" fontId="88" fillId="0" borderId="0" applyAlignment="1" pivotButton="0" quotePrefix="0" xfId="0">
      <alignment horizontal="center" vertical="center"/>
    </xf>
    <xf numFmtId="2" fontId="18" fillId="27" borderId="56" applyAlignment="1" pivotButton="0" quotePrefix="0" xfId="0">
      <alignment vertical="top"/>
    </xf>
    <xf numFmtId="2" fontId="8" fillId="27" borderId="46" applyAlignment="1" pivotButton="0" quotePrefix="0" xfId="0">
      <alignment vertical="center"/>
    </xf>
    <xf numFmtId="2" fontId="18" fillId="27" borderId="62" applyAlignment="1" pivotButton="0" quotePrefix="0" xfId="0">
      <alignment horizontal="right" vertical="center"/>
    </xf>
    <xf numFmtId="0" fontId="18" fillId="27" borderId="46" applyAlignment="1" pivotButton="0" quotePrefix="0" xfId="0">
      <alignment vertical="center"/>
    </xf>
    <xf numFmtId="0" fontId="18" fillId="27" borderId="46" applyAlignment="1" pivotButton="0" quotePrefix="0" xfId="0">
      <alignment horizontal="right" vertical="center"/>
    </xf>
    <xf numFmtId="10" fontId="18" fillId="27" borderId="47" applyAlignment="1" pivotButton="0" quotePrefix="0" xfId="0">
      <alignment vertical="center"/>
    </xf>
    <xf numFmtId="0" fontId="89" fillId="10" borderId="13" applyAlignment="1" pivotButton="0" quotePrefix="0" xfId="0">
      <alignment vertical="center"/>
    </xf>
    <xf numFmtId="0" fontId="89" fillId="10" borderId="63" applyAlignment="1" pivotButton="0" quotePrefix="0" xfId="0">
      <alignment horizontal="right" vertical="center"/>
    </xf>
    <xf numFmtId="0" fontId="52" fillId="0" borderId="0" applyAlignment="1" pivotButton="0" quotePrefix="0" xfId="0">
      <alignment horizontal="left" vertical="center"/>
    </xf>
    <xf numFmtId="1" fontId="90" fillId="35" borderId="14" applyAlignment="1" pivotButton="0" quotePrefix="0" xfId="0">
      <alignment horizontal="centerContinuous" vertical="center"/>
    </xf>
    <xf numFmtId="0" fontId="78" fillId="28" borderId="7" applyAlignment="1" pivotButton="0" quotePrefix="0" xfId="0">
      <alignment horizontal="center" vertical="center"/>
    </xf>
    <xf numFmtId="0" fontId="13" fillId="28" borderId="7" applyAlignment="1" pivotButton="0" quotePrefix="0" xfId="0">
      <alignment horizontal="center" vertical="center"/>
    </xf>
    <xf numFmtId="0" fontId="23" fillId="28" borderId="7" applyAlignment="1" pivotButton="0" quotePrefix="0" xfId="0">
      <alignment horizontal="center" vertical="center"/>
    </xf>
    <xf numFmtId="0" fontId="23" fillId="28" borderId="7" applyAlignment="1" pivotButton="0" quotePrefix="0" xfId="0">
      <alignment vertical="center"/>
    </xf>
    <xf numFmtId="0" fontId="23" fillId="28" borderId="7" applyAlignment="1" pivotButton="0" quotePrefix="0" xfId="0">
      <alignment vertical="center" wrapText="1"/>
    </xf>
    <xf numFmtId="0" fontId="23" fillId="28" borderId="14" applyAlignment="1" pivotButton="0" quotePrefix="0" xfId="0">
      <alignment vertical="center"/>
    </xf>
    <xf numFmtId="0" fontId="23" fillId="28" borderId="15" applyAlignment="1" pivotButton="0" quotePrefix="0" xfId="0">
      <alignment vertical="center"/>
    </xf>
    <xf numFmtId="0" fontId="23" fillId="28" borderId="16" applyAlignment="1" pivotButton="0" quotePrefix="0" xfId="0">
      <alignment vertical="center"/>
    </xf>
    <xf numFmtId="0" fontId="23" fillId="28" borderId="7" applyAlignment="1" pivotButton="0" quotePrefix="0" xfId="0">
      <alignment horizontal="center" vertical="center" wrapText="1"/>
    </xf>
    <xf numFmtId="0" fontId="70" fillId="27" borderId="9" applyAlignment="1" pivotButton="0" quotePrefix="0" xfId="0">
      <alignment vertical="center"/>
    </xf>
    <xf numFmtId="0" fontId="70" fillId="27" borderId="3" applyAlignment="1" pivotButton="0" quotePrefix="0" xfId="0">
      <alignment vertical="center"/>
    </xf>
    <xf numFmtId="0" fontId="70" fillId="27" borderId="4" applyAlignment="1" pivotButton="0" quotePrefix="0" xfId="0">
      <alignment vertical="center"/>
    </xf>
    <xf numFmtId="0" fontId="5" fillId="27" borderId="14" pivotButton="0" quotePrefix="0" xfId="0"/>
    <xf numFmtId="0" fontId="4" fillId="27" borderId="15" applyAlignment="1" pivotButton="0" quotePrefix="0" xfId="0">
      <alignment vertical="center"/>
    </xf>
    <xf numFmtId="14" fontId="4" fillId="27" borderId="15" pivotButton="0" quotePrefix="0" xfId="0"/>
    <xf numFmtId="0" fontId="4" fillId="27" borderId="15" pivotButton="0" quotePrefix="0" xfId="0"/>
    <xf numFmtId="14" fontId="4" fillId="27" borderId="16" applyAlignment="1" pivotButton="0" quotePrefix="0" xfId="0">
      <alignment horizontal="right"/>
    </xf>
    <xf numFmtId="14" fontId="82" fillId="27" borderId="22" applyAlignment="1" pivotButton="0" quotePrefix="0" xfId="0">
      <alignment vertical="center"/>
    </xf>
    <xf numFmtId="0" fontId="93" fillId="2" borderId="0" applyAlignment="1" pivotButton="0" quotePrefix="0" xfId="0">
      <alignment vertical="center"/>
    </xf>
    <xf numFmtId="2" fontId="18" fillId="27" borderId="29" applyAlignment="1" pivotButton="0" quotePrefix="0" xfId="0">
      <alignment vertical="center"/>
    </xf>
    <xf numFmtId="0" fontId="93" fillId="2" borderId="0" pivotButton="0" quotePrefix="0" xfId="0"/>
    <xf numFmtId="0" fontId="93" fillId="0" borderId="0" pivotButton="0" quotePrefix="0" xfId="0"/>
    <xf numFmtId="10" fontId="18" fillId="27" borderId="30" applyAlignment="1" pivotButton="0" quotePrefix="0" xfId="0">
      <alignment horizontal="right" vertical="center"/>
    </xf>
    <xf numFmtId="0" fontId="9" fillId="2" borderId="0" applyAlignment="1" pivotButton="0" quotePrefix="0" xfId="0">
      <alignment vertical="center"/>
    </xf>
    <xf numFmtId="0" fontId="87" fillId="38" borderId="48" applyAlignment="1" pivotButton="0" quotePrefix="0" xfId="0">
      <alignment vertical="center"/>
    </xf>
    <xf numFmtId="0" fontId="87" fillId="38" borderId="49" applyAlignment="1" pivotButton="0" quotePrefix="0" xfId="0">
      <alignment vertical="center"/>
    </xf>
    <xf numFmtId="0" fontId="87" fillId="38" borderId="52" applyAlignment="1" pivotButton="0" quotePrefix="0" xfId="0">
      <alignment horizontal="right" vertical="center"/>
    </xf>
    <xf numFmtId="0" fontId="9" fillId="2" borderId="0" pivotButton="0" quotePrefix="0" xfId="0"/>
    <xf numFmtId="0" fontId="87" fillId="38" borderId="53" applyAlignment="1" pivotButton="0" quotePrefix="0" xfId="0">
      <alignment vertical="center"/>
    </xf>
    <xf numFmtId="0" fontId="87" fillId="38" borderId="33" applyAlignment="1" pivotButton="0" quotePrefix="0" xfId="0">
      <alignment vertical="center"/>
    </xf>
    <xf numFmtId="0" fontId="87" fillId="38" borderId="50" applyAlignment="1" pivotButton="0" quotePrefix="0" xfId="0">
      <alignment horizontal="right" vertical="center"/>
    </xf>
    <xf numFmtId="0" fontId="9" fillId="0" borderId="0" pivotButton="0" quotePrefix="0" xfId="0"/>
    <xf numFmtId="0" fontId="5" fillId="7" borderId="14" applyAlignment="1" pivotButton="0" quotePrefix="0" xfId="0">
      <alignment horizontal="left" vertical="center"/>
    </xf>
    <xf numFmtId="4" fontId="5" fillId="32" borderId="44" applyAlignment="1" pivotButton="0" quotePrefix="0" xfId="0">
      <alignment horizontal="right" vertical="center"/>
    </xf>
    <xf numFmtId="0" fontId="91" fillId="10" borderId="0" applyAlignment="1" pivotButton="0" quotePrefix="0" xfId="0">
      <alignment horizontal="centerContinuous" vertical="center"/>
    </xf>
    <xf numFmtId="0" fontId="23" fillId="28" borderId="0" applyAlignment="1" pivotButton="0" quotePrefix="0" xfId="0">
      <alignment horizontal="centerContinuous" vertical="center"/>
    </xf>
    <xf numFmtId="0" fontId="5" fillId="27" borderId="0" applyAlignment="1" pivotButton="0" quotePrefix="0" xfId="0">
      <alignment horizontal="center" vertical="center"/>
    </xf>
    <xf numFmtId="166" fontId="34" fillId="0" borderId="2" applyAlignment="1" pivotButton="0" quotePrefix="0" xfId="0">
      <alignment vertical="center" wrapText="1"/>
    </xf>
    <xf numFmtId="167" fontId="21" fillId="14" borderId="9" applyAlignment="1" pivotButton="0" quotePrefix="0" xfId="0">
      <alignment horizontal="center"/>
    </xf>
    <xf numFmtId="168" fontId="7" fillId="15" borderId="27" applyAlignment="1" pivotButton="0" quotePrefix="0" xfId="0">
      <alignment horizontal="center" vertical="center"/>
    </xf>
    <xf numFmtId="168" fontId="7" fillId="15" borderId="23" applyAlignment="1" pivotButton="0" quotePrefix="0" xfId="0">
      <alignment horizontal="center" vertical="center"/>
    </xf>
    <xf numFmtId="169" fontId="76" fillId="29" borderId="1" applyAlignment="1" pivotButton="0" quotePrefix="0" xfId="0">
      <alignment horizontal="center" vertical="center"/>
    </xf>
    <xf numFmtId="169" fontId="76" fillId="29" borderId="3" applyAlignment="1" pivotButton="0" quotePrefix="0" xfId="0">
      <alignment horizontal="center" vertical="center"/>
    </xf>
    <xf numFmtId="169" fontId="76" fillId="29" borderId="4" applyAlignment="1" pivotButton="0" quotePrefix="0" xfId="0">
      <alignment horizontal="center" vertical="center"/>
    </xf>
    <xf numFmtId="169" fontId="75" fillId="7" borderId="33" applyAlignment="1" pivotButton="0" quotePrefix="0" xfId="0">
      <alignment horizontal="center" vertical="center"/>
    </xf>
    <xf numFmtId="169" fontId="75" fillId="7" borderId="50" applyAlignment="1" pivotButton="0" quotePrefix="0" xfId="0">
      <alignment horizontal="center" vertical="center"/>
    </xf>
    <xf numFmtId="169" fontId="76" fillId="29" borderId="29" applyAlignment="1" pivotButton="0" quotePrefix="0" xfId="0">
      <alignment horizontal="center" vertical="center"/>
    </xf>
    <xf numFmtId="169" fontId="75" fillId="7" borderId="29" applyAlignment="1" pivotButton="0" quotePrefix="0" xfId="0">
      <alignment horizontal="center" vertical="center"/>
    </xf>
    <xf numFmtId="169" fontId="75" fillId="7" borderId="30" applyAlignment="1" pivotButton="0" quotePrefix="0" xfId="0">
      <alignment horizontal="center" vertical="center"/>
    </xf>
    <xf numFmtId="169" fontId="76" fillId="29" borderId="28" applyAlignment="1" pivotButton="0" quotePrefix="0" xfId="0">
      <alignment horizontal="center" vertical="center"/>
    </xf>
    <xf numFmtId="170" fontId="59" fillId="10" borderId="5" applyAlignment="1" pivotButton="0" quotePrefix="0" xfId="0">
      <alignment horizontal="center" vertical="center"/>
    </xf>
    <xf numFmtId="168" fontId="54" fillId="30" borderId="5" applyAlignment="1" pivotButton="0" quotePrefix="0" xfId="0">
      <alignment horizontal="center" vertical="center" wrapText="1"/>
    </xf>
    <xf numFmtId="168" fontId="54" fillId="24" borderId="5" applyAlignment="1" pivotButton="0" quotePrefix="0" xfId="0">
      <alignment horizontal="center" vertical="center" wrapText="1"/>
    </xf>
    <xf numFmtId="170" fontId="92" fillId="7" borderId="5" applyAlignment="1" pivotButton="0" quotePrefix="0" xfId="0">
      <alignment horizontal="center" vertical="center"/>
    </xf>
    <xf numFmtId="171" fontId="45" fillId="0" borderId="0" pivotButton="0" quotePrefix="0" xfId="0"/>
    <xf numFmtId="168" fontId="54" fillId="30" borderId="8" applyAlignment="1" pivotButton="0" quotePrefix="0" xfId="0">
      <alignment horizontal="center" vertical="center" wrapText="1"/>
    </xf>
    <xf numFmtId="172" fontId="62" fillId="25" borderId="19" applyAlignment="1" pivotButton="0" quotePrefix="0" xfId="0">
      <alignment horizontal="centerContinuous" vertical="center"/>
    </xf>
    <xf numFmtId="167" fontId="13" fillId="34" borderId="5" applyAlignment="1" pivotButton="0" quotePrefix="0" xfId="0">
      <alignment horizontal="center" vertical="center"/>
    </xf>
    <xf numFmtId="167" fontId="8" fillId="35" borderId="14" applyAlignment="1" pivotButton="0" quotePrefix="0" xfId="0">
      <alignment horizontal="center" vertical="center"/>
    </xf>
    <xf numFmtId="167" fontId="8" fillId="35" borderId="16" applyAlignment="1" pivotButton="0" quotePrefix="0" xfId="0">
      <alignment horizontal="center" vertical="center"/>
    </xf>
    <xf numFmtId="168" fontId="90" fillId="35" borderId="1" applyAlignment="1" pivotButton="0" quotePrefix="0" xfId="0">
      <alignment horizontal="centerContinuous" vertical="center"/>
    </xf>
    <xf numFmtId="168" fontId="90" fillId="35" borderId="22" applyAlignment="1" pivotButton="0" quotePrefix="0" xfId="0">
      <alignment horizontal="centerContinuous" vertical="center"/>
    </xf>
    <xf numFmtId="167" fontId="8" fillId="35" borderId="14" applyAlignment="1" pivotButton="0" quotePrefix="0" xfId="0">
      <alignment horizontal="centerContinuous" vertical="center"/>
    </xf>
    <xf numFmtId="168" fontId="90" fillId="35" borderId="0" applyAlignment="1" pivotButton="0" quotePrefix="0" xfId="0">
      <alignment horizontal="centerContinuous" vertical="center"/>
    </xf>
    <xf numFmtId="167" fontId="8" fillId="35" borderId="1" applyAlignment="1" pivotButton="0" quotePrefix="0" xfId="0">
      <alignment vertical="center"/>
    </xf>
    <xf numFmtId="167" fontId="8" fillId="35" borderId="22" applyAlignment="1" pivotButton="0" quotePrefix="0" xfId="0">
      <alignment horizontal="left" vertical="center"/>
    </xf>
    <xf numFmtId="171" fontId="84" fillId="0" borderId="22" applyAlignment="1" pivotButton="0" quotePrefix="0" xfId="0">
      <alignment horizontal="center" vertical="center"/>
    </xf>
    <xf numFmtId="167" fontId="8" fillId="35" borderId="5" applyAlignment="1" pivotButton="0" quotePrefix="0" xfId="0">
      <alignment horizontal="center" vertical="center"/>
    </xf>
    <xf numFmtId="170" fontId="59" fillId="37" borderId="5" applyAlignment="1" pivotButton="0" quotePrefix="0" xfId="0">
      <alignment horizontal="center" vertical="center"/>
    </xf>
    <xf numFmtId="167" fontId="20" fillId="4" borderId="1" applyAlignment="1" pivotButton="0" quotePrefix="0" xfId="0">
      <alignment horizontal="center" vertical="center"/>
    </xf>
    <xf numFmtId="0" fontId="0" fillId="0" borderId="2" pivotButton="0" quotePrefix="0" xfId="0"/>
    <xf numFmtId="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7" fillId="15" borderId="9" applyAlignment="1" pivotButton="0" quotePrefix="0" xfId="0">
      <alignment horizontal="right" vertical="center"/>
    </xf>
    <xf numFmtId="0" fontId="0" fillId="0" borderId="3" pivotButton="0" quotePrefix="0" xfId="0"/>
    <xf numFmtId="0" fontId="17" fillId="15" borderId="14" applyAlignment="1" pivotButton="0" quotePrefix="0" xfId="0">
      <alignment horizontal="right" vertical="center"/>
    </xf>
    <xf numFmtId="9" fontId="20" fillId="4" borderId="14" applyAlignment="1" pivotButton="0" quotePrefix="0" xfId="0">
      <alignment horizontal="center" vertical="center"/>
    </xf>
    <xf numFmtId="0" fontId="52" fillId="32" borderId="34" applyAlignment="1" pivotButton="0" quotePrefix="0" xfId="0">
      <alignment horizontal="right" vertical="center"/>
    </xf>
    <xf numFmtId="0" fontId="0" fillId="0" borderId="34" pivotButton="0" quotePrefix="0" xfId="0"/>
    <xf numFmtId="0" fontId="23" fillId="31" borderId="34" applyAlignment="1" pivotButton="0" quotePrefix="0" xfId="0">
      <alignment horizontal="right" vertical="center"/>
    </xf>
    <xf numFmtId="0" fontId="23" fillId="15" borderId="30" applyAlignment="1" pivotButton="0" quotePrefix="0" xfId="0">
      <alignment horizontal="right" vertical="center"/>
    </xf>
    <xf numFmtId="0" fontId="0" fillId="0" borderId="30" pivotButton="0" quotePrefix="0" xfId="0"/>
    <xf numFmtId="0" fontId="8" fillId="15" borderId="37" applyAlignment="1" pivotButton="0" quotePrefix="0" xfId="0">
      <alignment horizontal="left" vertical="center"/>
    </xf>
    <xf numFmtId="0" fontId="0" fillId="0" borderId="37" pivotButton="0" quotePrefix="0" xfId="0"/>
    <xf numFmtId="0" fontId="8" fillId="15" borderId="0" applyAlignment="1" pivotButton="0" quotePrefix="0" xfId="0">
      <alignment horizontal="left" vertical="center"/>
    </xf>
    <xf numFmtId="0" fontId="0" fillId="0" borderId="0" pivotButton="0" quotePrefix="0" xfId="0"/>
    <xf numFmtId="2" fontId="74" fillId="2" borderId="45" applyAlignment="1" pivotButton="0" quotePrefix="0" xfId="0">
      <alignment horizontal="center" vertical="center"/>
    </xf>
    <xf numFmtId="0" fontId="0" fillId="0" borderId="29" pivotButton="0" quotePrefix="0" xfId="0"/>
    <xf numFmtId="0" fontId="23" fillId="12" borderId="30" applyAlignment="1" pivotButton="0" quotePrefix="0" xfId="0">
      <alignment horizontal="right" vertical="center"/>
    </xf>
    <xf numFmtId="0" fontId="74" fillId="2" borderId="45" applyAlignment="1" pivotButton="0" quotePrefix="0" xfId="0">
      <alignment horizontal="center" vertical="center"/>
    </xf>
    <xf numFmtId="49" fontId="83" fillId="31" borderId="5" applyAlignment="1" pivotButton="0" quotePrefix="0" xfId="0">
      <alignment horizontal="center" vertical="center"/>
    </xf>
    <xf numFmtId="0" fontId="0" fillId="0" borderId="22" pivotButton="0" quotePrefix="0" xfId="0"/>
    <xf numFmtId="0" fontId="5" fillId="27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3" fillId="15" borderId="52" applyAlignment="1" pivotButton="0" quotePrefix="0" xfId="0">
      <alignment horizontal="right" vertical="center"/>
    </xf>
    <xf numFmtId="0" fontId="0" fillId="0" borderId="52" pivotButton="0" quotePrefix="0" xfId="0"/>
    <xf numFmtId="0" fontId="8" fillId="15" borderId="15" applyAlignment="1" pivotButton="0" quotePrefix="0" xfId="0">
      <alignment horizontal="left" vertical="center"/>
    </xf>
    <xf numFmtId="14" fontId="4" fillId="27" borderId="4" applyAlignment="1" pivotButton="0" quotePrefix="0" xfId="0">
      <alignment horizontal="right"/>
    </xf>
    <xf numFmtId="0" fontId="0" fillId="0" borderId="4" pivotButton="0" quotePrefix="0" xfId="0"/>
    <xf numFmtId="0" fontId="70" fillId="27" borderId="8" applyAlignment="1" pivotButton="0" quotePrefix="0" xfId="0">
      <alignment horizontal="right" vertical="center"/>
    </xf>
    <xf numFmtId="0" fontId="94" fillId="0" borderId="0" pivotButton="0" quotePrefix="0" xfId="0"/>
    <xf numFmtId="0" fontId="94" fillId="0" borderId="0" pivotButton="0" quotePrefix="1" xfId="0"/>
    <xf numFmtId="0" fontId="26" fillId="19" borderId="19" applyAlignment="1" pivotButton="0" quotePrefix="0" xfId="0">
      <alignment vertical="center"/>
    </xf>
    <xf numFmtId="166" fontId="34" fillId="0" borderId="2" applyAlignment="1" pivotButton="0" quotePrefix="0" xfId="0">
      <alignment vertical="center" wrapText="1"/>
    </xf>
    <xf numFmtId="167" fontId="21" fillId="14" borderId="9" applyAlignment="1" pivotButton="0" quotePrefix="0" xfId="0">
      <alignment horizontal="center"/>
    </xf>
    <xf numFmtId="167" fontId="20" fillId="4" borderId="1" applyAlignment="1" pivotButton="0" quotePrefix="0" xfId="0">
      <alignment horizontal="center" vertical="center"/>
    </xf>
    <xf numFmtId="168" fontId="7" fillId="15" borderId="27" applyAlignment="1" pivotButton="0" quotePrefix="0" xfId="0">
      <alignment horizontal="center" vertical="center"/>
    </xf>
    <xf numFmtId="168" fontId="7" fillId="15" borderId="23" applyAlignment="1" pivotButton="0" quotePrefix="0" xfId="0">
      <alignment horizontal="center" vertical="center"/>
    </xf>
    <xf numFmtId="165" fontId="74" fillId="29" borderId="9" applyAlignment="1" pivotButton="0" quotePrefix="0" xfId="0">
      <alignment horizontal="centerContinuous" vertical="center"/>
    </xf>
    <xf numFmtId="169" fontId="76" fillId="29" borderId="1" applyAlignment="1" pivotButton="0" quotePrefix="0" xfId="0">
      <alignment horizontal="center" vertical="center"/>
    </xf>
    <xf numFmtId="169" fontId="76" fillId="29" borderId="3" applyAlignment="1" pivotButton="0" quotePrefix="0" xfId="0">
      <alignment horizontal="center" vertical="center"/>
    </xf>
    <xf numFmtId="169" fontId="76" fillId="29" borderId="4" applyAlignment="1" pivotButton="0" quotePrefix="0" xfId="0">
      <alignment horizontal="center" vertical="center"/>
    </xf>
    <xf numFmtId="169" fontId="75" fillId="7" borderId="33" applyAlignment="1" pivotButton="0" quotePrefix="0" xfId="0">
      <alignment horizontal="center" vertical="center"/>
    </xf>
    <xf numFmtId="169" fontId="75" fillId="7" borderId="50" applyAlignment="1" pivotButton="0" quotePrefix="0" xfId="0">
      <alignment horizontal="center" vertical="center"/>
    </xf>
    <xf numFmtId="169" fontId="76" fillId="29" borderId="29" applyAlignment="1" pivotButton="0" quotePrefix="0" xfId="0">
      <alignment horizontal="center" vertical="center"/>
    </xf>
    <xf numFmtId="169" fontId="75" fillId="7" borderId="29" applyAlignment="1" pivotButton="0" quotePrefix="0" xfId="0">
      <alignment horizontal="center" vertical="center"/>
    </xf>
    <xf numFmtId="169" fontId="75" fillId="7" borderId="30" applyAlignment="1" pivotButton="0" quotePrefix="0" xfId="0">
      <alignment horizontal="center" vertical="center"/>
    </xf>
    <xf numFmtId="169" fontId="76" fillId="29" borderId="28" applyAlignment="1" pivotButton="0" quotePrefix="0" xfId="0">
      <alignment horizontal="center" vertical="center"/>
    </xf>
    <xf numFmtId="170" fontId="59" fillId="10" borderId="5" applyAlignment="1" pivotButton="0" quotePrefix="0" xfId="0">
      <alignment horizontal="center" vertical="center"/>
    </xf>
    <xf numFmtId="164" fontId="57" fillId="9" borderId="5" applyAlignment="1" pivotButton="0" quotePrefix="0" xfId="0">
      <alignment horizontal="center" vertical="center"/>
    </xf>
    <xf numFmtId="168" fontId="54" fillId="30" borderId="5" applyAlignment="1" pivotButton="0" quotePrefix="0" xfId="0">
      <alignment horizontal="center" vertical="center" wrapText="1"/>
    </xf>
    <xf numFmtId="168" fontId="54" fillId="24" borderId="5" applyAlignment="1" pivotButton="0" quotePrefix="0" xfId="0">
      <alignment horizontal="center" vertical="center" wrapText="1"/>
    </xf>
    <xf numFmtId="170" fontId="92" fillId="7" borderId="5" applyAlignment="1" pivotButton="0" quotePrefix="0" xfId="0">
      <alignment horizontal="center" vertical="center"/>
    </xf>
    <xf numFmtId="171" fontId="45" fillId="0" borderId="0" pivotButton="0" quotePrefix="0" xfId="0"/>
    <xf numFmtId="168" fontId="54" fillId="30" borderId="8" applyAlignment="1" pivotButton="0" quotePrefix="0" xfId="0">
      <alignment horizontal="center" vertical="center" wrapText="1"/>
    </xf>
    <xf numFmtId="172" fontId="62" fillId="25" borderId="19" applyAlignment="1" pivotButton="0" quotePrefix="0" xfId="0">
      <alignment horizontal="centerContinuous" vertical="center"/>
    </xf>
    <xf numFmtId="165" fontId="62" fillId="25" borderId="9" applyAlignment="1" pivotButton="0" quotePrefix="0" xfId="0">
      <alignment horizontal="centerContinuous" vertical="center"/>
    </xf>
    <xf numFmtId="165" fontId="62" fillId="25" borderId="9" applyAlignment="1" pivotButton="0" quotePrefix="0" xfId="0">
      <alignment horizontal="centerContinuous"/>
    </xf>
    <xf numFmtId="167" fontId="13" fillId="34" borderId="5" applyAlignment="1" pivotButton="0" quotePrefix="0" xfId="0">
      <alignment horizontal="center" vertical="center"/>
    </xf>
    <xf numFmtId="167" fontId="8" fillId="35" borderId="14" applyAlignment="1" pivotButton="0" quotePrefix="0" xfId="0">
      <alignment horizontal="center" vertical="center"/>
    </xf>
    <xf numFmtId="167" fontId="8" fillId="35" borderId="16" applyAlignment="1" pivotButton="0" quotePrefix="0" xfId="0">
      <alignment horizontal="center" vertical="center"/>
    </xf>
    <xf numFmtId="168" fontId="90" fillId="35" borderId="1" applyAlignment="1" pivotButton="0" quotePrefix="0" xfId="0">
      <alignment horizontal="centerContinuous" vertical="center"/>
    </xf>
    <xf numFmtId="168" fontId="90" fillId="35" borderId="22" applyAlignment="1" pivotButton="0" quotePrefix="0" xfId="0">
      <alignment horizontal="centerContinuous" vertical="center"/>
    </xf>
    <xf numFmtId="167" fontId="8" fillId="35" borderId="14" applyAlignment="1" pivotButton="0" quotePrefix="0" xfId="0">
      <alignment horizontal="centerContinuous" vertical="center"/>
    </xf>
    <xf numFmtId="168" fontId="90" fillId="35" borderId="0" applyAlignment="1" pivotButton="0" quotePrefix="0" xfId="0">
      <alignment horizontal="centerContinuous" vertical="center"/>
    </xf>
    <xf numFmtId="167" fontId="8" fillId="35" borderId="1" applyAlignment="1" pivotButton="0" quotePrefix="0" xfId="0">
      <alignment vertical="center"/>
    </xf>
    <xf numFmtId="167" fontId="8" fillId="35" borderId="22" applyAlignment="1" pivotButton="0" quotePrefix="0" xfId="0">
      <alignment horizontal="left" vertical="center"/>
    </xf>
    <xf numFmtId="171" fontId="84" fillId="0" borderId="22" applyAlignment="1" pivotButton="0" quotePrefix="0" xfId="0">
      <alignment horizontal="center" vertical="center"/>
    </xf>
    <xf numFmtId="167" fontId="8" fillId="35" borderId="5" applyAlignment="1" pivotButton="0" quotePrefix="0" xfId="0">
      <alignment horizontal="center" vertical="center"/>
    </xf>
    <xf numFmtId="170" fontId="59" fillId="37" borderId="5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3" xfId="2"/>
  </cellStyles>
  <dxfs count="803"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66FF33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66FF33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 val="1"/>
        <color auto="1"/>
      </font>
      <fill>
        <patternFill>
          <bgColor theme="8" tint="0.3999450666829432"/>
        </patternFill>
      </fill>
    </dxf>
    <dxf>
      <fill>
        <patternFill>
          <bgColor rgb="FF00FF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66FF33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66FF33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ont>
        <b val="1"/>
        <color auto="1"/>
      </font>
      <fill>
        <patternFill>
          <bgColor theme="8" tint="0.3999450666829432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ont>
        <b val="1"/>
        <color rgb="FFFFFF00"/>
      </font>
      <fill>
        <gradientFill type="linear" degree="90">
          <stop position="0">
            <color theme="1" tint="0.1490218817712943"/>
          </stop>
          <stop position="0.5">
            <color rgb="FF0070C0"/>
          </stop>
          <stop position="1">
            <color theme="1" tint="0.1490218817712943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66FF33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16F616"/>
          </stop>
        </gradientFill>
      </fill>
    </dxf>
    <dxf>
      <font>
        <b val="1"/>
        <i val="1"/>
        <u val="single"/>
      </font>
      <fill>
        <gradientFill type="path" left="0.5" right="0.5" top="0.5" bottom="0.5">
          <stop position="0">
            <color theme="0"/>
          </stop>
          <stop position="1">
            <color rgb="FF00B0F0"/>
          </stop>
        </gradientFill>
      </fill>
    </dxf>
    <dxf>
      <fill>
        <patternFill>
          <bgColor rgb="FFFF0000"/>
        </patternFill>
      </fill>
    </dxf>
    <dxf>
      <font>
        <b val="1"/>
        <color auto="1"/>
      </font>
      <fill>
        <patternFill>
          <bgColor theme="8" tint="0.3999450666829432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</font>
      <numFmt numFmtId="0" formatCode="General"/>
      <fill>
        <patternFill>
          <bgColor rgb="FFFFC000"/>
        </patternFill>
      </fill>
    </dxf>
    <dxf>
      <font>
        <b val="1"/>
        <color theme="0"/>
      </font>
      <numFmt numFmtId="0" formatCode="General"/>
      <fill>
        <patternFill>
          <bgColor theme="9" tint="-0.499984740745262"/>
        </patternFill>
      </fill>
    </dxf>
    <dxf>
      <font>
        <b val="1"/>
        <color auto="1"/>
      </font>
      <numFmt numFmtId="0" formatCode="General"/>
      <fill>
        <patternFill>
          <bgColor rgb="FF00B050"/>
        </patternFill>
      </fill>
    </dxf>
    <dxf>
      <font>
        <b val="1"/>
        <color rgb="FF9A0000"/>
      </font>
      <numFmt numFmtId="0" formatCode="General"/>
      <fill>
        <patternFill>
          <bgColor theme="0" tint="-0.3499862666707358"/>
        </patternFill>
      </fill>
    </dxf>
    <dxf>
      <font>
        <b val="1"/>
        <color theme="0"/>
      </font>
      <numFmt numFmtId="0" formatCode="General"/>
      <fill>
        <patternFill>
          <bgColor rgb="FF6F1E7C"/>
        </patternFill>
      </fill>
    </dxf>
    <dxf>
      <font>
        <b val="1"/>
        <color auto="1"/>
      </font>
      <numFmt numFmtId="0" formatCode="General"/>
      <fill>
        <patternFill>
          <bgColor rgb="FF00B0F0"/>
        </patternFill>
      </fill>
    </dxf>
    <dxf>
      <font>
        <b val="1"/>
        <color auto="1"/>
      </font>
      <numFmt numFmtId="0" formatCode="General"/>
      <fill>
        <patternFill>
          <bgColor rgb="FFE438D8"/>
        </patternFill>
      </fill>
    </dxf>
    <dxf>
      <font>
        <b val="1"/>
        <color theme="0"/>
      </font>
      <numFmt numFmtId="0" formatCode="General"/>
      <fill>
        <patternFill>
          <bgColor theme="1" tint="0.1499374370555742"/>
        </patternFill>
      </fill>
    </dxf>
    <dxf>
      <font>
        <b val="1"/>
        <color theme="0"/>
      </font>
      <numFmt numFmtId="0" formatCode="General"/>
      <fill>
        <patternFill>
          <bgColor rgb="FF13C305"/>
        </patternFill>
      </fill>
    </dxf>
    <dxf>
      <font>
        <b val="1"/>
      </font>
      <numFmt numFmtId="0" formatCode="General"/>
      <fill>
        <patternFill>
          <bgColor rgb="FFFFFF00"/>
        </patternFill>
      </fill>
    </dxf>
    <dxf>
      <font>
        <b val="1"/>
        <color theme="0"/>
      </font>
      <numFmt numFmtId="0" formatCode="General"/>
      <fill>
        <patternFill>
          <bgColor rgb="FF3729F3"/>
        </patternFill>
      </fill>
    </dxf>
    <dxf>
      <font>
        <b val="1"/>
      </font>
      <numFmt numFmtId="0" formatCode="General"/>
      <fill>
        <patternFill>
          <bgColor theme="0"/>
        </patternFill>
      </fill>
    </dxf>
    <dxf>
      <font>
        <b val="1"/>
        <color theme="0"/>
      </font>
      <numFmt numFmtId="0" formatCode="General"/>
      <fill>
        <patternFill>
          <bgColor rgb="FFFF0000"/>
        </patternFill>
      </fill>
    </dxf>
    <dxf>
      <font>
        <b val="1"/>
        <color theme="0"/>
      </font>
      <fill>
        <patternFill>
          <bgColor rgb="FF8D42C6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2" formatCode="0.00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26"/>
        <vertAlign val="baseline"/>
        <scheme val="minor"/>
      </font>
      <numFmt numFmtId="1" formatCode="0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numFmt numFmtId="17" formatCode="#\ ?/?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numFmt numFmtId="17" formatCode="#\ ?/?"/>
      <alignment horizontal="center" vertical="center"/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2" formatCode="0.00"/>
      <fill>
        <patternFill patternType="solid">
          <fgColor indexed="64"/>
          <bgColor theme="0"/>
        </patternFill>
      </fill>
      <alignment horizontal="right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rgb="FF66FF33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theme="3" tint="0.49998474074526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0000"/>
        <extend val="0"/>
        <sz val="14"/>
        <vertAlign val="baseline"/>
      </font>
      <numFmt numFmtId="0" formatCode="General"/>
      <fill>
        <patternFill patternType="solid">
          <fgColor indexed="64"/>
          <bgColor theme="6" tint="0.7999816888943144"/>
        </patternFill>
      </fill>
      <alignment horizontal="left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1"/>
        <extend val="0"/>
        <sz val="14"/>
        <vertAlign val="baseline"/>
      </font>
      <numFmt numFmtId="167" formatCode="&quot;COD &quot;0"/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0" formatCode="General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auto="1"/>
        </right>
        <top style="thin">
          <color rgb="FF000000"/>
        </top>
      </border>
    </dxf>
    <dxf>
      <font>
        <name val="Aptos Narrow"/>
        <family val="2"/>
        <b val="1"/>
        <strike val="0"/>
        <outline val="0"/>
        <shadow val="0"/>
        <condense val="0"/>
        <color rgb="FF00B0F0"/>
        <extend val="0"/>
        <sz val="14"/>
        <vertAlign val="baseline"/>
        <scheme val="minor"/>
      </font>
      <fill>
        <patternFill patternType="solid">
          <fgColor indexed="64"/>
          <bgColor rgb="FF00B0F0"/>
        </patternFill>
      </fill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2" formatCode="0.00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26"/>
        <vertAlign val="baseline"/>
        <scheme val="minor"/>
      </font>
      <numFmt numFmtId="1" formatCode="0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numFmt numFmtId="17" formatCode="#\ ?/?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numFmt numFmtId="17" formatCode="#\ ?/?"/>
      <alignment horizontal="center" vertical="center"/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2" formatCode="0.00"/>
      <fill>
        <patternFill patternType="solid">
          <fgColor indexed="64"/>
          <bgColor theme="0"/>
        </patternFill>
      </fill>
      <alignment horizontal="right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rgb="FF66FF33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theme="3" tint="0.49998474074526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6" tint="0.7999816888943144"/>
        </patternFill>
      </fill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0000"/>
        <extend val="0"/>
        <sz val="14"/>
        <vertAlign val="baseline"/>
      </font>
      <numFmt numFmtId="0" formatCode="General"/>
      <fill>
        <patternFill patternType="solid">
          <fgColor indexed="64"/>
          <bgColor theme="6" tint="0.7999816888943144"/>
        </patternFill>
      </fill>
      <alignment horizontal="left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1"/>
        <extend val="0"/>
        <sz val="14"/>
        <vertAlign val="baseline"/>
      </font>
      <numFmt numFmtId="167" formatCode="&quot;COD &quot;0"/>
      <fill>
        <patternFill patternType="solid">
          <fgColor indexed="64"/>
          <bgColor theme="6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0" formatCode="General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auto="1"/>
        </right>
        <top style="thin">
          <color indexed="64"/>
        </top>
      </border>
    </dxf>
    <dxf>
      <font>
        <name val="Aptos Narrow"/>
        <family val="2"/>
        <b val="1"/>
        <strike val="0"/>
        <outline val="0"/>
        <shadow val="0"/>
        <condense val="0"/>
        <color rgb="FF00B0F0"/>
        <extend val="0"/>
        <sz val="14"/>
        <vertAlign val="baseline"/>
        <scheme val="minor"/>
      </font>
      <fill>
        <patternFill patternType="solid">
          <fgColor indexed="64"/>
          <bgColor rgb="FF00B0F0"/>
        </patternFill>
      </fill>
      <alignment horizontal="center" vertical="center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  <numFmt numFmtId="2" formatCode="0.00"/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</dxf>
    <dxf>
      <font>
        <name val="Aptos Narrow"/>
        <family val="2"/>
        <strike val="0"/>
        <outline val="0"/>
        <shadow val="0"/>
        <color theme="1"/>
        <sz val="16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26"/>
        <vertAlign val="baseline"/>
        <scheme val="minor"/>
      </font>
      <numFmt numFmtId="1" formatCode="0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numFmt numFmtId="17" formatCode="#\ ?/?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0"/>
        <vertAlign val="baseline"/>
        <scheme val="minor"/>
      </font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26"/>
        <vertAlign val="baseline"/>
        <scheme val="minor"/>
      </font>
      <alignment horizontal="center" vertical="center"/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2" formatCode="0.00"/>
      <fill>
        <patternFill patternType="solid">
          <fgColor indexed="64"/>
          <bgColor theme="0"/>
        </patternFill>
      </fill>
      <alignment horizontal="right" vertical="center"/>
      <border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rgb="FF66FF33"/>
        </patternFill>
      </fill>
      <alignment horizontal="center" vertical="center" wrapText="1"/>
      <border>
        <left/>
        <right/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font>
        <name val="ADLaM Display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30" formatCode="@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indexed="64"/>
        </left>
        <right/>
        <top style="medium">
          <color auto="1"/>
        </top>
        <bottom style="medium">
          <color auto="1"/>
        </bottom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65" formatCode="0.0"/>
      <fill>
        <patternFill patternType="solid">
          <fgColor indexed="64"/>
          <bgColor theme="3" tint="0.499984740745262"/>
        </patternFill>
      </fill>
      <alignment horizontal="center" vertical="center" wrapText="1"/>
      <border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/>
        <right style="thin">
          <color indexed="64"/>
        </right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30" formatCode="@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3" formatCode="0%"/>
      <fill>
        <patternFill patternType="solid">
          <fgColor indexed="64"/>
          <bgColor rgb="FF0070C0"/>
        </patternFill>
      </fill>
      <alignment horizontal="general" vertical="center"/>
      <border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0" formatCode="General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" formatCode="0"/>
      <fill>
        <patternFill patternType="solid">
          <fgColor indexed="64"/>
          <bgColor rgb="FF0070C0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ill>
        <patternFill patternType="solid">
          <fgColor indexed="64"/>
          <bgColor theme="2"/>
        </patternFill>
      </fill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lor rgb="FF00206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color rgb="FF002060"/>
        <sz val="14"/>
      </font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0"/>
        <extend val="0"/>
        <sz val="14"/>
        <vertAlign val="baseline"/>
      </font>
      <numFmt numFmtId="166" formatCode="_ * #,##0.0_ ;_ * \-#,##0.0_ ;_ * &quot;-&quot;?_ ;_ @_ "/>
      <fill>
        <patternFill patternType="solid">
          <fgColor indexed="64"/>
          <bgColor theme="4" tint="-0.499984740745262"/>
        </patternFill>
      </fill>
      <alignment horizontal="center" vertic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ill>
        <patternFill patternType="solid">
          <fgColor indexed="64"/>
          <bgColor theme="2"/>
        </patternFill>
      </fill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/>
      <border outline="0">
        <left/>
        <right/>
        <top style="medium">
          <color auto="1"/>
        </top>
        <bottom style="medium">
          <color auto="1"/>
        </bottom>
      </border>
    </dxf>
    <dxf>
      <font>
        <name val="ADLaM Display"/>
        <strike val="0"/>
        <outline val="0"/>
        <shadow val="0"/>
        <condense val="0"/>
        <color rgb="FF002060"/>
        <extend val="0"/>
        <sz val="14"/>
        <vertAlign val="baseline"/>
      </font>
      <numFmt numFmtId="1" formatCode="0"/>
      <fill>
        <patternFill patternType="solid">
          <fgColor indexed="64"/>
          <bgColor theme="2"/>
        </patternFill>
      </fill>
      <alignment horizontal="center" vertical="center" shrinkToFit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1"/>
        <extend val="0"/>
        <sz val="14"/>
        <vertAlign val="baseline"/>
      </font>
      <numFmt numFmtId="0" formatCode="General"/>
      <fill>
        <patternFill patternType="solid">
          <fgColor indexed="64"/>
          <bgColor theme="8" tint="0.7999816888943144"/>
        </patternFill>
      </fill>
      <alignment horizontal="left" vertical="center" shrinkToFit="1"/>
      <border>
        <left/>
        <right/>
        <top style="thin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condense val="0"/>
        <color theme="1"/>
        <extend val="0"/>
        <sz val="14"/>
        <vertAlign val="baseline"/>
      </font>
      <numFmt numFmtId="167" formatCode="&quot;COD &quot;0"/>
      <fill>
        <patternFill patternType="solid">
          <fgColor indexed="64"/>
          <bgColor theme="8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DLaM Display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0" formatCode="General"/>
      <alignment horizontal="center" vertical="center"/>
      <border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ont>
        <name val="ADLaM Display"/>
        <strike val="0"/>
        <outline val="0"/>
        <shadow val="0"/>
        <sz val="14"/>
        <vertAlign val="baseline"/>
      </font>
    </dxf>
    <dxf>
      <font>
        <name val="Aptos Narrow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rgb="FF00B0F0"/>
        </patternFill>
      </fill>
      <alignment horizontal="center" vertical="center"/>
      <border>
        <left style="medium">
          <color auto="1"/>
        </left>
        <right style="medium">
          <color auto="1"/>
        </right>
        <top/>
        <bottom/>
        <vertical style="medium">
          <color auto="1"/>
        </vertical>
        <horizontal/>
      </border>
    </dxf>
    <dxf>
      <font>
        <name val="Aptos Narrow"/>
        <family val="2"/>
        <strike val="0"/>
        <outline val="0"/>
        <shadow val="0"/>
        <color theme="0"/>
        <sz val="11"/>
        <vertAlign val="baseline"/>
        <scheme val="minor"/>
      </font>
      <fill>
        <patternFill patternType="solid">
          <fgColor indexed="64"/>
          <bgColor theme="2" tint="-0.8999908444471572"/>
        </patternFill>
      </fill>
      <alignment horizontal="center" vertical="bottom"/>
      <border>
        <left style="thin">
          <color indexed="64"/>
        </left>
      </border>
    </dxf>
    <dxf>
      <font>
        <name val="Bahnschrift SemiCondensed"/>
        <family val="2"/>
        <strike val="0"/>
        <outline val="0"/>
        <shadow val="0"/>
        <condense val="0"/>
        <color theme="0"/>
        <extend val="0"/>
        <sz val="14"/>
        <vertAlign val="baseline"/>
      </font>
      <numFmt numFmtId="4" formatCode="#,##0.00"/>
      <fill>
        <patternFill patternType="solid">
          <fgColor indexed="64"/>
          <bgColor theme="2" tint="-0.74999237037263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0"/>
        <extend val="0"/>
        <sz val="14"/>
        <vertAlign val="baseline"/>
      </font>
      <numFmt numFmtId="4" formatCode="#,##0.00"/>
      <fill>
        <patternFill patternType="solid">
          <fgColor indexed="64"/>
          <bgColor theme="2" tint="-0.49998474074526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4"/>
        <vertAlign val="baseline"/>
      </font>
      <numFmt numFmtId="4" formatCode="#,##0.00"/>
      <fill>
        <patternFill patternType="solid">
          <fgColor indexed="64"/>
          <bgColor theme="2" tint="-0.249977111117893"/>
        </patternFill>
      </fill>
      <alignment horizontal="right" vertical="bottom"/>
      <border>
        <left/>
        <right style="thin">
          <color indexed="64"/>
        </right>
        <top style="thin">
          <color indexed="64"/>
        </top>
        <bottom/>
      </border>
    </dxf>
    <dxf>
      <font>
        <name val="Bahnschrift SemiCondensed"/>
        <family val="2"/>
        <b val="1"/>
        <strike val="0"/>
        <outline val="0"/>
        <shadow val="0"/>
        <condense val="0"/>
        <color theme="1"/>
        <extend val="0"/>
        <sz val="14"/>
        <vertAlign val="baseline"/>
      </font>
      <fill>
        <patternFill patternType="solid">
          <fgColor indexed="64"/>
          <bgColor theme="2" tint="-0.0999786370433668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2" tint="-0.74999237037263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2" tint="-0.74999237037263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2" tint="-0.74999237037263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2" tint="-0.74999237037263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2" tint="-0.74999237037263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Bahnschrift SemiCondensed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ptos Narrow"/>
        <family val="2"/>
        <b val="1"/>
        <strike val="0"/>
        <outline val="0"/>
        <shadow val="0"/>
        <condense val="0"/>
        <color rgb="FFFFFF00"/>
        <extend val="0"/>
        <sz val="16"/>
        <vertAlign val="baseline"/>
        <scheme val="minor"/>
      </font>
      <numFmt numFmtId="4" formatCode="#,##0.00"/>
      <fill>
        <gradientFill type="linear" degree="90">
          <stop position="0">
            <color theme="1"/>
          </stop>
          <stop position="0.5">
            <color rgb="FF0070C0"/>
          </stop>
          <stop position="1">
            <color theme="1"/>
          </stop>
        </gradientFill>
      </fill>
      <alignment horizontal="center" vertical="center"/>
      <border>
        <left/>
        <right/>
        <top style="thin">
          <color indexed="64"/>
        </top>
        <bottom/>
      </border>
    </dxf>
    <dxf>
      <font>
        <name val="Aptos Narrow"/>
        <family val="2"/>
        <strike val="0"/>
        <outline val="0"/>
        <shadow val="0"/>
        <condense val="0"/>
        <color theme="0"/>
        <extend val="0"/>
        <sz val="14"/>
        <vertAlign val="baseline"/>
        <scheme val="minor"/>
      </font>
      <fill>
        <patternFill patternType="solid">
          <fgColor indexed="64"/>
          <bgColor theme="1"/>
        </patternFill>
      </fill>
      <border>
        <left/>
        <right style="thin">
          <color indexed="64"/>
        </right>
        <top style="thin">
          <color indexed="64"/>
        </top>
        <bottom/>
      </border>
    </dxf>
    <dxf>
      <font>
        <name val="Aptos Narrow"/>
        <family val="2"/>
        <b val="1"/>
        <strike val="0"/>
        <outline val="0"/>
        <shadow val="0"/>
        <condense val="0"/>
        <color rgb="FFFFC000"/>
        <extend val="0"/>
        <sz val="14"/>
        <vertAlign val="baseline"/>
        <scheme val="minor"/>
      </font>
      <numFmt numFmtId="164" formatCode="&quot;COD&quot;\ 00"/>
      <fill>
        <patternFill patternType="darkDown">
          <fgColor rgb="FF002060"/>
          <bgColor rgb="FF0070C0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strike val="0"/>
        <outline val="0"/>
        <shadow val="0"/>
        <color rgb="FFFFFF00"/>
        <vertAlign val="baseline"/>
      </font>
      <fill>
        <patternFill patternType="solid">
          <fgColor indexed="64"/>
          <bgColor rgb="FF0901AF"/>
        </patternFill>
      </fill>
    </dxf>
  </dxfs>
  <tableStyles count="1" defaultTableStyle="TableStyleMedium2" defaultPivotStyle="PivotStyleLight16">
    <tableStyle name="Estilo de tabla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Relationship Type="http://schemas.openxmlformats.org/officeDocument/2006/relationships/image" Target="/xl/media/image4.png" Id="rId2" /><Relationship Type="http://schemas.openxmlformats.org/officeDocument/2006/relationships/image" Target="/xl/media/image5.png" Id="rId3" /><Relationship Type="http://schemas.openxmlformats.org/officeDocument/2006/relationships/image" Target="/xl/media/image6.png" Id="rId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8.jpeg" Id="rId1" /><Relationship Type="http://schemas.openxmlformats.org/officeDocument/2006/relationships/image" Target="/xl/media/image9.png" Id="rId2" /><Relationship Type="http://schemas.openxmlformats.org/officeDocument/2006/relationships/image" Target="/xl/media/image10.png" Id="rId3" /><Relationship Type="http://schemas.openxmlformats.org/officeDocument/2006/relationships/image" Target="/xl/media/image11.png" Id="rId4" /><Relationship Type="http://schemas.openxmlformats.org/officeDocument/2006/relationships/image" Target="/xl/media/image12.png" Id="rId5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4.jpeg" Id="rId1" /><Relationship Type="http://schemas.openxmlformats.org/officeDocument/2006/relationships/image" Target="/xl/media/image15.png" Id="rId2" /><Relationship Type="http://schemas.openxmlformats.org/officeDocument/2006/relationships/image" Target="/xl/media/image16.png" Id="rId3" /><Relationship Type="http://schemas.openxmlformats.org/officeDocument/2006/relationships/image" Target="/xl/media/image17.png" Id="rId4" /><Relationship Type="http://schemas.openxmlformats.org/officeDocument/2006/relationships/image" Target="/xl/media/image18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628651</colOff>
      <row>53</row>
      <rowOff>408848</rowOff>
    </from>
    <to>
      <col>2</col>
      <colOff>2552700</colOff>
      <row>56</row>
      <rowOff>43513</rowOff>
    </to>
    <pic>
      <nvPicPr>
        <cNvPr id="2" name="Imagen 1"/>
        <cNvPicPr>
          <a:picLocks noChangeAspect="1"/>
        </cNvPicPr>
      </nvPicPr>
      <blipFill rotWithShape="1">
        <a:blip r:embed="rId1"/>
        <a:srcRect l="2735" b="9343"/>
        <a:stretch>
          <a:fillRect/>
        </a:stretch>
      </blipFill>
      <spPr>
        <a:xfrm>
          <a:off x="819151" y="14715398"/>
          <a:ext cx="2571749" cy="92054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absolute">
    <from>
      <col>58</col>
      <colOff>432049</colOff>
      <row>44</row>
      <rowOff>206375</rowOff>
    </from>
    <to>
      <col>68</col>
      <colOff>356859</colOff>
      <row>49</row>
      <rowOff>63500</rowOff>
    </to>
    <pic>
      <nvPicPr>
        <cNvPr id="151" name="Imagen 150"/>
        <cNvPicPr>
          <a:picLocks noChangeAspect="1"/>
        </cNvPicPr>
      </nvPicPr>
      <blipFill rotWithShape="1">
        <a:blip r:embed="rId1"/>
        <a:srcRect l="2735" b="9343"/>
        <a:stretch>
          <a:fillRect/>
        </a:stretch>
      </blipFill>
      <spPr>
        <a:xfrm>
          <a:off x="28594299" y="11572875"/>
          <a:ext cx="4417435" cy="1127125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12</col>
      <colOff>583111</colOff>
      <row>55</row>
      <rowOff>283151</rowOff>
    </from>
    <to>
      <col>16</col>
      <colOff>343685</colOff>
      <row>62</row>
      <rowOff>234137</rowOff>
    </to>
    <pic>
      <nvPicPr>
        <cNvPr id="3" name="Imagen 2"/>
        <cNvPicPr>
          <a:picLocks noChangeAspect="1"/>
        </cNvPicPr>
      </nvPicPr>
      <blipFill rotWithShape="1">
        <a:blip cstate="print" r:embed="rId1"/>
        <a:srcRect t="11204" b="11718"/>
        <a:stretch>
          <a:fillRect/>
        </a:stretch>
      </blipFill>
      <spPr>
        <a:xfrm>
          <a:off x="8978858" y="12911141"/>
          <a:ext cx="2470781" cy="1934543"/>
        </a:xfrm>
        <a:prstGeom prst="roundRect">
          <avLst/>
        </a:prstGeom>
        <a:ln>
          <a:noFill/>
          <a:prstDash val="solid"/>
        </a:ln>
        <a:sp3d prstMaterial="plastic"/>
      </spPr>
    </pic>
    <clientData/>
  </twoCellAnchor>
  <twoCellAnchor editAs="absolute">
    <from>
      <col>1</col>
      <colOff>9525</colOff>
      <row>1</row>
      <rowOff>3110</rowOff>
    </from>
    <to>
      <col>5</col>
      <colOff>186618</colOff>
      <row>2</row>
      <rowOff>226015</rowOff>
    </to>
    <pic>
      <nvPicPr>
        <cNvPr id="4" name="Imagen 3"/>
        <cNvPicPr>
          <a:picLocks noChangeAspect="1"/>
        </cNvPicPr>
      </nvPicPr>
      <blipFill rotWithShape="1">
        <a:blip r:embed="rId2"/>
        <a:srcRect l="3477" t="5377" r="830" b="14409"/>
        <a:stretch>
          <a:fillRect/>
        </a:stretch>
      </blipFill>
      <spPr>
        <a:xfrm>
          <a:off x="176458" y="130765"/>
          <a:ext cx="4399516" cy="99865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414421</colOff>
      <row>82</row>
      <rowOff>244770</rowOff>
    </from>
    <to>
      <col>12</col>
      <colOff>494966</colOff>
      <row>85</row>
      <rowOff>49098</rowOff>
    </to>
    <pic>
      <nvPicPr>
        <cNvPr id="6" name="Imagen 5"/>
        <cNvPicPr>
          <a:picLocks noChangeAspect="1"/>
        </cNvPicPr>
      </nvPicPr>
      <blipFill rotWithShape="1">
        <a:blip r:embed="rId3"/>
        <a:srcRect l="2735" b="9343"/>
        <a:stretch>
          <a:fillRect/>
        </a:stretch>
      </blipFill>
      <spPr>
        <a:xfrm>
          <a:off x="6099962" y="16564925"/>
          <a:ext cx="2790751" cy="6782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139405</colOff>
      <row>82</row>
      <rowOff>247945</rowOff>
    </from>
    <to>
      <col>3</col>
      <colOff>1684273</colOff>
      <row>85</row>
      <rowOff>49098</rowOff>
    </to>
    <pic>
      <nvPicPr>
        <cNvPr id="7" name="Imagen 6"/>
        <cNvPicPr>
          <a:picLocks noChangeAspect="1"/>
        </cNvPicPr>
      </nvPicPr>
      <blipFill rotWithShape="1">
        <a:blip r:embed="rId4"/>
        <a:srcRect l="2735" b="9343"/>
        <a:stretch>
          <a:fillRect/>
        </a:stretch>
      </blipFill>
      <spPr>
        <a:xfrm>
          <a:off x="139405" y="16568100"/>
          <a:ext cx="2772316" cy="675096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64</col>
      <colOff>245123</colOff>
      <row>56</row>
      <rowOff>161433</rowOff>
    </from>
    <to>
      <col>74</col>
      <colOff>95250</colOff>
      <row>61</row>
      <rowOff>77754</rowOff>
    </to>
    <pic>
      <nvPicPr>
        <cNvPr id="88" name="Imagen 87"/>
        <cNvPicPr>
          <a:picLocks noChangeAspect="1"/>
        </cNvPicPr>
      </nvPicPr>
      <blipFill rotWithShape="1">
        <a:blip r:embed="rId1"/>
        <a:srcRect l="2735" b="9343"/>
        <a:stretch>
          <a:fillRect/>
        </a:stretch>
      </blipFill>
      <spPr>
        <a:xfrm>
          <a:off x="31984360" y="14013043"/>
          <a:ext cx="4402754" cy="1127126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12</col>
      <colOff>472072</colOff>
      <row>111</row>
      <rowOff>66535</rowOff>
    </from>
    <to>
      <col>16</col>
      <colOff>530260</colOff>
      <row>123</row>
      <rowOff>198437</rowOff>
    </to>
    <pic>
      <nvPicPr>
        <cNvPr id="3" name="Imagen 2"/>
        <cNvPicPr>
          <a:picLocks noChangeAspect="1"/>
        </cNvPicPr>
      </nvPicPr>
      <blipFill rotWithShape="1">
        <a:blip cstate="print" r:embed="rId1"/>
        <a:srcRect t="11204" b="11718"/>
        <a:stretch>
          <a:fillRect/>
        </a:stretch>
      </blipFill>
      <spPr>
        <a:xfrm>
          <a:off x="8867819" y="13175684"/>
          <a:ext cx="2768395" cy="2066361"/>
        </a:xfrm>
        <a:prstGeom prst="roundRect">
          <avLst/>
        </a:prstGeom>
        <a:ln>
          <a:noFill/>
          <a:prstDash val="solid"/>
        </a:ln>
        <a:sp3d prstMaterial="plastic"/>
      </spPr>
    </pic>
    <clientData/>
  </twoCellAnchor>
  <twoCellAnchor>
    <from>
      <col>1</col>
      <colOff>19049</colOff>
      <row>56</row>
      <rowOff>19050</rowOff>
    </from>
    <to>
      <col>4</col>
      <colOff>219075</colOff>
      <row>57</row>
      <rowOff>238125</rowOff>
    </to>
    <pic>
      <nvPicPr>
        <cNvPr id="4" name="Imagen 3"/>
        <cNvPicPr>
          <a:picLocks noChangeAspect="1"/>
        </cNvPicPr>
      </nvPicPr>
      <blipFill rotWithShape="1">
        <a:blip r:embed="rId2"/>
        <a:srcRect l="3774" t="6895" r="-235" b="17303"/>
        <a:stretch>
          <a:fillRect/>
        </a:stretch>
      </blipFill>
      <spPr>
        <a:xfrm>
          <a:off x="190499" y="13077825"/>
          <a:ext cx="3905251" cy="876300"/>
        </a:xfrm>
        <a:prstGeom prst="rect">
          <avLst/>
        </a:prstGeom>
        <a:ln>
          <a:prstDash val="solid"/>
        </a:ln>
      </spPr>
    </pic>
    <clientData/>
  </twoCellAnchor>
  <twoCellAnchor>
    <from>
      <col>1</col>
      <colOff>19049</colOff>
      <row>138</row>
      <rowOff>28575</rowOff>
    </from>
    <to>
      <col>3</col>
      <colOff>1400175</colOff>
      <row>140</row>
      <rowOff>13364</rowOff>
    </to>
    <pic>
      <nvPicPr>
        <cNvPr id="6" name="Imagen 5"/>
        <cNvPicPr>
          <a:picLocks noChangeAspect="1"/>
        </cNvPicPr>
      </nvPicPr>
      <blipFill rotWithShape="1">
        <a:blip r:embed="rId3"/>
        <a:srcRect l="4149" t="6666" r="1102" b="16009"/>
        <a:stretch>
          <a:fillRect/>
        </a:stretch>
      </blipFill>
      <spPr>
        <a:xfrm>
          <a:off x="190499" y="32089725"/>
          <a:ext cx="2438401" cy="527714"/>
        </a:xfrm>
        <a:prstGeom prst="rect">
          <avLst/>
        </a:prstGeom>
        <a:ln>
          <a:prstDash val="solid"/>
        </a:ln>
      </spPr>
    </pic>
    <clientData/>
  </twoCellAnchor>
  <twoCellAnchor>
    <from>
      <col>0</col>
      <colOff>116661</colOff>
      <row>1</row>
      <rowOff>25899</rowOff>
    </from>
    <to>
      <col>4</col>
      <colOff>386954</colOff>
      <row>2</row>
      <rowOff>255309</rowOff>
    </to>
    <pic>
      <nvPicPr>
        <cNvPr id="8" name="Imagen 7"/>
        <cNvPicPr>
          <a:picLocks noChangeAspect="1"/>
        </cNvPicPr>
      </nvPicPr>
      <blipFill rotWithShape="1">
        <a:blip r:embed="rId4"/>
        <a:srcRect l="2735" t="6944" r="1576" b="13396"/>
        <a:stretch>
          <a:fillRect/>
        </a:stretch>
      </blipFill>
      <spPr>
        <a:xfrm>
          <a:off x="116661" y="143734"/>
          <a:ext cx="4149030" cy="946240"/>
        </a:xfrm>
        <a:prstGeom prst="rect">
          <avLst/>
        </a:prstGeom>
        <a:ln>
          <a:prstDash val="solid"/>
        </a:ln>
      </spPr>
    </pic>
    <clientData/>
  </twoCellAnchor>
  <twoCellAnchor>
    <from>
      <col>8</col>
      <colOff>9525</colOff>
      <row>138</row>
      <rowOff>19050</rowOff>
    </from>
    <to>
      <col>12</col>
      <colOff>190501</colOff>
      <row>140</row>
      <rowOff>3839</rowOff>
    </to>
    <pic>
      <nvPicPr>
        <cNvPr id="14" name="Imagen 13"/>
        <cNvPicPr>
          <a:picLocks noChangeAspect="1"/>
        </cNvPicPr>
      </nvPicPr>
      <blipFill rotWithShape="1">
        <a:blip r:embed="rId5"/>
        <a:srcRect l="4149" t="6666" r="1102" b="16009"/>
        <a:stretch>
          <a:fillRect/>
        </a:stretch>
      </blipFill>
      <spPr>
        <a:xfrm>
          <a:off x="6143625" y="32080200"/>
          <a:ext cx="2438401" cy="527714"/>
        </a:xfrm>
        <a:prstGeom prst="rect">
          <avLst/>
        </a:prstGeom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64</col>
      <colOff>245123</colOff>
      <row>56</row>
      <rowOff>161433</rowOff>
    </from>
    <to>
      <col>74</col>
      <colOff>95250</colOff>
      <row>61</row>
      <rowOff>77754</rowOff>
    </to>
    <pic>
      <nvPicPr>
        <cNvPr id="87" name="Imagen 86"/>
        <cNvPicPr>
          <a:picLocks noChangeAspect="1"/>
        </cNvPicPr>
      </nvPicPr>
      <blipFill rotWithShape="1">
        <a:blip r:embed="rId1"/>
        <a:srcRect l="2735" b="9343"/>
        <a:stretch>
          <a:fillRect/>
        </a:stretch>
      </blipFill>
      <spPr>
        <a:xfrm>
          <a:off x="31715723" y="14258433"/>
          <a:ext cx="4355452" cy="1154571"/>
        </a:xfrm>
        <a:prstGeom prst="rect">
          <avLst/>
        </a:prstGeom>
        <a:ln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12</col>
      <colOff>472072</colOff>
      <row>111</row>
      <rowOff>66535</rowOff>
    </from>
    <to>
      <col>16</col>
      <colOff>530260</colOff>
      <row>123</row>
      <rowOff>198437</rowOff>
    </to>
    <pic>
      <nvPicPr>
        <cNvPr id="3" name="Imagen 2"/>
        <cNvPicPr>
          <a:picLocks noChangeAspect="1"/>
        </cNvPicPr>
      </nvPicPr>
      <blipFill rotWithShape="1">
        <a:blip cstate="print" r:embed="rId1"/>
        <a:srcRect t="11204" b="11718"/>
        <a:stretch>
          <a:fillRect/>
        </a:stretch>
      </blipFill>
      <spPr>
        <a:xfrm>
          <a:off x="8863597" y="13115785"/>
          <a:ext cx="2782338" cy="2075002"/>
        </a:xfrm>
        <a:prstGeom prst="roundRect">
          <avLst/>
        </a:prstGeom>
        <a:ln>
          <a:noFill/>
          <a:prstDash val="solid"/>
        </a:ln>
        <a:sp3d prstMaterial="plastic"/>
      </spPr>
    </pic>
    <clientData/>
  </twoCellAnchor>
  <twoCellAnchor>
    <from>
      <col>1</col>
      <colOff>19049</colOff>
      <row>56</row>
      <rowOff>19050</rowOff>
    </from>
    <to>
      <col>4</col>
      <colOff>219075</colOff>
      <row>57</row>
      <rowOff>238125</rowOff>
    </to>
    <pic>
      <nvPicPr>
        <cNvPr id="4" name="Imagen 3"/>
        <cNvPicPr>
          <a:picLocks noChangeAspect="1"/>
        </cNvPicPr>
      </nvPicPr>
      <blipFill rotWithShape="1">
        <a:blip r:embed="rId2"/>
        <a:srcRect l="3774" t="6895" r="-235" b="17303"/>
        <a:stretch>
          <a:fillRect/>
        </a:stretch>
      </blipFill>
      <spPr>
        <a:xfrm>
          <a:off x="190499" y="12773025"/>
          <a:ext cx="3905251" cy="0"/>
        </a:xfrm>
        <a:prstGeom prst="rect">
          <avLst/>
        </a:prstGeom>
        <a:ln>
          <a:prstDash val="solid"/>
        </a:ln>
      </spPr>
    </pic>
    <clientData/>
  </twoCellAnchor>
  <twoCellAnchor>
    <from>
      <col>1</col>
      <colOff>19049</colOff>
      <row>138</row>
      <rowOff>28575</rowOff>
    </from>
    <to>
      <col>3</col>
      <colOff>1400175</colOff>
      <row>140</row>
      <rowOff>13364</rowOff>
    </to>
    <pic>
      <nvPicPr>
        <cNvPr id="5" name="Imagen 4"/>
        <cNvPicPr>
          <a:picLocks noChangeAspect="1"/>
        </cNvPicPr>
      </nvPicPr>
      <blipFill rotWithShape="1">
        <a:blip r:embed="rId3"/>
        <a:srcRect l="4149" t="6666" r="1102" b="16009"/>
        <a:stretch>
          <a:fillRect/>
        </a:stretch>
      </blipFill>
      <spPr>
        <a:xfrm>
          <a:off x="190499" y="16297275"/>
          <a:ext cx="2438401" cy="527714"/>
        </a:xfrm>
        <a:prstGeom prst="rect">
          <avLst/>
        </a:prstGeom>
        <a:ln>
          <a:prstDash val="solid"/>
        </a:ln>
      </spPr>
    </pic>
    <clientData/>
  </twoCellAnchor>
  <twoCellAnchor>
    <from>
      <col>0</col>
      <colOff>116661</colOff>
      <row>1</row>
      <rowOff>25899</rowOff>
    </from>
    <to>
      <col>4</col>
      <colOff>386954</colOff>
      <row>2</row>
      <rowOff>255309</rowOff>
    </to>
    <pic>
      <nvPicPr>
        <cNvPr id="7" name="Imagen 6"/>
        <cNvPicPr>
          <a:picLocks noChangeAspect="1"/>
        </cNvPicPr>
      </nvPicPr>
      <blipFill rotWithShape="1">
        <a:blip r:embed="rId4"/>
        <a:srcRect l="2735" t="6944" r="1576" b="13396"/>
        <a:stretch>
          <a:fillRect/>
        </a:stretch>
      </blipFill>
      <spPr>
        <a:xfrm>
          <a:off x="116661" y="73524"/>
          <a:ext cx="4146968" cy="943785"/>
        </a:xfrm>
        <a:prstGeom prst="rect">
          <avLst/>
        </a:prstGeom>
        <a:ln>
          <a:prstDash val="solid"/>
        </a:ln>
      </spPr>
    </pic>
    <clientData/>
  </twoCellAnchor>
  <twoCellAnchor>
    <from>
      <col>8</col>
      <colOff>9525</colOff>
      <row>138</row>
      <rowOff>19050</rowOff>
    </from>
    <to>
      <col>12</col>
      <colOff>190501</colOff>
      <row>140</row>
      <rowOff>3839</rowOff>
    </to>
    <pic>
      <nvPicPr>
        <cNvPr id="8" name="Imagen 7"/>
        <cNvPicPr>
          <a:picLocks noChangeAspect="1"/>
        </cNvPicPr>
      </nvPicPr>
      <blipFill rotWithShape="1">
        <a:blip r:embed="rId5"/>
        <a:srcRect l="4149" t="6666" r="1102" b="16009"/>
        <a:stretch>
          <a:fillRect/>
        </a:stretch>
      </blipFill>
      <spPr>
        <a:xfrm>
          <a:off x="6143625" y="16287750"/>
          <a:ext cx="2438401" cy="527714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SCRITOS"/>
      <sheetName val="FORMULARIO"/>
      <sheetName val="CUADRO ANALISIS"/>
      <sheetName val="FAVORITOS"/>
      <sheetName val="SEM ANTERIOR"/>
      <sheetName val="ULT. 8 SEM"/>
      <sheetName val="ALFABETICO SEM"/>
      <sheetName val="PORTADA"/>
      <sheetName val="TRAQUEOS"/>
      <sheetName val="BORRADOR TRAQUEOS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L1">
            <v>1</v>
          </cell>
          <cell r="M1" t="str">
            <v>XTAL</v>
          </cell>
          <cell r="N1">
            <v>1</v>
          </cell>
        </row>
        <row r="2">
          <cell r="L2">
            <v>1</v>
          </cell>
          <cell r="M2" t="str">
            <v>TALENTOSO</v>
          </cell>
          <cell r="N2">
            <v>2</v>
          </cell>
        </row>
        <row r="3">
          <cell r="L3">
            <v>1</v>
          </cell>
          <cell r="M3" t="str">
            <v>CEDSRUNNER</v>
          </cell>
          <cell r="N3">
            <v>3</v>
          </cell>
        </row>
        <row r="4">
          <cell r="L4">
            <v>1</v>
          </cell>
          <cell r="M4" t="str">
            <v>BELIEVE ANDREW</v>
          </cell>
          <cell r="N4">
            <v>4</v>
          </cell>
        </row>
        <row r="5">
          <cell r="L5">
            <v>1</v>
          </cell>
          <cell r="M5" t="str">
            <v>VISION</v>
          </cell>
          <cell r="N5">
            <v>5</v>
          </cell>
        </row>
        <row r="6">
          <cell r="L6">
            <v>1</v>
          </cell>
          <cell r="M6" t="str">
            <v>DOCTOR ELY</v>
          </cell>
          <cell r="N6">
            <v>6</v>
          </cell>
        </row>
        <row r="7">
          <cell r="L7">
            <v>1</v>
          </cell>
          <cell r="M7" t="str">
            <v>MIDNIGHT CHAMPION</v>
          </cell>
          <cell r="N7">
            <v>7</v>
          </cell>
        </row>
        <row r="8">
          <cell r="L8">
            <v>1</v>
          </cell>
          <cell r="M8" t="str">
            <v>QUEEN VANEMAR</v>
          </cell>
          <cell r="N8">
            <v>8</v>
          </cell>
        </row>
        <row r="9">
          <cell r="L9">
            <v>1</v>
          </cell>
          <cell r="M9" t="str">
            <v>PAULA DEL CARMEN</v>
          </cell>
          <cell r="N9">
            <v>9</v>
          </cell>
        </row>
        <row r="10">
          <cell r="L10">
            <v>1</v>
          </cell>
          <cell r="M10" t="str">
            <v>SICARIGUA</v>
          </cell>
          <cell r="N10">
            <v>10</v>
          </cell>
        </row>
        <row r="11">
          <cell r="L11">
            <v>1</v>
          </cell>
          <cell r="M11" t="str">
            <v>MISS UNIVERSO</v>
          </cell>
          <cell r="N11">
            <v>11</v>
          </cell>
        </row>
        <row r="12">
          <cell r="L12">
            <v>1</v>
          </cell>
          <cell r="M12" t="str">
            <v>OKLAHOMA</v>
          </cell>
          <cell r="N12">
            <v>12</v>
          </cell>
        </row>
        <row r="13">
          <cell r="L13">
            <v>1</v>
          </cell>
          <cell r="M13">
            <v>0</v>
          </cell>
          <cell r="N13">
            <v>13</v>
          </cell>
        </row>
        <row r="14">
          <cell r="L14">
            <v>1</v>
          </cell>
          <cell r="M14">
            <v>0</v>
          </cell>
          <cell r="N14">
            <v>14</v>
          </cell>
        </row>
        <row r="15">
          <cell r="L15">
            <v>2</v>
          </cell>
          <cell r="M15" t="str">
            <v>MOSTAZA</v>
          </cell>
          <cell r="N15">
            <v>1</v>
          </cell>
        </row>
        <row r="16">
          <cell r="L16">
            <v>2</v>
          </cell>
          <cell r="M16" t="str">
            <v>DECIDIDA</v>
          </cell>
          <cell r="N16">
            <v>2</v>
          </cell>
        </row>
        <row r="17">
          <cell r="L17">
            <v>2</v>
          </cell>
          <cell r="M17" t="str">
            <v>MANCHEGA</v>
          </cell>
          <cell r="N17">
            <v>3</v>
          </cell>
        </row>
        <row r="18">
          <cell r="L18">
            <v>2</v>
          </cell>
          <cell r="M18" t="str">
            <v>PAINT WHITE</v>
          </cell>
          <cell r="N18">
            <v>4</v>
          </cell>
        </row>
        <row r="19">
          <cell r="L19">
            <v>2</v>
          </cell>
          <cell r="M19" t="str">
            <v>BOILED MILK</v>
          </cell>
          <cell r="N19">
            <v>5</v>
          </cell>
        </row>
        <row r="20">
          <cell r="L20">
            <v>2</v>
          </cell>
          <cell r="M20" t="str">
            <v>IMPETUOSA</v>
          </cell>
          <cell r="N20">
            <v>6</v>
          </cell>
        </row>
        <row r="21">
          <cell r="L21">
            <v>2</v>
          </cell>
          <cell r="M21" t="str">
            <v>SALOME</v>
          </cell>
          <cell r="N21">
            <v>7</v>
          </cell>
        </row>
        <row r="22">
          <cell r="L22">
            <v>2</v>
          </cell>
          <cell r="M22" t="str">
            <v>QUEEN VANEMAR</v>
          </cell>
          <cell r="N22">
            <v>8</v>
          </cell>
        </row>
        <row r="23">
          <cell r="L23">
            <v>2</v>
          </cell>
          <cell r="M23" t="str">
            <v>PAULA DEL CARMEN</v>
          </cell>
          <cell r="N23">
            <v>9</v>
          </cell>
        </row>
        <row r="24">
          <cell r="L24">
            <v>2</v>
          </cell>
          <cell r="M24" t="str">
            <v>SICARIGUA</v>
          </cell>
          <cell r="N24">
            <v>10</v>
          </cell>
        </row>
        <row r="25">
          <cell r="L25">
            <v>2</v>
          </cell>
          <cell r="M25" t="str">
            <v>MISS UNIVERSO</v>
          </cell>
          <cell r="N25">
            <v>11</v>
          </cell>
        </row>
        <row r="26">
          <cell r="L26">
            <v>2</v>
          </cell>
          <cell r="M26" t="str">
            <v>OKLAHOMA</v>
          </cell>
          <cell r="N26">
            <v>12</v>
          </cell>
        </row>
        <row r="27">
          <cell r="L27">
            <v>2</v>
          </cell>
          <cell r="M27">
            <v>0</v>
          </cell>
          <cell r="N27">
            <v>13</v>
          </cell>
        </row>
        <row r="28">
          <cell r="L28">
            <v>2</v>
          </cell>
          <cell r="M28">
            <v>0</v>
          </cell>
          <cell r="N28">
            <v>14</v>
          </cell>
        </row>
        <row r="29">
          <cell r="L29">
            <v>3</v>
          </cell>
          <cell r="M29" t="str">
            <v>FURETTO</v>
          </cell>
          <cell r="N29">
            <v>1</v>
          </cell>
        </row>
        <row r="30">
          <cell r="L30">
            <v>3</v>
          </cell>
          <cell r="M30" t="str">
            <v>POLOROID</v>
          </cell>
          <cell r="N30">
            <v>2</v>
          </cell>
        </row>
        <row r="31">
          <cell r="L31">
            <v>3</v>
          </cell>
          <cell r="M31" t="str">
            <v>FORTY TIME</v>
          </cell>
          <cell r="N31">
            <v>3</v>
          </cell>
        </row>
        <row r="32">
          <cell r="L32">
            <v>3</v>
          </cell>
          <cell r="M32" t="str">
            <v>ABU PEPE</v>
          </cell>
          <cell r="N32">
            <v>4</v>
          </cell>
        </row>
        <row r="33">
          <cell r="L33">
            <v>3</v>
          </cell>
          <cell r="M33" t="str">
            <v>RED TIME</v>
          </cell>
          <cell r="N33">
            <v>5</v>
          </cell>
        </row>
        <row r="34">
          <cell r="L34">
            <v>3</v>
          </cell>
          <cell r="M34" t="str">
            <v>DON CACAYO</v>
          </cell>
          <cell r="N34">
            <v>6</v>
          </cell>
        </row>
        <row r="35">
          <cell r="L35">
            <v>3</v>
          </cell>
          <cell r="M35" t="str">
            <v>MAHOMES</v>
          </cell>
          <cell r="N35">
            <v>7</v>
          </cell>
        </row>
        <row r="36">
          <cell r="L36">
            <v>3</v>
          </cell>
          <cell r="M36" t="str">
            <v>DEEP ATTACK</v>
          </cell>
          <cell r="N36">
            <v>8</v>
          </cell>
        </row>
        <row r="37">
          <cell r="L37">
            <v>3</v>
          </cell>
          <cell r="M37">
            <v>0</v>
          </cell>
          <cell r="N37">
            <v>9</v>
          </cell>
        </row>
        <row r="38">
          <cell r="L38">
            <v>3</v>
          </cell>
          <cell r="M38">
            <v>0</v>
          </cell>
          <cell r="N38">
            <v>10</v>
          </cell>
        </row>
        <row r="39">
          <cell r="L39">
            <v>3</v>
          </cell>
          <cell r="M39">
            <v>0</v>
          </cell>
          <cell r="N39">
            <v>11</v>
          </cell>
        </row>
        <row r="40">
          <cell r="L40">
            <v>3</v>
          </cell>
          <cell r="M40">
            <v>0</v>
          </cell>
          <cell r="N40">
            <v>12</v>
          </cell>
        </row>
        <row r="41">
          <cell r="L41">
            <v>3</v>
          </cell>
          <cell r="M41">
            <v>0</v>
          </cell>
          <cell r="N41">
            <v>13</v>
          </cell>
        </row>
        <row r="42">
          <cell r="L42">
            <v>3</v>
          </cell>
          <cell r="M42">
            <v>0</v>
          </cell>
          <cell r="N42">
            <v>14</v>
          </cell>
        </row>
        <row r="43">
          <cell r="L43">
            <v>4</v>
          </cell>
          <cell r="M43" t="str">
            <v>RUE DU BAC</v>
          </cell>
          <cell r="N43">
            <v>1</v>
          </cell>
        </row>
        <row r="44">
          <cell r="L44">
            <v>4</v>
          </cell>
          <cell r="M44" t="str">
            <v>MIA SOPHIA</v>
          </cell>
          <cell r="N44">
            <v>2</v>
          </cell>
        </row>
        <row r="45">
          <cell r="L45">
            <v>4</v>
          </cell>
          <cell r="M45" t="str">
            <v>STARSHIP GOLD</v>
          </cell>
          <cell r="N45">
            <v>3</v>
          </cell>
        </row>
        <row r="46">
          <cell r="L46">
            <v>4</v>
          </cell>
          <cell r="M46" t="str">
            <v>FRANCISS ROSE</v>
          </cell>
          <cell r="N46">
            <v>4</v>
          </cell>
        </row>
        <row r="47">
          <cell r="L47">
            <v>4</v>
          </cell>
          <cell r="M47" t="str">
            <v>OROLINDA</v>
          </cell>
          <cell r="N47">
            <v>5</v>
          </cell>
        </row>
        <row r="48">
          <cell r="L48">
            <v>4</v>
          </cell>
          <cell r="M48" t="str">
            <v>ANASOLI</v>
          </cell>
          <cell r="N48">
            <v>6</v>
          </cell>
        </row>
        <row r="49">
          <cell r="L49">
            <v>4</v>
          </cell>
          <cell r="M49" t="str">
            <v>GRAN FERONIA</v>
          </cell>
          <cell r="N49">
            <v>7</v>
          </cell>
        </row>
        <row r="50">
          <cell r="L50">
            <v>4</v>
          </cell>
          <cell r="M50" t="str">
            <v>VIENNA DINAMITA</v>
          </cell>
          <cell r="N50">
            <v>8</v>
          </cell>
        </row>
        <row r="51">
          <cell r="L51">
            <v>4</v>
          </cell>
          <cell r="M51">
            <v>0</v>
          </cell>
          <cell r="N51">
            <v>9</v>
          </cell>
        </row>
        <row r="52">
          <cell r="L52">
            <v>4</v>
          </cell>
          <cell r="M52">
            <v>0</v>
          </cell>
          <cell r="N52">
            <v>10</v>
          </cell>
        </row>
        <row r="53">
          <cell r="L53">
            <v>4</v>
          </cell>
          <cell r="M53">
            <v>0</v>
          </cell>
          <cell r="N53">
            <v>11</v>
          </cell>
        </row>
        <row r="54">
          <cell r="L54">
            <v>4</v>
          </cell>
          <cell r="M54">
            <v>0</v>
          </cell>
          <cell r="N54">
            <v>12</v>
          </cell>
        </row>
        <row r="55">
          <cell r="L55">
            <v>4</v>
          </cell>
          <cell r="M55">
            <v>0</v>
          </cell>
          <cell r="N55">
            <v>13</v>
          </cell>
        </row>
        <row r="56">
          <cell r="L56">
            <v>4</v>
          </cell>
          <cell r="M56">
            <v>0</v>
          </cell>
          <cell r="N56">
            <v>14</v>
          </cell>
        </row>
        <row r="57">
          <cell r="L57">
            <v>5</v>
          </cell>
          <cell r="M57" t="str">
            <v>TIME REPORT</v>
          </cell>
          <cell r="N57">
            <v>1</v>
          </cell>
        </row>
        <row r="58">
          <cell r="L58">
            <v>5</v>
          </cell>
          <cell r="M58" t="str">
            <v>TOWER STAR</v>
          </cell>
          <cell r="N58">
            <v>2</v>
          </cell>
        </row>
        <row r="59">
          <cell r="L59">
            <v>5</v>
          </cell>
          <cell r="M59" t="str">
            <v>THE LAST DANCE</v>
          </cell>
          <cell r="N59">
            <v>3</v>
          </cell>
        </row>
        <row r="60">
          <cell r="L60">
            <v>5</v>
          </cell>
          <cell r="M60" t="str">
            <v>MAXIMUS FORTUNE</v>
          </cell>
          <cell r="N60">
            <v>4</v>
          </cell>
        </row>
        <row r="61">
          <cell r="L61">
            <v>5</v>
          </cell>
          <cell r="M61" t="str">
            <v>EL GRAN ELADIO</v>
          </cell>
          <cell r="N61">
            <v>5</v>
          </cell>
        </row>
        <row r="62">
          <cell r="L62">
            <v>5</v>
          </cell>
          <cell r="M62" t="str">
            <v>TUCO SALAMANCA</v>
          </cell>
          <cell r="N62">
            <v>6</v>
          </cell>
        </row>
        <row r="63">
          <cell r="L63">
            <v>5</v>
          </cell>
          <cell r="M63" t="str">
            <v>BRAVUCON</v>
          </cell>
          <cell r="N63">
            <v>7</v>
          </cell>
        </row>
        <row r="64">
          <cell r="L64">
            <v>5</v>
          </cell>
          <cell r="M64">
            <v>0</v>
          </cell>
          <cell r="N64">
            <v>8</v>
          </cell>
        </row>
        <row r="65">
          <cell r="L65">
            <v>5</v>
          </cell>
          <cell r="M65">
            <v>0</v>
          </cell>
          <cell r="N65">
            <v>9</v>
          </cell>
        </row>
        <row r="66">
          <cell r="L66">
            <v>5</v>
          </cell>
          <cell r="M66">
            <v>0</v>
          </cell>
          <cell r="N66">
            <v>10</v>
          </cell>
        </row>
        <row r="67">
          <cell r="L67">
            <v>5</v>
          </cell>
          <cell r="M67">
            <v>0</v>
          </cell>
          <cell r="N67">
            <v>11</v>
          </cell>
        </row>
        <row r="68">
          <cell r="L68">
            <v>5</v>
          </cell>
          <cell r="M68">
            <v>0</v>
          </cell>
          <cell r="N68">
            <v>12</v>
          </cell>
        </row>
        <row r="69">
          <cell r="L69">
            <v>5</v>
          </cell>
          <cell r="M69">
            <v>0</v>
          </cell>
          <cell r="N69">
            <v>13</v>
          </cell>
        </row>
        <row r="70">
          <cell r="L70">
            <v>5</v>
          </cell>
          <cell r="M70">
            <v>0</v>
          </cell>
          <cell r="N70">
            <v>14</v>
          </cell>
        </row>
        <row r="71">
          <cell r="L71">
            <v>6</v>
          </cell>
          <cell r="M71" t="str">
            <v>SUPER EXPLOSIVA</v>
          </cell>
          <cell r="N71">
            <v>1</v>
          </cell>
        </row>
        <row r="72">
          <cell r="L72">
            <v>6</v>
          </cell>
          <cell r="M72" t="str">
            <v>YANKEE LAKE</v>
          </cell>
          <cell r="N72">
            <v>2</v>
          </cell>
        </row>
        <row r="73">
          <cell r="L73">
            <v>6</v>
          </cell>
          <cell r="M73" t="str">
            <v>WAY TOO MUCH</v>
          </cell>
          <cell r="N73">
            <v>3</v>
          </cell>
        </row>
        <row r="74">
          <cell r="L74">
            <v>6</v>
          </cell>
          <cell r="M74" t="str">
            <v>HONEY TIME</v>
          </cell>
          <cell r="N74">
            <v>4</v>
          </cell>
        </row>
        <row r="75">
          <cell r="L75">
            <v>6</v>
          </cell>
          <cell r="M75" t="str">
            <v>MAJESTIC SHOT</v>
          </cell>
          <cell r="N75">
            <v>5</v>
          </cell>
        </row>
        <row r="76">
          <cell r="L76">
            <v>6</v>
          </cell>
          <cell r="M76" t="str">
            <v>CRAIGH NA DUN</v>
          </cell>
          <cell r="N76">
            <v>6</v>
          </cell>
        </row>
        <row r="77">
          <cell r="L77">
            <v>6</v>
          </cell>
          <cell r="M77" t="str">
            <v>ALANA</v>
          </cell>
          <cell r="N77">
            <v>7</v>
          </cell>
        </row>
        <row r="78">
          <cell r="L78">
            <v>6</v>
          </cell>
          <cell r="M78" t="str">
            <v>UNIVERSAL JOY</v>
          </cell>
          <cell r="N78">
            <v>8</v>
          </cell>
        </row>
        <row r="79">
          <cell r="L79">
            <v>6</v>
          </cell>
          <cell r="M79" t="str">
            <v>ARDENTIA</v>
          </cell>
          <cell r="N79">
            <v>9</v>
          </cell>
        </row>
        <row r="80">
          <cell r="L80">
            <v>6</v>
          </cell>
          <cell r="M80" t="str">
            <v>LELIZAMAR</v>
          </cell>
          <cell r="N80">
            <v>10</v>
          </cell>
        </row>
        <row r="81">
          <cell r="L81">
            <v>6</v>
          </cell>
          <cell r="M81">
            <v>0</v>
          </cell>
          <cell r="N81">
            <v>11</v>
          </cell>
        </row>
        <row r="82">
          <cell r="L82">
            <v>6</v>
          </cell>
          <cell r="M82">
            <v>0</v>
          </cell>
          <cell r="N82">
            <v>12</v>
          </cell>
        </row>
        <row r="83">
          <cell r="L83">
            <v>6</v>
          </cell>
          <cell r="M83">
            <v>0</v>
          </cell>
          <cell r="N83">
            <v>13</v>
          </cell>
        </row>
        <row r="84">
          <cell r="L84">
            <v>6</v>
          </cell>
          <cell r="M84">
            <v>0</v>
          </cell>
          <cell r="N84">
            <v>14</v>
          </cell>
        </row>
        <row r="85">
          <cell r="L85">
            <v>7</v>
          </cell>
          <cell r="M85" t="str">
            <v>GANBATTE</v>
          </cell>
          <cell r="N85">
            <v>1</v>
          </cell>
        </row>
        <row r="86">
          <cell r="L86">
            <v>7</v>
          </cell>
          <cell r="M86" t="str">
            <v>ABUELO</v>
          </cell>
          <cell r="N86">
            <v>2</v>
          </cell>
        </row>
        <row r="87">
          <cell r="L87">
            <v>7</v>
          </cell>
          <cell r="M87" t="str">
            <v>GRANDIOSSUS</v>
          </cell>
          <cell r="N87">
            <v>3</v>
          </cell>
        </row>
        <row r="88">
          <cell r="L88">
            <v>7</v>
          </cell>
          <cell r="M88" t="str">
            <v>TIO CARLITOS</v>
          </cell>
          <cell r="N88">
            <v>4</v>
          </cell>
        </row>
        <row r="89">
          <cell r="L89">
            <v>7</v>
          </cell>
          <cell r="M89" t="str">
            <v>SNUJAKE</v>
          </cell>
          <cell r="N89">
            <v>5</v>
          </cell>
        </row>
        <row r="90">
          <cell r="L90">
            <v>7</v>
          </cell>
          <cell r="M90" t="str">
            <v>ZEPPELIN</v>
          </cell>
          <cell r="N90">
            <v>6</v>
          </cell>
        </row>
        <row r="91">
          <cell r="L91">
            <v>7</v>
          </cell>
          <cell r="M91" t="str">
            <v>SILK EYES</v>
          </cell>
          <cell r="N91">
            <v>7</v>
          </cell>
        </row>
        <row r="92">
          <cell r="L92">
            <v>7</v>
          </cell>
          <cell r="M92" t="str">
            <v>LOOK AT DADDY</v>
          </cell>
          <cell r="N92">
            <v>8</v>
          </cell>
        </row>
        <row r="93">
          <cell r="L93">
            <v>7</v>
          </cell>
          <cell r="M93">
            <v>0</v>
          </cell>
          <cell r="N93">
            <v>9</v>
          </cell>
        </row>
        <row r="94">
          <cell r="L94">
            <v>7</v>
          </cell>
          <cell r="M94">
            <v>0</v>
          </cell>
          <cell r="N94">
            <v>10</v>
          </cell>
        </row>
        <row r="95">
          <cell r="L95">
            <v>7</v>
          </cell>
          <cell r="M95">
            <v>0</v>
          </cell>
          <cell r="N95">
            <v>11</v>
          </cell>
        </row>
        <row r="96">
          <cell r="L96">
            <v>7</v>
          </cell>
          <cell r="M96">
            <v>0</v>
          </cell>
          <cell r="N96">
            <v>12</v>
          </cell>
        </row>
        <row r="97">
          <cell r="L97">
            <v>7</v>
          </cell>
          <cell r="M97">
            <v>0</v>
          </cell>
          <cell r="N97">
            <v>13</v>
          </cell>
        </row>
        <row r="98">
          <cell r="L98">
            <v>7</v>
          </cell>
          <cell r="M98">
            <v>0</v>
          </cell>
          <cell r="N98">
            <v>14</v>
          </cell>
        </row>
        <row r="99">
          <cell r="L99">
            <v>8</v>
          </cell>
          <cell r="M99" t="str">
            <v>KOSHO</v>
          </cell>
          <cell r="N99">
            <v>1</v>
          </cell>
        </row>
        <row r="100">
          <cell r="L100">
            <v>8</v>
          </cell>
          <cell r="M100" t="str">
            <v>BIG SENSATION</v>
          </cell>
          <cell r="N100">
            <v>2</v>
          </cell>
        </row>
        <row r="101">
          <cell r="L101">
            <v>8</v>
          </cell>
          <cell r="M101" t="str">
            <v>JIMMINY ROUGE</v>
          </cell>
          <cell r="N101">
            <v>3</v>
          </cell>
        </row>
        <row r="102">
          <cell r="L102">
            <v>8</v>
          </cell>
          <cell r="M102" t="str">
            <v>KILIMANJARO</v>
          </cell>
          <cell r="N102">
            <v>4</v>
          </cell>
        </row>
        <row r="103">
          <cell r="L103">
            <v>8</v>
          </cell>
          <cell r="M103" t="str">
            <v>NIÑO DE ORO</v>
          </cell>
          <cell r="N103">
            <v>5</v>
          </cell>
        </row>
        <row r="104">
          <cell r="L104">
            <v>8</v>
          </cell>
          <cell r="M104" t="str">
            <v>BUCEFALO</v>
          </cell>
          <cell r="N104">
            <v>6</v>
          </cell>
        </row>
        <row r="105">
          <cell r="L105">
            <v>8</v>
          </cell>
          <cell r="M105" t="str">
            <v>SIEMPRE</v>
          </cell>
          <cell r="N105">
            <v>7</v>
          </cell>
        </row>
        <row r="106">
          <cell r="L106">
            <v>8</v>
          </cell>
          <cell r="M106" t="str">
            <v>KING NYSOS</v>
          </cell>
          <cell r="N106">
            <v>8</v>
          </cell>
        </row>
        <row r="107">
          <cell r="L107">
            <v>8</v>
          </cell>
          <cell r="M107">
            <v>0</v>
          </cell>
          <cell r="N107">
            <v>9</v>
          </cell>
        </row>
        <row r="108">
          <cell r="L108">
            <v>8</v>
          </cell>
          <cell r="M108">
            <v>0</v>
          </cell>
          <cell r="N108">
            <v>10</v>
          </cell>
        </row>
        <row r="109">
          <cell r="L109">
            <v>8</v>
          </cell>
          <cell r="M109">
            <v>0</v>
          </cell>
          <cell r="N109">
            <v>11</v>
          </cell>
        </row>
        <row r="110">
          <cell r="L110">
            <v>8</v>
          </cell>
          <cell r="M110">
            <v>0</v>
          </cell>
          <cell r="N110">
            <v>12</v>
          </cell>
        </row>
        <row r="111">
          <cell r="L111">
            <v>8</v>
          </cell>
          <cell r="M111">
            <v>0</v>
          </cell>
          <cell r="N111">
            <v>13</v>
          </cell>
        </row>
        <row r="112">
          <cell r="L112">
            <v>8</v>
          </cell>
          <cell r="M112">
            <v>0</v>
          </cell>
          <cell r="N112">
            <v>14</v>
          </cell>
        </row>
        <row r="113">
          <cell r="L113">
            <v>9</v>
          </cell>
          <cell r="M113" t="str">
            <v>EL GRAN CAMPEON</v>
          </cell>
          <cell r="N113">
            <v>1</v>
          </cell>
        </row>
        <row r="114">
          <cell r="L114">
            <v>9</v>
          </cell>
          <cell r="M114" t="str">
            <v>SOY SABANERO</v>
          </cell>
          <cell r="N114">
            <v>2</v>
          </cell>
        </row>
        <row r="115">
          <cell r="L115">
            <v>9</v>
          </cell>
          <cell r="M115" t="str">
            <v>EL TORO FLORES</v>
          </cell>
          <cell r="N115">
            <v>3</v>
          </cell>
        </row>
        <row r="116">
          <cell r="L116">
            <v>9</v>
          </cell>
          <cell r="M116" t="str">
            <v>ABUELO JOSE</v>
          </cell>
          <cell r="N116">
            <v>4</v>
          </cell>
        </row>
        <row r="117">
          <cell r="L117">
            <v>9</v>
          </cell>
          <cell r="M117" t="str">
            <v>COMING HOME</v>
          </cell>
          <cell r="N117">
            <v>5</v>
          </cell>
        </row>
        <row r="118">
          <cell r="L118">
            <v>9</v>
          </cell>
          <cell r="M118" t="str">
            <v>GRAN WARRIOR</v>
          </cell>
          <cell r="N118">
            <v>6</v>
          </cell>
        </row>
        <row r="119">
          <cell r="L119">
            <v>9</v>
          </cell>
          <cell r="M119" t="str">
            <v>EROS</v>
          </cell>
          <cell r="N119">
            <v>7</v>
          </cell>
        </row>
        <row r="120">
          <cell r="L120">
            <v>9</v>
          </cell>
          <cell r="M120" t="str">
            <v>MY SECURITY</v>
          </cell>
          <cell r="N120">
            <v>8</v>
          </cell>
        </row>
        <row r="121">
          <cell r="L121">
            <v>9</v>
          </cell>
          <cell r="M121" t="str">
            <v>BLACK ANTHONY</v>
          </cell>
          <cell r="N121">
            <v>9</v>
          </cell>
        </row>
        <row r="122">
          <cell r="L122">
            <v>9</v>
          </cell>
          <cell r="M122" t="str">
            <v>EL GRAN SECH</v>
          </cell>
          <cell r="N122">
            <v>10</v>
          </cell>
        </row>
        <row r="123">
          <cell r="L123">
            <v>9</v>
          </cell>
          <cell r="M123" t="str">
            <v>LOUIS THE DUKE</v>
          </cell>
          <cell r="N123">
            <v>11</v>
          </cell>
        </row>
        <row r="124">
          <cell r="L124">
            <v>9</v>
          </cell>
          <cell r="M124" t="str">
            <v>CHAMUEL</v>
          </cell>
          <cell r="N124">
            <v>12</v>
          </cell>
        </row>
        <row r="125">
          <cell r="L125">
            <v>9</v>
          </cell>
          <cell r="M125" t="str">
            <v>CONTRA TODO</v>
          </cell>
          <cell r="N125">
            <v>13</v>
          </cell>
        </row>
        <row r="126">
          <cell r="L126">
            <v>9</v>
          </cell>
          <cell r="M126">
            <v>0</v>
          </cell>
          <cell r="N126">
            <v>14</v>
          </cell>
        </row>
        <row r="127">
          <cell r="L127">
            <v>10</v>
          </cell>
          <cell r="M127" t="str">
            <v>KING JULIEN</v>
          </cell>
          <cell r="N127">
            <v>1</v>
          </cell>
        </row>
        <row r="128">
          <cell r="L128">
            <v>10</v>
          </cell>
          <cell r="M128" t="str">
            <v>NEIGH SAYER</v>
          </cell>
          <cell r="N128">
            <v>2</v>
          </cell>
        </row>
        <row r="129">
          <cell r="L129">
            <v>10</v>
          </cell>
          <cell r="M129" t="str">
            <v>QUALITAT</v>
          </cell>
          <cell r="N129">
            <v>3</v>
          </cell>
        </row>
        <row r="130">
          <cell r="L130">
            <v>10</v>
          </cell>
          <cell r="M130" t="str">
            <v>EL CARDENAL</v>
          </cell>
          <cell r="N130">
            <v>4</v>
          </cell>
        </row>
        <row r="131">
          <cell r="L131">
            <v>10</v>
          </cell>
          <cell r="M131" t="str">
            <v>LUMIERE</v>
          </cell>
          <cell r="N131">
            <v>5</v>
          </cell>
        </row>
        <row r="132">
          <cell r="L132">
            <v>10</v>
          </cell>
          <cell r="M132" t="str">
            <v>MAPLE GROVE</v>
          </cell>
          <cell r="N132">
            <v>6</v>
          </cell>
        </row>
        <row r="133">
          <cell r="L133">
            <v>10</v>
          </cell>
          <cell r="M133" t="str">
            <v>EL GRAN BARLOVENTO</v>
          </cell>
          <cell r="N133">
            <v>7</v>
          </cell>
        </row>
        <row r="134">
          <cell r="L134">
            <v>10</v>
          </cell>
          <cell r="M134" t="str">
            <v>HURACAN LUIS</v>
          </cell>
          <cell r="N134">
            <v>8</v>
          </cell>
        </row>
        <row r="135">
          <cell r="L135">
            <v>10</v>
          </cell>
          <cell r="M135" t="str">
            <v>REY SATURNO</v>
          </cell>
          <cell r="N135">
            <v>9</v>
          </cell>
        </row>
        <row r="136">
          <cell r="L136">
            <v>10</v>
          </cell>
          <cell r="M136" t="str">
            <v>ATHLETIC TIME</v>
          </cell>
          <cell r="N136">
            <v>10</v>
          </cell>
        </row>
        <row r="137">
          <cell r="L137">
            <v>10</v>
          </cell>
          <cell r="M137">
            <v>0</v>
          </cell>
          <cell r="N137">
            <v>11</v>
          </cell>
        </row>
        <row r="138">
          <cell r="L138">
            <v>10</v>
          </cell>
          <cell r="M138">
            <v>0</v>
          </cell>
          <cell r="N138">
            <v>12</v>
          </cell>
        </row>
        <row r="139">
          <cell r="L139">
            <v>10</v>
          </cell>
          <cell r="M139">
            <v>0</v>
          </cell>
          <cell r="N139">
            <v>13</v>
          </cell>
        </row>
        <row r="140">
          <cell r="L140">
            <v>10</v>
          </cell>
          <cell r="M140">
            <v>0</v>
          </cell>
          <cell r="N140">
            <v>14</v>
          </cell>
        </row>
        <row r="141">
          <cell r="L141">
            <v>11</v>
          </cell>
          <cell r="M141" t="str">
            <v>ALTIVA</v>
          </cell>
          <cell r="N141">
            <v>1</v>
          </cell>
        </row>
        <row r="142">
          <cell r="L142">
            <v>11</v>
          </cell>
          <cell r="M142" t="str">
            <v>NONNA YACHINTA</v>
          </cell>
          <cell r="N142">
            <v>2</v>
          </cell>
        </row>
        <row r="143">
          <cell r="L143">
            <v>11</v>
          </cell>
          <cell r="M143" t="str">
            <v>RYBAKINA</v>
          </cell>
          <cell r="N143">
            <v>3</v>
          </cell>
        </row>
        <row r="144">
          <cell r="L144">
            <v>11</v>
          </cell>
          <cell r="M144" t="str">
            <v>AURA ROMANA</v>
          </cell>
          <cell r="N144">
            <v>4</v>
          </cell>
        </row>
        <row r="145">
          <cell r="L145">
            <v>11</v>
          </cell>
          <cell r="M145" t="str">
            <v>MEHEBLE</v>
          </cell>
          <cell r="N145">
            <v>5</v>
          </cell>
        </row>
        <row r="146">
          <cell r="L146">
            <v>11</v>
          </cell>
          <cell r="M146" t="str">
            <v>BELLA VIDA</v>
          </cell>
          <cell r="N146">
            <v>6</v>
          </cell>
        </row>
        <row r="147">
          <cell r="L147">
            <v>11</v>
          </cell>
          <cell r="M147" t="str">
            <v>MOON WHITE</v>
          </cell>
          <cell r="N147">
            <v>7</v>
          </cell>
        </row>
        <row r="148">
          <cell r="L148">
            <v>11</v>
          </cell>
          <cell r="M148" t="str">
            <v>AITANA PRINCESS</v>
          </cell>
          <cell r="N148">
            <v>8</v>
          </cell>
        </row>
        <row r="149">
          <cell r="L149">
            <v>11</v>
          </cell>
          <cell r="M149" t="str">
            <v>PRINCESS DEFENCE</v>
          </cell>
          <cell r="N149">
            <v>9</v>
          </cell>
        </row>
        <row r="150">
          <cell r="L150">
            <v>11</v>
          </cell>
          <cell r="M150" t="str">
            <v>FORTUNA SUPREMA</v>
          </cell>
          <cell r="N150">
            <v>10</v>
          </cell>
        </row>
        <row r="151">
          <cell r="L151">
            <v>11</v>
          </cell>
          <cell r="M151" t="str">
            <v>FOREVER QUEEN</v>
          </cell>
          <cell r="N151">
            <v>11</v>
          </cell>
        </row>
        <row r="152">
          <cell r="L152">
            <v>11</v>
          </cell>
          <cell r="M152">
            <v>0</v>
          </cell>
          <cell r="N152">
            <v>12</v>
          </cell>
        </row>
        <row r="153">
          <cell r="L153">
            <v>11</v>
          </cell>
          <cell r="M153">
            <v>0</v>
          </cell>
          <cell r="N153">
            <v>13</v>
          </cell>
        </row>
        <row r="154">
          <cell r="L154">
            <v>11</v>
          </cell>
          <cell r="M154">
            <v>0</v>
          </cell>
          <cell r="N154">
            <v>14</v>
          </cell>
        </row>
        <row r="155">
          <cell r="L155">
            <v>12</v>
          </cell>
          <cell r="M155" t="str">
            <v>INVADER</v>
          </cell>
          <cell r="N155">
            <v>1</v>
          </cell>
        </row>
        <row r="156">
          <cell r="L156">
            <v>12</v>
          </cell>
          <cell r="M156" t="str">
            <v>MUFASA</v>
          </cell>
          <cell r="N156">
            <v>2</v>
          </cell>
        </row>
        <row r="157">
          <cell r="L157">
            <v>12</v>
          </cell>
          <cell r="M157" t="str">
            <v>REY JOAQUIN</v>
          </cell>
          <cell r="N157">
            <v>3</v>
          </cell>
        </row>
        <row r="158">
          <cell r="L158">
            <v>12</v>
          </cell>
          <cell r="M158" t="str">
            <v>FIRST TIME</v>
          </cell>
          <cell r="N158">
            <v>4</v>
          </cell>
        </row>
        <row r="159">
          <cell r="L159">
            <v>12</v>
          </cell>
          <cell r="M159" t="str">
            <v>THE FIELDHER JR.</v>
          </cell>
          <cell r="N159">
            <v>5</v>
          </cell>
        </row>
        <row r="160">
          <cell r="L160">
            <v>12</v>
          </cell>
          <cell r="M160" t="str">
            <v>PAN DE AZUCAR</v>
          </cell>
          <cell r="N160">
            <v>6</v>
          </cell>
        </row>
        <row r="161">
          <cell r="L161">
            <v>12</v>
          </cell>
          <cell r="M161" t="str">
            <v>SOL RAYO LASER</v>
          </cell>
          <cell r="N161">
            <v>7</v>
          </cell>
        </row>
        <row r="162">
          <cell r="L162">
            <v>12</v>
          </cell>
          <cell r="M162" t="str">
            <v>TORO SALVAJE</v>
          </cell>
          <cell r="N162">
            <v>8</v>
          </cell>
        </row>
        <row r="163">
          <cell r="L163">
            <v>12</v>
          </cell>
          <cell r="M163">
            <v>0</v>
          </cell>
          <cell r="N163">
            <v>9</v>
          </cell>
        </row>
        <row r="164">
          <cell r="L164">
            <v>12</v>
          </cell>
          <cell r="M164">
            <v>0</v>
          </cell>
          <cell r="N164">
            <v>10</v>
          </cell>
        </row>
        <row r="165">
          <cell r="L165">
            <v>12</v>
          </cell>
          <cell r="M165">
            <v>0</v>
          </cell>
          <cell r="N165">
            <v>11</v>
          </cell>
        </row>
        <row r="166">
          <cell r="L166">
            <v>12</v>
          </cell>
          <cell r="M166">
            <v>0</v>
          </cell>
          <cell r="N166">
            <v>12</v>
          </cell>
        </row>
        <row r="167">
          <cell r="L167">
            <v>12</v>
          </cell>
          <cell r="M167">
            <v>0</v>
          </cell>
          <cell r="N167">
            <v>13</v>
          </cell>
        </row>
        <row r="168">
          <cell r="L168">
            <v>12</v>
          </cell>
          <cell r="M168">
            <v>0</v>
          </cell>
          <cell r="N168">
            <v>14</v>
          </cell>
        </row>
        <row r="169">
          <cell r="L169">
            <v>13</v>
          </cell>
          <cell r="M169" t="str">
            <v>FURIA</v>
          </cell>
          <cell r="N169">
            <v>1</v>
          </cell>
        </row>
        <row r="170">
          <cell r="L170">
            <v>13</v>
          </cell>
          <cell r="M170" t="str">
            <v>POTENCIADA</v>
          </cell>
          <cell r="N170">
            <v>2</v>
          </cell>
        </row>
        <row r="171">
          <cell r="L171">
            <v>13</v>
          </cell>
          <cell r="M171" t="str">
            <v>EMPLOYEEOFTHEMONTH</v>
          </cell>
          <cell r="N171">
            <v>3</v>
          </cell>
        </row>
        <row r="172">
          <cell r="L172">
            <v>13</v>
          </cell>
          <cell r="M172" t="str">
            <v>SPICY GUACAMOLE</v>
          </cell>
          <cell r="N172">
            <v>4</v>
          </cell>
        </row>
        <row r="173">
          <cell r="L173">
            <v>13</v>
          </cell>
          <cell r="M173" t="str">
            <v>CHIQUINQUIREÑA</v>
          </cell>
          <cell r="N173">
            <v>5</v>
          </cell>
        </row>
        <row r="174">
          <cell r="L174">
            <v>13</v>
          </cell>
          <cell r="M174" t="str">
            <v>SUGAR CANE</v>
          </cell>
          <cell r="N174">
            <v>6</v>
          </cell>
        </row>
        <row r="175">
          <cell r="L175">
            <v>13</v>
          </cell>
          <cell r="M175" t="str">
            <v>SIZZLE</v>
          </cell>
          <cell r="N175">
            <v>7</v>
          </cell>
        </row>
        <row r="176">
          <cell r="L176">
            <v>13</v>
          </cell>
          <cell r="M176" t="str">
            <v>DIAMONDS N THRILLS</v>
          </cell>
          <cell r="N176">
            <v>8</v>
          </cell>
        </row>
        <row r="177">
          <cell r="L177">
            <v>13</v>
          </cell>
          <cell r="M177" t="str">
            <v>ETERNA AMANDA</v>
          </cell>
          <cell r="N177">
            <v>9</v>
          </cell>
        </row>
        <row r="178">
          <cell r="L178">
            <v>13</v>
          </cell>
          <cell r="M178" t="str">
            <v>ABOVE THE SKY</v>
          </cell>
          <cell r="N178">
            <v>10</v>
          </cell>
        </row>
        <row r="179">
          <cell r="L179">
            <v>13</v>
          </cell>
          <cell r="M179">
            <v>0</v>
          </cell>
          <cell r="N179">
            <v>11</v>
          </cell>
        </row>
        <row r="180">
          <cell r="L180">
            <v>13</v>
          </cell>
          <cell r="M180">
            <v>0</v>
          </cell>
          <cell r="N180">
            <v>12</v>
          </cell>
        </row>
        <row r="181">
          <cell r="L181">
            <v>13</v>
          </cell>
          <cell r="M181">
            <v>0</v>
          </cell>
          <cell r="N181">
            <v>13</v>
          </cell>
        </row>
        <row r="182">
          <cell r="L182">
            <v>13</v>
          </cell>
          <cell r="M182">
            <v>0</v>
          </cell>
          <cell r="N182">
            <v>14</v>
          </cell>
        </row>
        <row r="183">
          <cell r="L183">
            <v>14</v>
          </cell>
          <cell r="M183" t="str">
            <v>GRAN CUMANESA</v>
          </cell>
          <cell r="N183">
            <v>1</v>
          </cell>
        </row>
        <row r="184">
          <cell r="L184">
            <v>14</v>
          </cell>
          <cell r="M184" t="str">
            <v>SPRING CLEAN</v>
          </cell>
          <cell r="N184">
            <v>2</v>
          </cell>
        </row>
        <row r="185">
          <cell r="L185">
            <v>14</v>
          </cell>
          <cell r="M185" t="str">
            <v>REYSGAR</v>
          </cell>
          <cell r="N185">
            <v>3</v>
          </cell>
        </row>
        <row r="186">
          <cell r="L186">
            <v>14</v>
          </cell>
          <cell r="M186" t="str">
            <v>CORONADA EN GLORIA</v>
          </cell>
          <cell r="N186">
            <v>4</v>
          </cell>
        </row>
        <row r="187">
          <cell r="L187">
            <v>14</v>
          </cell>
          <cell r="M187" t="str">
            <v>MACARENA</v>
          </cell>
          <cell r="N187">
            <v>5</v>
          </cell>
        </row>
        <row r="188">
          <cell r="L188">
            <v>14</v>
          </cell>
          <cell r="M188" t="str">
            <v>TRULY YOU</v>
          </cell>
          <cell r="N188">
            <v>6</v>
          </cell>
        </row>
        <row r="189">
          <cell r="L189">
            <v>14</v>
          </cell>
          <cell r="M189" t="str">
            <v>ABUSIVA</v>
          </cell>
          <cell r="N189">
            <v>7</v>
          </cell>
        </row>
        <row r="190">
          <cell r="L190">
            <v>14</v>
          </cell>
          <cell r="M190" t="str">
            <v>QUEEN ENDIRA</v>
          </cell>
          <cell r="N190">
            <v>8</v>
          </cell>
        </row>
        <row r="191">
          <cell r="L191">
            <v>14</v>
          </cell>
          <cell r="M191" t="str">
            <v>BARBARA GUADALUPE</v>
          </cell>
          <cell r="N191">
            <v>9</v>
          </cell>
        </row>
        <row r="192">
          <cell r="L192">
            <v>14</v>
          </cell>
          <cell r="M192" t="str">
            <v>BEYONCE CHAMP</v>
          </cell>
          <cell r="N192">
            <v>10</v>
          </cell>
        </row>
        <row r="193">
          <cell r="L193">
            <v>14</v>
          </cell>
          <cell r="M193" t="str">
            <v>KERRY LADY</v>
          </cell>
          <cell r="N193">
            <v>11</v>
          </cell>
        </row>
        <row r="194">
          <cell r="L194">
            <v>14</v>
          </cell>
          <cell r="M194" t="str">
            <v>NEGRITA HERMOSA</v>
          </cell>
          <cell r="N194">
            <v>12</v>
          </cell>
        </row>
        <row r="195">
          <cell r="L195">
            <v>14</v>
          </cell>
          <cell r="M195">
            <v>0</v>
          </cell>
          <cell r="N195">
            <v>13</v>
          </cell>
        </row>
        <row r="196">
          <cell r="L196">
            <v>14</v>
          </cell>
          <cell r="M196">
            <v>0</v>
          </cell>
          <cell r="N196">
            <v>14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NOMBRES COD"/>
      <sheetName val="SEM 1"/>
      <sheetName val="MEET 06-09-26"/>
      <sheetName val="SEM 2"/>
      <sheetName val="MEET 21-06-26"/>
      <sheetName val="SEM 3"/>
      <sheetName val="MEET 19-07-26"/>
      <sheetName val="SEM 4"/>
      <sheetName val="MEET 26-7-26"/>
      <sheetName val="SEM 5"/>
      <sheetName val="MEET 2-8-26"/>
      <sheetName val="SEM 6"/>
      <sheetName val="MEET 9-8-26"/>
      <sheetName val="SEM 7"/>
      <sheetName val="MEET 16-8-26"/>
      <sheetName val="SEM 8"/>
      <sheetName val="MEET 23-8-26"/>
      <sheetName val="SEM 9"/>
      <sheetName val="MEET 30-8-26"/>
      <sheetName val="CONTROL CAMPEONATO DE MARCAS 3E"/>
    </sheetNames>
    <sheetDataSet>
      <sheetData sheetId="0">
        <row r="4">
          <cell r="B4">
            <v>1</v>
          </cell>
          <cell r="C4" t="str">
            <v>GANADORES Y PULSO</v>
          </cell>
        </row>
        <row r="5">
          <cell r="B5">
            <v>2</v>
          </cell>
          <cell r="C5" t="str">
            <v>JESUS QUERALES</v>
          </cell>
        </row>
        <row r="6">
          <cell r="B6">
            <v>3</v>
          </cell>
          <cell r="C6" t="str">
            <v>MUÑECA DEL HIPISMO</v>
          </cell>
        </row>
        <row r="7">
          <cell r="B7">
            <v>4</v>
          </cell>
          <cell r="C7" t="str">
            <v>EL HIPICO 701</v>
          </cell>
        </row>
        <row r="8">
          <cell r="B8">
            <v>5</v>
          </cell>
          <cell r="C8" t="str">
            <v>MARCOS HIDALGO</v>
          </cell>
        </row>
        <row r="9">
          <cell r="B9">
            <v>6</v>
          </cell>
          <cell r="C9" t="str">
            <v>JESUS ROJAS</v>
          </cell>
        </row>
        <row r="10">
          <cell r="B10">
            <v>7</v>
          </cell>
          <cell r="C10" t="str">
            <v>NELSON OSORIO</v>
          </cell>
        </row>
        <row r="11">
          <cell r="B11">
            <v>8</v>
          </cell>
          <cell r="C11" t="str">
            <v>RUBEN DARIO CARDENAS</v>
          </cell>
        </row>
        <row r="12">
          <cell r="B12">
            <v>9</v>
          </cell>
          <cell r="C12" t="str">
            <v>JESUS ARASME</v>
          </cell>
        </row>
        <row r="13">
          <cell r="B13">
            <v>10</v>
          </cell>
          <cell r="C13" t="str">
            <v>JESUS CARAYACA</v>
          </cell>
        </row>
        <row r="14">
          <cell r="B14">
            <v>11</v>
          </cell>
          <cell r="C14" t="str">
            <v>ANDERSON ZERPA</v>
          </cell>
        </row>
        <row r="15">
          <cell r="B15">
            <v>12</v>
          </cell>
          <cell r="C15" t="str">
            <v>GERARDO LOPEZ</v>
          </cell>
        </row>
        <row r="16">
          <cell r="B16">
            <v>13</v>
          </cell>
          <cell r="C16" t="str">
            <v>NOTAS HIPICAS</v>
          </cell>
        </row>
        <row r="17">
          <cell r="B17">
            <v>14</v>
          </cell>
          <cell r="C17" t="str">
            <v>PEDRO ALVAREZ</v>
          </cell>
        </row>
        <row r="18">
          <cell r="B18">
            <v>15</v>
          </cell>
          <cell r="C18" t="str">
            <v>CARLOS SUAREZ</v>
          </cell>
        </row>
        <row r="19">
          <cell r="B19">
            <v>16</v>
          </cell>
          <cell r="C19" t="str">
            <v>PODER HIPICO</v>
          </cell>
        </row>
        <row r="20">
          <cell r="B20">
            <v>17</v>
          </cell>
          <cell r="C20" t="str">
            <v>FERNANDO VALDIRIO</v>
          </cell>
        </row>
        <row r="21">
          <cell r="B21">
            <v>18</v>
          </cell>
          <cell r="C21" t="str">
            <v>CASTOR CHIRINOS</v>
          </cell>
        </row>
        <row r="22">
          <cell r="B22">
            <v>19</v>
          </cell>
          <cell r="C22" t="str">
            <v>EL SAMURAI HIPICO</v>
          </cell>
        </row>
        <row r="23">
          <cell r="B23">
            <v>20</v>
          </cell>
          <cell r="C23" t="str">
            <v>CHINO</v>
          </cell>
        </row>
        <row r="24">
          <cell r="B24">
            <v>21</v>
          </cell>
          <cell r="C24" t="str">
            <v>WILMER</v>
          </cell>
        </row>
        <row r="25">
          <cell r="B25">
            <v>22</v>
          </cell>
          <cell r="C25" t="str">
            <v>ROGER PIÑA</v>
          </cell>
        </row>
        <row r="26">
          <cell r="B26">
            <v>23</v>
          </cell>
          <cell r="C26" t="str">
            <v>GILBERT</v>
          </cell>
        </row>
        <row r="27">
          <cell r="B27">
            <v>24</v>
          </cell>
          <cell r="C27" t="str">
            <v>JOAO MONTANO</v>
          </cell>
        </row>
        <row r="28">
          <cell r="B28">
            <v>25</v>
          </cell>
          <cell r="C28" t="str">
            <v>GLEY GARCIA</v>
          </cell>
        </row>
        <row r="29">
          <cell r="B29">
            <v>26</v>
          </cell>
          <cell r="C29" t="str">
            <v>PEDRO TABEROA</v>
          </cell>
        </row>
        <row r="30">
          <cell r="B30">
            <v>27</v>
          </cell>
          <cell r="C30" t="str">
            <v>ANDERSON HERNANDEZ</v>
          </cell>
        </row>
        <row r="31">
          <cell r="B31">
            <v>28</v>
          </cell>
          <cell r="C31" t="str">
            <v>FRANKLIN DELGADO</v>
          </cell>
        </row>
        <row r="32">
          <cell r="B32">
            <v>29</v>
          </cell>
          <cell r="C32" t="str">
            <v>JEAN MARCO</v>
          </cell>
        </row>
        <row r="33">
          <cell r="B33">
            <v>30</v>
          </cell>
          <cell r="C33" t="str">
            <v>CARIACO</v>
          </cell>
        </row>
        <row r="34">
          <cell r="B34">
            <v>31</v>
          </cell>
          <cell r="C34" t="str">
            <v>ALBIN</v>
          </cell>
        </row>
        <row r="35">
          <cell r="B35">
            <v>32</v>
          </cell>
          <cell r="C35" t="str">
            <v>TONY CURTIS</v>
          </cell>
        </row>
        <row r="36">
          <cell r="B36">
            <v>33</v>
          </cell>
          <cell r="C36" t="str">
            <v>JOSE LUIS ANTUNEZ</v>
          </cell>
        </row>
        <row r="37">
          <cell r="B37">
            <v>34</v>
          </cell>
          <cell r="C37" t="str">
            <v>ROBERTO CARLOS</v>
          </cell>
        </row>
        <row r="38">
          <cell r="B38">
            <v>35</v>
          </cell>
          <cell r="C38" t="str">
            <v>YOVANNY</v>
          </cell>
        </row>
        <row r="39">
          <cell r="B39">
            <v>36</v>
          </cell>
          <cell r="C39" t="str">
            <v>EDGAR ALEXANDER</v>
          </cell>
        </row>
        <row r="40">
          <cell r="B40">
            <v>37</v>
          </cell>
          <cell r="C40" t="str">
            <v>GLADIADOR HIPICO</v>
          </cell>
        </row>
        <row r="41">
          <cell r="B41">
            <v>38</v>
          </cell>
          <cell r="C41" t="str">
            <v>DERVIN</v>
          </cell>
        </row>
        <row r="42">
          <cell r="B42">
            <v>39</v>
          </cell>
          <cell r="C42" t="str">
            <v>EL TAMAO</v>
          </cell>
        </row>
        <row r="43">
          <cell r="B43">
            <v>40</v>
          </cell>
          <cell r="C43" t="str">
            <v>FRED</v>
          </cell>
        </row>
        <row r="44">
          <cell r="B44">
            <v>41</v>
          </cell>
          <cell r="C44" t="str">
            <v>ENRIQUE LEFEBRE</v>
          </cell>
        </row>
        <row r="45">
          <cell r="B45">
            <v>42</v>
          </cell>
          <cell r="C45"/>
        </row>
        <row r="46">
          <cell r="B46">
            <v>43</v>
          </cell>
          <cell r="C46"/>
        </row>
        <row r="47">
          <cell r="B47">
            <v>44</v>
          </cell>
          <cell r="C47"/>
        </row>
        <row r="48">
          <cell r="B48">
            <v>45</v>
          </cell>
          <cell r="C48" t="str">
            <v>GUADIZMI</v>
          </cell>
        </row>
        <row r="49">
          <cell r="B49">
            <v>46</v>
          </cell>
          <cell r="C49"/>
        </row>
        <row r="50">
          <cell r="B50">
            <v>47</v>
          </cell>
          <cell r="C50"/>
        </row>
        <row r="51">
          <cell r="B51">
            <v>48</v>
          </cell>
          <cell r="C51"/>
        </row>
        <row r="52">
          <cell r="B52">
            <v>49</v>
          </cell>
          <cell r="C52"/>
        </row>
        <row r="53">
          <cell r="B53">
            <v>50</v>
          </cell>
          <cell r="C53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tables/table1.xml><?xml version="1.0" encoding="utf-8"?>
<table xmlns="http://schemas.openxmlformats.org/spreadsheetml/2006/main" id="1" name="CODIGOS_Y_PAGOS" displayName="CODIGOS_Y_PAGOS" ref="B3:V53" headerRowCount="1" totalsRowShown="0" headerRowDxfId="802" dataDxfId="801" tableBorderDxfId="800">
  <autoFilter ref="B3:V53"/>
  <tableColumns count="21">
    <tableColumn id="1" name="CODIGO" dataDxfId="799">
      <calculatedColumnFormula>+B3+1</calculatedColumnFormula>
    </tableColumn>
    <tableColumn id="2" name="NOMBRE PARTICIPANTE" dataDxfId="798"/>
    <tableColumn id="3" name="PAGO INSCRIPCION" dataDxfId="797"/>
    <tableColumn id="4" name="06/09/2026" dataDxfId="796"/>
    <tableColumn id="5" name="13/09/2026" dataDxfId="795"/>
    <tableColumn id="6" name="20/09/2026" dataDxfId="794"/>
    <tableColumn id="7" name="27/09/2026" dataDxfId="793"/>
    <tableColumn id="8" name="04/10/2026" dataDxfId="792"/>
    <tableColumn id="9" name="11/10/2026" dataDxfId="791"/>
    <tableColumn id="10" name="18/10/2026" dataDxfId="790"/>
    <tableColumn id="11" name="25/10/2026" dataDxfId="789"/>
    <tableColumn id="12" name="Columna1" dataDxfId="788"/>
    <tableColumn id="13" name="Columna2" dataDxfId="787"/>
    <tableColumn id="14" name="Columna3" dataDxfId="786"/>
    <tableColumn id="15" name="Columna4" dataDxfId="785"/>
    <tableColumn id="16" name="Columna5" dataDxfId="784"/>
    <tableColumn id="17" name="SEMANAS PARTICIPADAS" dataDxfId="783">
      <calculatedColumnFormula>COUNTIF(E4:Q4,"X")</calculatedColumnFormula>
    </tableColumn>
    <tableColumn id="18" name="APORTADO ACUMULADO DEL MEETING" dataDxfId="782">
      <calculatedColumnFormula>(($H$2-($H$2*0.2))/3)*CONTROL!$R4</calculatedColumnFormula>
    </tableColumn>
    <tableColumn id="19" name="APORTADO ACUMULADO TOTAL ACIERTOS" dataDxfId="781">
      <calculatedColumnFormula>((CONTROL!$R4*$H$2)*26.66666%)+IF(V4="SI",$M$2/$V$2,0)</calculatedColumnFormula>
    </tableColumn>
    <tableColumn id="20" name="ACUMULADO A COBRAR TOTAL ACIERTOS" dataDxfId="780">
      <calculatedColumnFormula>SUMIFS(E$56:Q$56,E4:Q4,"X")+IF(V4="SI",$M$2,0)</calculatedColumnFormula>
    </tableColumn>
    <tableColumn id="21" name="ACUMULADO ANTERIOR" dataDxfId="7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2" name="BASE01" displayName="BASE01" ref="B7:CV57" headerRowCount="1" totalsRowShown="0" headerRowDxfId="778" dataDxfId="777" tableBorderDxfId="776">
  <autoFilter ref="B7:CV57"/>
  <sortState ref="B8:CV45">
    <sortCondition ref="C7:C57"/>
  </sortState>
  <tableColumns count="99">
    <tableColumn id="1" name="0" dataDxfId="775">
      <calculatedColumnFormula>IF(BASE01[[#This Row],[COD]]&lt;&gt;"",B7+1,"")</calculatedColumnFormula>
    </tableColumn>
    <tableColumn id="2" name="COD" dataDxfId="774"/>
    <tableColumn id="3" name="TIPO" dataDxfId="773">
      <calculatedColumnFormula array="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calculatedColumnFormula>
    </tableColumn>
    <tableColumn id="4" name="1" dataDxfId="772"/>
    <tableColumn id="5" name="2" dataDxfId="771"/>
    <tableColumn id="69" name="22" dataDxfId="770"/>
    <tableColumn id="34" name="3" dataDxfId="769"/>
    <tableColumn id="6" name="PTS" dataDxfId="768">
      <calculatedColumnFormula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calculatedColumnFormula>
    </tableColumn>
    <tableColumn id="7" name="12" dataDxfId="767"/>
    <tableColumn id="8" name="Columna2" dataDxfId="766"/>
    <tableColumn id="70" name="Columna23" dataDxfId="765"/>
    <tableColumn id="35" name="Columna28" dataDxfId="764"/>
    <tableColumn id="9" name="Columna3" dataDxfId="763">
      <calculatedColumnFormula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calculatedColumnFormula>
    </tableColumn>
    <tableColumn id="10" name="Columna4" dataDxfId="762"/>
    <tableColumn id="11" name="Columna5" dataDxfId="761"/>
    <tableColumn id="71" name="Columna53" dataDxfId="760"/>
    <tableColumn id="36" name="Columna52" dataDxfId="759"/>
    <tableColumn id="12" name="Columna6" dataDxfId="758">
      <calculatedColumnFormula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calculatedColumnFormula>
    </tableColumn>
    <tableColumn id="13" name="Columna7" dataDxfId="757"/>
    <tableColumn id="14" name="Columna8" dataDxfId="756"/>
    <tableColumn id="72" name="Columna83" dataDxfId="755"/>
    <tableColumn id="37" name="Columna82" dataDxfId="754"/>
    <tableColumn id="15" name="Columna9" dataDxfId="753">
      <calculatedColumnFormula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calculatedColumnFormula>
    </tableColumn>
    <tableColumn id="16" name="Columna10" dataDxfId="752"/>
    <tableColumn id="17" name="Columna11" dataDxfId="751"/>
    <tableColumn id="73" name="Columna113" dataDxfId="750"/>
    <tableColumn id="38" name="Columna112" dataDxfId="749"/>
    <tableColumn id="18" name="Columna12" dataDxfId="748">
      <calculatedColumnFormula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calculatedColumnFormula>
    </tableColumn>
    <tableColumn id="19" name="1RA" dataDxfId="747"/>
    <tableColumn id="20" name="2DA" dataDxfId="746"/>
    <tableColumn id="74" name="2DA2" dataDxfId="745"/>
    <tableColumn id="39" name="3RA" dataDxfId="744"/>
    <tableColumn id="21" name="Columna15" dataDxfId="743">
      <calculatedColumnFormula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calculatedColumnFormula>
    </tableColumn>
    <tableColumn id="22" name="Columna16" dataDxfId="742"/>
    <tableColumn id="23" name="Columna17" dataDxfId="741"/>
    <tableColumn id="75" name="Columna173" dataDxfId="740"/>
    <tableColumn id="40" name="Columna172" dataDxfId="739"/>
    <tableColumn id="24" name="Columna18" dataDxfId="738">
      <calculatedColumnFormula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calculatedColumnFormula>
    </tableColumn>
    <tableColumn id="25" name="123" dataDxfId="737"/>
    <tableColumn id="26" name="555" dataDxfId="736"/>
    <tableColumn id="76" name="556" dataDxfId="735"/>
    <tableColumn id="41" name="111" dataDxfId="734"/>
    <tableColumn id="27" name="Columna21" dataDxfId="733">
      <calculatedColumnFormula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calculatedColumnFormula>
    </tableColumn>
    <tableColumn id="28" name="AAAA" dataDxfId="732"/>
    <tableColumn id="29" name="BBBB" dataDxfId="731"/>
    <tableColumn id="77" name="Columna13" dataDxfId="730"/>
    <tableColumn id="42" name="CCCC" dataDxfId="729"/>
    <tableColumn id="30" name="Columna24" dataDxfId="728">
      <calculatedColumnFormula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calculatedColumnFormula>
    </tableColumn>
    <tableColumn id="31" name="Columna25" dataDxfId="727"/>
    <tableColumn id="32" name="Columna26" dataDxfId="726"/>
    <tableColumn id="78" name="Columna263" dataDxfId="725"/>
    <tableColumn id="43" name="Columna262" dataDxfId="724"/>
    <tableColumn id="33" name="Columna27" dataDxfId="723">
      <calculatedColumnFormula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calculatedColumnFormula>
    </tableColumn>
    <tableColumn id="44" name="Columna272" dataDxfId="722"/>
    <tableColumn id="45" name="Columna273" dataDxfId="721"/>
    <tableColumn id="79" name="Columna2732" dataDxfId="720"/>
    <tableColumn id="46" name="Columna274" dataDxfId="719"/>
    <tableColumn id="47" name="Columna275" dataDxfId="718">
      <calculatedColumnFormula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calculatedColumnFormula>
    </tableColumn>
    <tableColumn id="48" name="Columna276" dataDxfId="717"/>
    <tableColumn id="49" name="Columna277" dataDxfId="716"/>
    <tableColumn id="80" name="Columna2772" dataDxfId="715"/>
    <tableColumn id="50" name="Columna278" dataDxfId="714"/>
    <tableColumn id="51" name="Columna279" dataDxfId="713">
      <calculatedColumnFormula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calculatedColumnFormula>
    </tableColumn>
    <tableColumn id="52" name="Columna280" dataDxfId="712"/>
    <tableColumn id="53" name="Columna281" dataDxfId="711"/>
    <tableColumn id="81" name="Columna2812" dataDxfId="710"/>
    <tableColumn id="54" name="Columna282" dataDxfId="709"/>
    <tableColumn id="55" name="Columna283" dataDxfId="708">
      <calculatedColumnFormula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calculatedColumnFormula>
    </tableColumn>
    <tableColumn id="95" name="Columna2802" dataDxfId="707"/>
    <tableColumn id="96" name="Columna2813" dataDxfId="706"/>
    <tableColumn id="97" name="Columna28124" dataDxfId="705"/>
    <tableColumn id="98" name="Columna2825" dataDxfId="704"/>
    <tableColumn id="99" name="Columna28310" dataDxfId="703">
      <calculatedColumnFormula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calculatedColumnFormula>
    </tableColumn>
    <tableColumn id="90" name="Columna2803" dataDxfId="702"/>
    <tableColumn id="91" name="Columna2814" dataDxfId="701"/>
    <tableColumn id="92" name="Columna28125" dataDxfId="700"/>
    <tableColumn id="93" name="Columna2826" dataDxfId="699"/>
    <tableColumn id="94" name="Columna2837" dataDxfId="698">
      <calculatedColumnFormula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calculatedColumnFormula>
    </tableColumn>
    <tableColumn id="89" name="Columna2804" dataDxfId="697"/>
    <tableColumn id="88" name="Columna2815" dataDxfId="696"/>
    <tableColumn id="87" name="Columna28126" dataDxfId="695"/>
    <tableColumn id="86" name="Columna2827" dataDxfId="694"/>
    <tableColumn id="85" name="Columna2838" dataDxfId="693">
      <calculatedColumnFormula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calculatedColumnFormula>
    </tableColumn>
    <tableColumn id="82" name="Columna14" dataDxfId="692">
      <calculatedColumnFormula>IF(BASE01[[#This Row],[1]]="",0,$B$4)</calculatedColumnFormula>
    </tableColumn>
    <tableColumn id="83" name="Columna19" dataDxfId="691">
      <calculatedColumnFormula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calculatedColumnFormula>
    </tableColumn>
    <tableColumn id="84" name="Columna20" dataDxfId="690" dataCellStyle="Porcentaje">
      <calculatedColumnFormula>IF(BASE01[[#This Row],[Columna14]]=0,0,(CH8/CG8))</calculatedColumnFormula>
    </tableColumn>
    <tableColumn id="56" name="Columna29" dataDxfId="689">
      <calculatedColumnFormula>IF(BASE01[[#This Row],[1]]="",0,$B$4)</calculatedColumnFormula>
    </tableColumn>
    <tableColumn id="57" name="Columna30" dataDxfId="688">
      <calculatedColumnFormula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calculatedColumnFormula>
    </tableColumn>
    <tableColumn id="58" name="Columna31" dataDxfId="687" dataCellStyle="Porcentaje">
      <calculatedColumnFormula>IF(BASE01[[#This Row],[Columna14]]=0,0,(CK8/CJ8))</calculatedColumnFormula>
    </tableColumn>
    <tableColumn id="59" name="Columna32" dataDxfId="686">
      <calculatedColumnFormula>IF(BASE01[[#This Row],[1]]="",0,$B$4)</calculatedColumnFormula>
    </tableColumn>
    <tableColumn id="60" name="Columna34" dataDxfId="685">
      <calculatedColumnFormula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calculatedColumnFormula>
    </tableColumn>
    <tableColumn id="61" name="Columna35" dataDxfId="684" dataCellStyle="Porcentaje">
      <calculatedColumnFormula>IF(BASE01[[#This Row],[Columna14]]=0,0,(CN8/CM8))</calculatedColumnFormula>
    </tableColumn>
    <tableColumn id="62" name="Columna36" dataDxfId="683">
      <calculatedColumnFormula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calculatedColumnFormula>
    </tableColumn>
    <tableColumn id="63" name="Columna37" dataDxfId="682">
      <calculatedColumnFormula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Row],[Columna25]],$AX$5,BA8,"SF")+COUNTIFS(BASE01[[#This Row],[Columna272]],$BC$5,BASE01[[#This Row],[Columna274]],"SF")+COUNTIFS(BASE01[[#This Row],[Columna276]],$BH$5,BASE01[[#This Row],[Columna278]],"SF")+COUNTIFS(BASE01[[#This Row],[Columna280]],$BM$5,BASE01[[#This Row],[Columna282]],"SF")</calculatedColumnFormula>
    </tableColumn>
    <tableColumn id="64" name="Columna38" dataDxfId="681" dataCellStyle="Porcentaje">
      <calculatedColumnFormula>IF(BASE01[[#This Row],[Columna14]]=0,0,(CQ8/CP8))</calculatedColumnFormula>
    </tableColumn>
    <tableColumn id="65" name="Columna1" dataDxfId="680">
      <calculatedColumnFormula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calculatedColumnFormula>
    </tableColumn>
    <tableColumn id="66" name="Columna22" dataDxfId="679"/>
    <tableColumn id="67" name="Columna33" dataDxfId="678">
      <calculatedColumnFormula>SUM(CS8,CT8)</calculatedColumnFormula>
    </tableColumn>
    <tableColumn id="68" name="Columna44" dataDxfId="677">
      <calculatedColumnFormula>IF(BASE01[[#This Row],[TIPO]]="PREMIO",$O$3,"0,00")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VIDENDO" displayName="DIVIDENDO" ref="B101:D129" headerRowCount="1" totalsRowShown="0" dataDxfId="676">
  <autoFilter ref="B101:D129"/>
  <tableColumns count="3">
    <tableColumn id="1" name="FACTOR" dataDxfId="675"/>
    <tableColumn id="3" name="DIVIDENDO" dataDxfId="674"/>
    <tableColumn id="2" name="BS" dataDxfId="673">
      <calculatedColumnFormula>(DIVIDENDO[[#This Row],[FACTOR]]*$H$101)+$H$101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V_GAN_SEM_1" displayName="DIV_GAN_SEM_1" ref="CY7:CZ23" headerRowCount="1" totalsRowShown="0" dataDxfId="672">
  <autoFilter ref="CY7:CZ23"/>
  <tableColumns count="2">
    <tableColumn id="1" name="CARRERA" dataDxfId="671"/>
    <tableColumn id="2" name="DIVIDENDO" dataDxfId="6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EMANA2" displayName="SEMANA2" ref="B7:CV57" headerRowCount="1" totalsRowShown="0" headerRowDxfId="669" tableBorderDxfId="668">
  <autoFilter ref="B7:CV57"/>
  <sortState ref="B8:CV57">
    <sortCondition descending="1" ref="CS7:CS57"/>
  </sortState>
  <tableColumns count="99">
    <tableColumn id="1" name="0" dataDxfId="667">
      <calculatedColumnFormula>IF(SEMANA2[[#This Row],[COD]]&lt;&gt;"",B7+1,"")</calculatedColumnFormula>
    </tableColumn>
    <tableColumn id="2" name="COD" dataDxfId="666"/>
    <tableColumn id="3" name="TIPO" dataDxfId="665">
      <calculatedColumnFormula array="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calculatedColumnFormula>
    </tableColumn>
    <tableColumn id="4" name="1" dataDxfId="664"/>
    <tableColumn id="5" name="2" dataDxfId="663"/>
    <tableColumn id="6" name="22" dataDxfId="662"/>
    <tableColumn id="7" name="3" dataDxfId="661"/>
    <tableColumn id="8" name="PTS" dataDxfId="660">
      <calculatedColumnFormula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calculatedColumnFormula>
    </tableColumn>
    <tableColumn id="9" name="12" dataDxfId="659"/>
    <tableColumn id="10" name="Columna2" dataDxfId="658"/>
    <tableColumn id="11" name="Columna23" dataDxfId="657"/>
    <tableColumn id="12" name="Columna28" dataDxfId="656"/>
    <tableColumn id="13" name="Columna3" dataDxfId="655">
      <calculatedColumnFormula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calculatedColumnFormula>
    </tableColumn>
    <tableColumn id="14" name="Columna4" dataDxfId="654"/>
    <tableColumn id="15" name="Columna5" dataDxfId="653"/>
    <tableColumn id="16" name="Columna53" dataDxfId="652"/>
    <tableColumn id="17" name="Columna52" dataDxfId="651"/>
    <tableColumn id="18" name="Columna6" dataDxfId="650">
      <calculatedColumnFormula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calculatedColumnFormula>
    </tableColumn>
    <tableColumn id="19" name="Columna7" dataDxfId="649"/>
    <tableColumn id="20" name="Columna8" dataDxfId="648"/>
    <tableColumn id="21" name="Columna83" dataDxfId="647"/>
    <tableColumn id="22" name="Columna82" dataDxfId="646"/>
    <tableColumn id="23" name="Columna9" dataDxfId="645">
      <calculatedColumnFormula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calculatedColumnFormula>
    </tableColumn>
    <tableColumn id="24" name="Columna10" dataDxfId="644"/>
    <tableColumn id="25" name="Columna11" dataDxfId="643"/>
    <tableColumn id="26" name="Columna113" dataDxfId="642"/>
    <tableColumn id="27" name="Columna112" dataDxfId="641"/>
    <tableColumn id="28" name="Columna12" dataDxfId="640">
      <calculatedColumnFormula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calculatedColumnFormula>
    </tableColumn>
    <tableColumn id="29" name="1RA" dataDxfId="639"/>
    <tableColumn id="30" name="2DA" dataDxfId="638"/>
    <tableColumn id="31" name="2DA2" dataDxfId="637"/>
    <tableColumn id="32" name="3RA" dataDxfId="636"/>
    <tableColumn id="33" name="Columna15" dataDxfId="635">
      <calculatedColumnFormula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calculatedColumnFormula>
    </tableColumn>
    <tableColumn id="34" name="Columna16" dataDxfId="634"/>
    <tableColumn id="35" name="Columna17" dataDxfId="633"/>
    <tableColumn id="36" name="Columna173" dataDxfId="632"/>
    <tableColumn id="37" name="Columna172" dataDxfId="631"/>
    <tableColumn id="38" name="Columna18" dataDxfId="630">
      <calculatedColumnFormula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calculatedColumnFormula>
    </tableColumn>
    <tableColumn id="39" name="123" dataDxfId="629"/>
    <tableColumn id="40" name="555" dataDxfId="628"/>
    <tableColumn id="41" name="556" dataDxfId="627"/>
    <tableColumn id="42" name="111" dataDxfId="626"/>
    <tableColumn id="43" name="Columna21" dataDxfId="625">
      <calculatedColumnFormula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calculatedColumnFormula>
    </tableColumn>
    <tableColumn id="44" name="AAAA" dataDxfId="624"/>
    <tableColumn id="45" name="BBBB" dataDxfId="623"/>
    <tableColumn id="46" name="Columna13" dataDxfId="622"/>
    <tableColumn id="47" name="CCCC" dataDxfId="621"/>
    <tableColumn id="48" name="Columna24" dataDxfId="620">
      <calculatedColumnFormula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calculatedColumnFormula>
    </tableColumn>
    <tableColumn id="49" name="Columna25" dataDxfId="619"/>
    <tableColumn id="50" name="Columna26" dataDxfId="618"/>
    <tableColumn id="51" name="Columna263" dataDxfId="617"/>
    <tableColumn id="52" name="Columna262" dataDxfId="616"/>
    <tableColumn id="53" name="Columna27" dataDxfId="615">
      <calculatedColumnFormula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calculatedColumnFormula>
    </tableColumn>
    <tableColumn id="54" name="Columna272" dataDxfId="614"/>
    <tableColumn id="55" name="Columna273" dataDxfId="613"/>
    <tableColumn id="56" name="Columna2732" dataDxfId="612"/>
    <tableColumn id="57" name="Columna274" dataDxfId="611"/>
    <tableColumn id="58" name="Columna275" dataDxfId="610">
      <calculatedColumnFormula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calculatedColumnFormula>
    </tableColumn>
    <tableColumn id="59" name="Columna276" dataDxfId="609"/>
    <tableColumn id="60" name="Columna277" dataDxfId="608"/>
    <tableColumn id="61" name="Columna2772" dataDxfId="607"/>
    <tableColumn id="62" name="Columna278" dataDxfId="606"/>
    <tableColumn id="63" name="Columna279" dataDxfId="605">
      <calculatedColumnFormula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calculatedColumnFormula>
    </tableColumn>
    <tableColumn id="64" name="Columna280" dataDxfId="604"/>
    <tableColumn id="65" name="Columna281" dataDxfId="603"/>
    <tableColumn id="66" name="Columna2812" dataDxfId="602"/>
    <tableColumn id="67" name="Columna282" dataDxfId="601"/>
    <tableColumn id="68" name="Columna283" dataDxfId="600">
      <calculatedColumnFormula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calculatedColumnFormula>
    </tableColumn>
    <tableColumn id="69" name="Columna2802" dataDxfId="599"/>
    <tableColumn id="70" name="Columna2813" dataDxfId="598"/>
    <tableColumn id="71" name="Columna28124" dataDxfId="597"/>
    <tableColumn id="72" name="Columna2825" dataDxfId="596"/>
    <tableColumn id="73" name="Columna28310" dataDxfId="595">
      <calculatedColumnFormula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calculatedColumnFormula>
    </tableColumn>
    <tableColumn id="74" name="Columna2803" dataDxfId="594"/>
    <tableColumn id="75" name="Columna2814" dataDxfId="593"/>
    <tableColumn id="76" name="Columna28125" dataDxfId="592"/>
    <tableColumn id="77" name="Columna2826" dataDxfId="591"/>
    <tableColumn id="78" name="Columna2837" dataDxfId="590">
      <calculatedColumnFormula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calculatedColumnFormula>
    </tableColumn>
    <tableColumn id="79" name="Columna2804" dataDxfId="589"/>
    <tableColumn id="80" name="Columna2815" dataDxfId="588"/>
    <tableColumn id="81" name="Columna28126" dataDxfId="587"/>
    <tableColumn id="82" name="Columna2827" dataDxfId="586"/>
    <tableColumn id="83" name="Columna2838" dataDxfId="585">
      <calculatedColumnFormula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calculatedColumnFormula>
    </tableColumn>
    <tableColumn id="84" name="Columna14" dataDxfId="584">
      <calculatedColumnFormula>IF(SEMANA2[[#This Row],[1]]="",0,$B$4)</calculatedColumnFormula>
    </tableColumn>
    <tableColumn id="85" name="Columna19" dataDxfId="583">
      <calculatedColumnFormula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calculatedColumnFormula>
    </tableColumn>
    <tableColumn id="86" name="Columna20" dataDxfId="582" dataCellStyle="Porcentaje">
      <calculatedColumnFormula>IF(SEMANA2[[#This Row],[Columna14]]=0,0,(CH8/CG8))</calculatedColumnFormula>
    </tableColumn>
    <tableColumn id="87" name="Columna29" dataDxfId="581">
      <calculatedColumnFormula>IF(SEMANA2[[#This Row],[1]]="",0,$B$4)</calculatedColumnFormula>
    </tableColumn>
    <tableColumn id="88" name="Columna30" dataDxfId="580">
      <calculatedColumnFormula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calculatedColumnFormula>
    </tableColumn>
    <tableColumn id="89" name="Columna31" dataDxfId="579" dataCellStyle="Porcentaje">
      <calculatedColumnFormula>IF(SEMANA2[[#This Row],[Columna14]]=0,0,(CK8/CJ8))</calculatedColumnFormula>
    </tableColumn>
    <tableColumn id="90" name="Columna32" dataDxfId="578">
      <calculatedColumnFormula>IF(SEMANA2[[#This Row],[1]]="",0,$B$4)</calculatedColumnFormula>
    </tableColumn>
    <tableColumn id="91" name="Columna34" dataDxfId="577">
      <calculatedColumnFormula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calculatedColumnFormula>
    </tableColumn>
    <tableColumn id="92" name="Columna35" dataDxfId="576" dataCellStyle="Porcentaje">
      <calculatedColumnFormula>IF(SEMANA2[[#This Row],[Columna14]]=0,0,(CN8/CM8))</calculatedColumnFormula>
    </tableColumn>
    <tableColumn id="93" name="Columna36" dataDxfId="575">
      <calculatedColumnFormula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calculatedColumnFormula>
    </tableColumn>
    <tableColumn id="94" name="Columna37" dataDxfId="574">
      <calculatedColumnFormula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Row],[Columna25]],$AX$5,BA8,"SF")+COUNTIFS(SEMANA2[[#This Row],[Columna272]],$BC$5,SEMANA2[[#This Row],[Columna274]],"SF")+COUNTIFS(SEMANA2[[#This Row],[Columna276]],$BH$5,SEMANA2[[#This Row],[Columna278]],"SF")+COUNTIFS(SEMANA2[[#This Row],[Columna280]],$BM$5,SEMANA2[[#This Row],[Columna282]],"SF")</calculatedColumnFormula>
    </tableColumn>
    <tableColumn id="95" name="Columna38" dataDxfId="573" dataCellStyle="Porcentaje">
      <calculatedColumnFormula>IFERROR(IF(SEMANA2[[#This Row],[Columna14]]=0,0,(CQ8/CP8)),0)</calculatedColumnFormula>
    </tableColumn>
    <tableColumn id="96" name="Columna1" dataDxfId="572">
      <calculatedColumnFormula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calculatedColumnFormula>
    </tableColumn>
    <tableColumn id="97" name="Columna22" dataDxfId="571">
      <calculatedColumnFormula>_xlfn.XLOOKUP(SEMANA2[[#This Row],[COD]],BASE01[COD],BASE01[Columna33])</calculatedColumnFormula>
    </tableColumn>
    <tableColumn id="98" name="Columna33" dataDxfId="570">
      <calculatedColumnFormula>SUM(CS8,CT8)</calculatedColumnFormula>
    </tableColumn>
    <tableColumn id="99" name="Columna44" dataDxfId="569">
      <calculatedColumnFormula>IF(SEMANA2[[#This Row],[TIPO]]="PREMIO",$O$3,"0,00")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VID2" displayName="DIVID2" ref="B101:D129" headerRowCount="1" totalsRowShown="0">
  <autoFilter ref="B101:D129"/>
  <tableColumns count="3">
    <tableColumn id="1" name="FACTOR" dataDxfId="568"/>
    <tableColumn id="2" name="DIVIDENDO" dataDxfId="567"/>
    <tableColumn id="3" name="BS" dataDxfId="566">
      <calculatedColumnFormula>(DIVIDENDO[[#This Row],[FACTOR]]*$H$101)+$H$101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V_GAN_SEM_2" displayName="DIV_GAN_SEM_2" ref="CY7:CZ23" headerRowCount="1" totalsRowShown="0">
  <autoFilter ref="CY7:CZ23"/>
  <tableColumns count="2">
    <tableColumn id="1" name="CARRERA" dataDxfId="565"/>
    <tableColumn id="2" name="DIVIDENDO" dataDxfId="5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MANA29" displayName="SEMANA29" ref="B7:CV57" headerRowCount="1" totalsRowShown="0" headerRowDxfId="563" tableBorderDxfId="562">
  <autoFilter ref="B7:CV57"/>
  <sortState ref="B8:CV57">
    <sortCondition ref="C7:C57"/>
  </sortState>
  <tableColumns count="99">
    <tableColumn id="1" name="0" dataDxfId="561">
      <calculatedColumnFormula>IF(SEMANA29[[#This Row],[COD]]&lt;&gt;"",B7+1,"")</calculatedColumnFormula>
    </tableColumn>
    <tableColumn id="2" name="COD" dataDxfId="560"/>
    <tableColumn id="3" name="TIPO" dataDxfId="559">
      <calculatedColumnFormula array="1">IF(SEMANA29[[#This Row],[COD]]="","",_xlfn.IFS(_xlfn.XLOOKUP(SEMANA29[[#This Row],[COD]],CODIGOS_Y_PAGOS[CODIGO],CODIGOS_Y_PAGOS[13/09/2026],"")="X","PREMIO",_xlfn.XLOOKUP(SEMANA29[[#This Row],[COD]],CODIGOS_Y_PAGOS[CODIGO],CODIGOS_Y_PAGOS[13/09/2026],"")="","NO ENVIÓ",_xlfn.XLOOKUP(SEMANA29[[#This Row],[COD]],CODIGOS_Y_PAGOS[CODIGO],CODIGOS_Y_PAGOS[13/09/2026],"")=0,"MEETING",_xlfn.XLOOKUP(SEMANA29[[#This Row],[COD]],CODIGOS_Y_PAGOS[CODIGO],CODIGOS_Y_PAGOS[13/09/2026],"")="O","PREMIO",_xlfn.XLOOKUP(SEMANA29[[#This Row],[COD]],CODIGOS_Y_PAGOS[CODIGO],CODIGOS_Y_PAGOS[13/09/2026],"")="-","PAGO PENDIENTE"))</calculatedColumnFormula>
    </tableColumn>
    <tableColumn id="4" name="1" dataDxfId="558"/>
    <tableColumn id="5" name="2" dataDxfId="557"/>
    <tableColumn id="6" name="22" dataDxfId="556"/>
    <tableColumn id="7" name="3" dataDxfId="555"/>
    <tableColumn id="8" name="PTS" dataDxfId="554">
      <calculatedColumnFormula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calculatedColumnFormula>
    </tableColumn>
    <tableColumn id="9" name="12" dataDxfId="553"/>
    <tableColumn id="10" name="Columna2" dataDxfId="552"/>
    <tableColumn id="11" name="Columna23" dataDxfId="551"/>
    <tableColumn id="12" name="Columna28" dataDxfId="550"/>
    <tableColumn id="13" name="Columna3" dataDxfId="549">
      <calculatedColumnFormula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calculatedColumnFormula>
    </tableColumn>
    <tableColumn id="14" name="Columna4" dataDxfId="548"/>
    <tableColumn id="15" name="Columna5" dataDxfId="547"/>
    <tableColumn id="16" name="Columna53" dataDxfId="546"/>
    <tableColumn id="17" name="Columna52" dataDxfId="545"/>
    <tableColumn id="18" name="Columna6" dataDxfId="544">
      <calculatedColumnFormula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calculatedColumnFormula>
    </tableColumn>
    <tableColumn id="19" name="Columna7" dataDxfId="543"/>
    <tableColumn id="20" name="Columna8" dataDxfId="542"/>
    <tableColumn id="21" name="Columna83" dataDxfId="541"/>
    <tableColumn id="22" name="Columna82" dataDxfId="540"/>
    <tableColumn id="23" name="Columna9" dataDxfId="539">
      <calculatedColumnFormula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calculatedColumnFormula>
    </tableColumn>
    <tableColumn id="24" name="Columna10" dataDxfId="538"/>
    <tableColumn id="25" name="Columna11" dataDxfId="537"/>
    <tableColumn id="26" name="Columna113" dataDxfId="536"/>
    <tableColumn id="27" name="Columna112" dataDxfId="535"/>
    <tableColumn id="28" name="Columna12" dataDxfId="534">
      <calculatedColumnFormula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calculatedColumnFormula>
    </tableColumn>
    <tableColumn id="29" name="1RA" dataDxfId="533"/>
    <tableColumn id="30" name="2DA" dataDxfId="532"/>
    <tableColumn id="31" name="2DA2" dataDxfId="531"/>
    <tableColumn id="32" name="3RA" dataDxfId="530"/>
    <tableColumn id="33" name="Columna15" dataDxfId="529">
      <calculatedColumnFormula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calculatedColumnFormula>
    </tableColumn>
    <tableColumn id="34" name="Columna16" dataDxfId="528"/>
    <tableColumn id="35" name="Columna17" dataDxfId="527"/>
    <tableColumn id="36" name="Columna173" dataDxfId="526"/>
    <tableColumn id="37" name="Columna172" dataDxfId="525"/>
    <tableColumn id="38" name="Columna18" dataDxfId="524">
      <calculatedColumnFormula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calculatedColumnFormula>
    </tableColumn>
    <tableColumn id="39" name="123" dataDxfId="523"/>
    <tableColumn id="40" name="555" dataDxfId="522"/>
    <tableColumn id="41" name="556" dataDxfId="521"/>
    <tableColumn id="42" name="111" dataDxfId="520"/>
    <tableColumn id="43" name="Columna21" dataDxfId="519">
      <calculatedColumnFormula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calculatedColumnFormula>
    </tableColumn>
    <tableColumn id="44" name="AAAA" dataDxfId="518"/>
    <tableColumn id="45" name="BBBB" dataDxfId="517"/>
    <tableColumn id="46" name="Columna13" dataDxfId="516"/>
    <tableColumn id="47" name="CCCC" dataDxfId="515"/>
    <tableColumn id="48" name="Columna24" dataDxfId="514">
      <calculatedColumnFormula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calculatedColumnFormula>
    </tableColumn>
    <tableColumn id="49" name="Columna25" dataDxfId="513"/>
    <tableColumn id="50" name="Columna26" dataDxfId="512"/>
    <tableColumn id="51" name="Columna263" dataDxfId="511"/>
    <tableColumn id="52" name="Columna262" dataDxfId="510"/>
    <tableColumn id="53" name="Columna27" dataDxfId="509">
      <calculatedColumnFormula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calculatedColumnFormula>
    </tableColumn>
    <tableColumn id="54" name="Columna272" dataDxfId="508"/>
    <tableColumn id="55" name="Columna273" dataDxfId="507"/>
    <tableColumn id="56" name="Columna2732" dataDxfId="506"/>
    <tableColumn id="57" name="Columna274" dataDxfId="505"/>
    <tableColumn id="58" name="Columna275" dataDxfId="504">
      <calculatedColumnFormula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calculatedColumnFormula>
    </tableColumn>
    <tableColumn id="59" name="Columna276" dataDxfId="503"/>
    <tableColumn id="60" name="Columna277" dataDxfId="502"/>
    <tableColumn id="61" name="Columna2772" dataDxfId="501"/>
    <tableColumn id="62" name="Columna278" dataDxfId="500"/>
    <tableColumn id="63" name="Columna279" dataDxfId="499">
      <calculatedColumnFormula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calculatedColumnFormula>
    </tableColumn>
    <tableColumn id="64" name="Columna280" dataDxfId="498"/>
    <tableColumn id="65" name="Columna281" dataDxfId="497"/>
    <tableColumn id="66" name="Columna2812" dataDxfId="496"/>
    <tableColumn id="67" name="Columna282" dataDxfId="495"/>
    <tableColumn id="68" name="Columna283" dataDxfId="494">
      <calculatedColumnFormula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calculatedColumnFormula>
    </tableColumn>
    <tableColumn id="69" name="Columna2802" dataDxfId="493"/>
    <tableColumn id="70" name="Columna2813" dataDxfId="492"/>
    <tableColumn id="71" name="Columna28124" dataDxfId="491"/>
    <tableColumn id="72" name="Columna2825" dataDxfId="490"/>
    <tableColumn id="73" name="Columna28310" dataDxfId="489">
      <calculatedColumnFormula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calculatedColumnFormula>
    </tableColumn>
    <tableColumn id="74" name="Columna2803" dataDxfId="488"/>
    <tableColumn id="75" name="Columna2814" dataDxfId="487"/>
    <tableColumn id="76" name="Columna28125" dataDxfId="486"/>
    <tableColumn id="77" name="Columna2826" dataDxfId="485"/>
    <tableColumn id="78" name="Columna2837" dataDxfId="484">
      <calculatedColumnFormula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calculatedColumnFormula>
    </tableColumn>
    <tableColumn id="79" name="Columna2804" dataDxfId="483"/>
    <tableColumn id="80" name="Columna2815" dataDxfId="482"/>
    <tableColumn id="81" name="Columna28126" dataDxfId="481"/>
    <tableColumn id="82" name="Columna2827" dataDxfId="480"/>
    <tableColumn id="83" name="Columna2838" dataDxfId="479">
      <calculatedColumnFormula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calculatedColumnFormula>
    </tableColumn>
    <tableColumn id="84" name="Columna14" dataDxfId="478">
      <calculatedColumnFormula>IF(SEMANA29[[#This Row],[1]]="",0,$B$4)</calculatedColumnFormula>
    </tableColumn>
    <tableColumn id="85" name="Columna19" dataDxfId="477">
      <calculatedColumnFormula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calculatedColumnFormula>
    </tableColumn>
    <tableColumn id="86" name="Columna20" dataDxfId="476" dataCellStyle="Porcentaje">
      <calculatedColumnFormula>IF(SEMANA29[[#This Row],[Columna14]]=0,0,(CH8/CG8))</calculatedColumnFormula>
    </tableColumn>
    <tableColumn id="87" name="Columna29" dataDxfId="475">
      <calculatedColumnFormula>IF(SEMANA29[[#This Row],[1]]="",0,$B$4)</calculatedColumnFormula>
    </tableColumn>
    <tableColumn id="88" name="Columna30" dataDxfId="474">
      <calculatedColumnFormula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calculatedColumnFormula>
    </tableColumn>
    <tableColumn id="89" name="Columna31" dataDxfId="473" dataCellStyle="Porcentaje">
      <calculatedColumnFormula>IF(SEMANA29[[#This Row],[Columna14]]=0,0,(CK8/CJ8))</calculatedColumnFormula>
    </tableColumn>
    <tableColumn id="90" name="Columna32" dataDxfId="472">
      <calculatedColumnFormula>IF(SEMANA29[[#This Row],[1]]="",0,$B$4)</calculatedColumnFormula>
    </tableColumn>
    <tableColumn id="91" name="Columna34" dataDxfId="471">
      <calculatedColumnFormula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calculatedColumnFormula>
    </tableColumn>
    <tableColumn id="92" name="Columna35" dataDxfId="470" dataCellStyle="Porcentaje">
      <calculatedColumnFormula>IF(SEMANA29[[#This Row],[Columna14]]=0,0,(CN8/CM8))</calculatedColumnFormula>
    </tableColumn>
    <tableColumn id="93" name="Columna36" dataDxfId="469">
      <calculatedColumnFormula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calculatedColumnFormula>
    </tableColumn>
    <tableColumn id="94" name="Columna37" dataDxfId="468">
      <calculatedColumnFormula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calculatedColumnFormula>
    </tableColumn>
    <tableColumn id="95" name="Columna38" dataDxfId="467" dataCellStyle="Porcentaje">
      <calculatedColumnFormula>IFERROR(IF(SEMANA29[[#This Row],[Columna14]]=0,0,(CQ8/CP8)),0)</calculatedColumnFormula>
    </tableColumn>
    <tableColumn id="96" name="Columna1" dataDxfId="466">
      <calculatedColumnFormula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calculatedColumnFormula>
    </tableColumn>
    <tableColumn id="97" name="Columna22" dataDxfId="465">
      <calculatedColumnFormula>_xlfn.XLOOKUP(SEMANA29[[#This Row],[COD]],SEMANA2[COD],SEMANA2[Columna33])</calculatedColumnFormula>
    </tableColumn>
    <tableColumn id="98" name="Columna33" dataDxfId="464">
      <calculatedColumnFormula>SUM(CS8,CT8)</calculatedColumnFormula>
    </tableColumn>
    <tableColumn id="99" name="Columna44" dataDxfId="463">
      <calculatedColumnFormula>IF(SEMANA29[[#This Row],[TIPO]]="PREMIO",$O$3,"0,00")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VID210" displayName="DIVID210" ref="B101:D129" headerRowCount="1" totalsRowShown="0">
  <autoFilter ref="B101:D129"/>
  <tableColumns count="3">
    <tableColumn id="1" name="FACTOR" dataDxfId="462"/>
    <tableColumn id="2" name="DIVIDENDO" dataDxfId="461"/>
    <tableColumn id="3" name="BS" dataDxfId="460">
      <calculatedColumnFormula>(DIVIDENDO[[#This Row],[FACTOR]]*$H$101)+$H$101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V_GAN_SEM_211" displayName="DIV_GAN_SEM_211" ref="CY7:CZ23" headerRowCount="1" totalsRowShown="0">
  <autoFilter ref="CY7:CZ23"/>
  <tableColumns count="2">
    <tableColumn id="1" name="CARRERA" dataDxfId="459"/>
    <tableColumn id="2" name="DIVIDENDO" dataDxfId="45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9"/>
  <sheetViews>
    <sheetView topLeftCell="A40" workbookViewId="0">
      <selection activeCell="B53" sqref="B53"/>
    </sheetView>
  </sheetViews>
  <sheetFormatPr baseColWidth="10" defaultRowHeight="15"/>
  <cols>
    <col width="2.85546875" customWidth="1" style="568" min="1" max="1"/>
    <col width="9.7109375" customWidth="1" style="568" min="2" max="2"/>
    <col width="45.7109375" customWidth="1" style="568" min="3" max="3"/>
    <col width="22" customWidth="1" style="5" min="4" max="4"/>
    <col width="6.28515625" customWidth="1" style="356" min="5" max="11"/>
    <col width="6.28515625" customWidth="1" style="568" min="12" max="12"/>
    <col width="5.7109375" customWidth="1" style="568" min="13" max="17"/>
    <col width="12.28515625" customWidth="1" style="568" min="18" max="18"/>
    <col width="14.28515625" customWidth="1" style="568" min="19" max="19"/>
    <col width="11.85546875" customWidth="1" style="568" min="20" max="20"/>
    <col width="12.140625" customWidth="1" style="568" min="21" max="21"/>
    <col width="10.28515625" customWidth="1" style="356" min="22" max="22"/>
    <col width="2.7109375" customWidth="1" style="568" min="23" max="23"/>
  </cols>
  <sheetData>
    <row r="1" ht="12" customHeight="1" s="568">
      <c r="B1" s="1" t="n"/>
      <c r="C1" s="1" t="n"/>
      <c r="D1" s="2" t="n"/>
      <c r="E1" s="1" t="n"/>
      <c r="F1" s="1" t="n"/>
      <c r="G1" s="1" t="n"/>
      <c r="H1" s="1" t="n"/>
      <c r="I1" s="1" t="n"/>
      <c r="J1" s="1" t="n"/>
      <c r="K1" s="1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</row>
    <row r="2" ht="37.5" customFormat="1" customHeight="1" s="576">
      <c r="B2" s="11" t="inlineStr">
        <is>
          <t>CAMPEONATO DE MARCAS</t>
        </is>
      </c>
      <c r="C2" s="12" t="n"/>
      <c r="D2" s="13" t="inlineStr">
        <is>
          <t>3ER MEETING 2026</t>
        </is>
      </c>
      <c r="E2" s="14" t="n"/>
      <c r="F2" s="46" t="inlineStr">
        <is>
          <t>PARTICIPACIÓN</t>
        </is>
      </c>
      <c r="G2" s="17" t="n"/>
      <c r="H2" s="24" t="n">
        <v>1000</v>
      </c>
      <c r="I2" s="18" t="n"/>
      <c r="J2" s="17" t="inlineStr">
        <is>
          <t>ACUMULADO ANTERIOR</t>
        </is>
      </c>
      <c r="K2" s="17" t="n"/>
      <c r="L2" s="19" t="n"/>
      <c r="M2" s="20" t="n">
        <v>15999</v>
      </c>
      <c r="N2" s="21" t="n"/>
      <c r="O2" s="21" t="n"/>
      <c r="P2" s="45" t="inlineStr">
        <is>
          <t>INSCRIPCION</t>
        </is>
      </c>
      <c r="Q2" s="17" t="n"/>
      <c r="R2" s="586" t="n">
        <v>3000</v>
      </c>
      <c r="S2" s="47" t="inlineStr">
        <is>
          <t>SEMANAS</t>
        </is>
      </c>
      <c r="T2" s="22" t="n">
        <v>8</v>
      </c>
      <c r="U2" s="23" t="inlineStr">
        <is>
          <t>MEETING ANTERIOR</t>
        </is>
      </c>
      <c r="V2" s="22" t="n">
        <v>20</v>
      </c>
      <c r="X2" s="71" t="inlineStr">
        <is>
          <t>SEMANAS ACUMULADAS ANTERIOR</t>
        </is>
      </c>
    </row>
    <row r="3" ht="63" customHeight="1" s="568">
      <c r="A3" s="584" t="inlineStr">
        <is>
          <t>00</t>
        </is>
      </c>
      <c r="B3" s="585" t="inlineStr">
        <is>
          <t>CODIGO</t>
        </is>
      </c>
      <c r="C3" s="44" t="inlineStr">
        <is>
          <t>NOMBRE PARTICIPANTE</t>
        </is>
      </c>
      <c r="D3" s="36" t="inlineStr">
        <is>
          <t>PAGO INSCRIPCION</t>
        </is>
      </c>
      <c r="E3" s="37" t="inlineStr">
        <is>
          <t>06/09/2026</t>
        </is>
      </c>
      <c r="F3" s="38" t="inlineStr">
        <is>
          <t>13/09/2026</t>
        </is>
      </c>
      <c r="G3" s="37" t="inlineStr">
        <is>
          <t>20/09/2026</t>
        </is>
      </c>
      <c r="H3" s="37" t="inlineStr">
        <is>
          <t>27/09/2026</t>
        </is>
      </c>
      <c r="I3" s="37" t="inlineStr">
        <is>
          <t>04/10/2026</t>
        </is>
      </c>
      <c r="J3" s="37" t="inlineStr">
        <is>
          <t>11/10/2026</t>
        </is>
      </c>
      <c r="K3" s="37" t="inlineStr">
        <is>
          <t>18/10/2026</t>
        </is>
      </c>
      <c r="L3" s="37" t="inlineStr">
        <is>
          <t>25/10/2026</t>
        </is>
      </c>
      <c r="M3" s="37" t="inlineStr">
        <is>
          <t>Columna1</t>
        </is>
      </c>
      <c r="N3" s="39" t="inlineStr">
        <is>
          <t>Columna2</t>
        </is>
      </c>
      <c r="O3" s="40" t="inlineStr">
        <is>
          <t>Columna3</t>
        </is>
      </c>
      <c r="P3" s="40" t="inlineStr">
        <is>
          <t>Columna4</t>
        </is>
      </c>
      <c r="Q3" s="40" t="inlineStr">
        <is>
          <t>Columna5</t>
        </is>
      </c>
      <c r="R3" s="41" t="inlineStr">
        <is>
          <t>SEMANAS PARTICIPADAS</t>
        </is>
      </c>
      <c r="S3" s="42" t="inlineStr">
        <is>
          <t>APORTADO ACUMULADO DEL MEETING</t>
        </is>
      </c>
      <c r="T3" s="43" t="inlineStr">
        <is>
          <t>APORTADO ACUMULADO TOTAL ACIERTOS</t>
        </is>
      </c>
      <c r="U3" s="43" t="inlineStr">
        <is>
          <t>ACUMULADO A COBRAR TOTAL ACIERTOS</t>
        </is>
      </c>
      <c r="V3" s="48" t="inlineStr">
        <is>
          <t>ACUMULADO ANTERIOR</t>
        </is>
      </c>
      <c r="X3" s="72" t="n">
        <v>4</v>
      </c>
    </row>
    <row r="4" ht="21.75" customHeight="1" s="568">
      <c r="A4" s="583">
        <f>A3+1</f>
        <v/>
      </c>
      <c r="B4" s="587" t="inlineStr">
        <is>
          <t>COD 01</t>
        </is>
      </c>
      <c r="C4" s="8" t="inlineStr">
        <is>
          <t>GANADORES Y PULSO</t>
        </is>
      </c>
      <c r="D4" s="69" t="n">
        <v>3000</v>
      </c>
      <c r="E4" s="7" t="inlineStr">
        <is>
          <t>X</t>
        </is>
      </c>
      <c r="F4" s="7" t="inlineStr">
        <is>
          <t>X</t>
        </is>
      </c>
      <c r="G4" s="7" t="inlineStr">
        <is>
          <t>X</t>
        </is>
      </c>
      <c r="H4" s="7" t="n"/>
      <c r="I4" s="7" t="n"/>
      <c r="J4" s="7" t="n"/>
      <c r="K4" s="7" t="n"/>
      <c r="L4" s="7" t="n"/>
      <c r="M4" s="64" t="n"/>
      <c r="N4" s="65" t="n"/>
      <c r="O4" s="66" t="n"/>
      <c r="P4" s="66" t="n"/>
      <c r="Q4" s="66" t="n"/>
      <c r="R4" s="25">
        <f>COUNTIF(E4:Q4,"X")</f>
        <v/>
      </c>
      <c r="S4" s="27">
        <f>(($H$2-($H$2*0.2))/3)*CONTROL!$R4</f>
        <v/>
      </c>
      <c r="T4" s="28">
        <f>((CONTROL!$R4*$H$2)*26.66666%)+IF(V4="SI",$M$2/$V$2,0)</f>
        <v/>
      </c>
      <c r="U4" s="29">
        <f>SUMIFS(E$56:Q$56,E4:Q4,"X")+IF(V4="SI",$M$2,0)</f>
        <v/>
      </c>
      <c r="V4" s="49" t="inlineStr">
        <is>
          <t>SI</t>
        </is>
      </c>
    </row>
    <row r="5" ht="21" customHeight="1" s="568">
      <c r="A5" s="583">
        <f>A4+1</f>
        <v/>
      </c>
      <c r="B5" s="587" t="inlineStr">
        <is>
          <t>COD 02</t>
        </is>
      </c>
      <c r="C5" s="8" t="inlineStr">
        <is>
          <t>JESUS QUERALES</t>
        </is>
      </c>
      <c r="D5" s="69" t="n">
        <v>3000</v>
      </c>
      <c r="E5" s="7" t="inlineStr">
        <is>
          <t>X</t>
        </is>
      </c>
      <c r="F5" s="7" t="inlineStr">
        <is>
          <t>X</t>
        </is>
      </c>
      <c r="G5" s="7" t="n"/>
      <c r="H5" s="7" t="n"/>
      <c r="I5" s="7" t="n"/>
      <c r="J5" s="7" t="n"/>
      <c r="K5" s="7" t="n"/>
      <c r="L5" s="7" t="n"/>
      <c r="M5" s="64" t="n"/>
      <c r="N5" s="66" t="n"/>
      <c r="O5" s="66" t="n"/>
      <c r="P5" s="66" t="n"/>
      <c r="Q5" s="66" t="n"/>
      <c r="R5" s="25">
        <f>COUNTIF(E5:Q5,"X")</f>
        <v/>
      </c>
      <c r="S5" s="27">
        <f>(($H$2-($H$2*0.2))/3)*CONTROL!$R5</f>
        <v/>
      </c>
      <c r="T5" s="28">
        <f>((CONTROL!$R5*$H$2)*26.66666%)+IF(V5="SI",$M$2/$V$2,0)</f>
        <v/>
      </c>
      <c r="U5" s="29">
        <f>SUMIFS(E$56:Q$56,E5:Q5,"X")+IF(V5="SI",$M$2,0)</f>
        <v/>
      </c>
      <c r="V5" s="49" t="inlineStr">
        <is>
          <t>SI</t>
        </is>
      </c>
    </row>
    <row r="6" ht="21" customHeight="1" s="568">
      <c r="A6" s="583">
        <f>A5+1</f>
        <v/>
      </c>
      <c r="B6" s="587" t="inlineStr">
        <is>
          <t>COD 03</t>
        </is>
      </c>
      <c r="C6" s="8" t="inlineStr">
        <is>
          <t>MUÑECA DEL HIPISMO</t>
        </is>
      </c>
      <c r="D6" s="69" t="n">
        <v>3000</v>
      </c>
      <c r="E6" s="7" t="inlineStr">
        <is>
          <t>X</t>
        </is>
      </c>
      <c r="F6" s="7" t="inlineStr">
        <is>
          <t>X</t>
        </is>
      </c>
      <c r="G6" s="7" t="inlineStr">
        <is>
          <t>X</t>
        </is>
      </c>
      <c r="H6" s="7" t="n"/>
      <c r="I6" s="7" t="n"/>
      <c r="J6" s="7" t="n"/>
      <c r="K6" s="7" t="n"/>
      <c r="L6" s="7" t="n"/>
      <c r="M6" s="64" t="n"/>
      <c r="N6" s="66" t="n"/>
      <c r="O6" s="66" t="n"/>
      <c r="P6" s="66" t="n"/>
      <c r="Q6" s="66" t="n"/>
      <c r="R6" s="25">
        <f>COUNTIF(E6:Q6,"X")</f>
        <v/>
      </c>
      <c r="S6" s="27">
        <f>(($H$2-($H$2*0.2))/3)*CONTROL!$R6</f>
        <v/>
      </c>
      <c r="T6" s="28">
        <f>((CONTROL!$R6*$H$2)*26.66666%)+IF(V6="SI",$M$2/$V$2,0)</f>
        <v/>
      </c>
      <c r="U6" s="29">
        <f>SUMIFS(E$56:Q$56,E6:Q6,"X")+IF(V6="SI",$M$2,0)</f>
        <v/>
      </c>
      <c r="V6" s="49" t="inlineStr">
        <is>
          <t>SI</t>
        </is>
      </c>
    </row>
    <row r="7" ht="21" customHeight="1" s="568">
      <c r="A7" s="583">
        <f>A6+1</f>
        <v/>
      </c>
      <c r="B7" s="587" t="inlineStr">
        <is>
          <t>COD 04</t>
        </is>
      </c>
      <c r="C7" s="8" t="inlineStr">
        <is>
          <t>EL HIPICO 701</t>
        </is>
      </c>
      <c r="D7" s="69" t="n">
        <v>3000</v>
      </c>
      <c r="E7" s="7" t="inlineStr">
        <is>
          <t>X</t>
        </is>
      </c>
      <c r="F7" s="7" t="inlineStr">
        <is>
          <t>X</t>
        </is>
      </c>
      <c r="G7" s="7" t="inlineStr">
        <is>
          <t>X</t>
        </is>
      </c>
      <c r="H7" s="7" t="inlineStr">
        <is>
          <t>O</t>
        </is>
      </c>
      <c r="I7" s="7" t="inlineStr">
        <is>
          <t>O</t>
        </is>
      </c>
      <c r="J7" s="7" t="n"/>
      <c r="K7" s="7" t="n"/>
      <c r="L7" s="7" t="n"/>
      <c r="M7" s="64" t="n"/>
      <c r="N7" s="66" t="n"/>
      <c r="O7" s="66" t="n"/>
      <c r="P7" s="66" t="n"/>
      <c r="Q7" s="66" t="n"/>
      <c r="R7" s="25">
        <f>COUNTIF(E7:Q7,"X")</f>
        <v/>
      </c>
      <c r="S7" s="27">
        <f>(($H$2-($H$2*0.2))/3)*CONTROL!$R7</f>
        <v/>
      </c>
      <c r="T7" s="28">
        <f>((CONTROL!$R7*$H$2)*26.66666%)+IF(V7="SI",$M$2/$V$2,0)</f>
        <v/>
      </c>
      <c r="U7" s="29">
        <f>SUMIFS(E$56:Q$56,E7:Q7,"X")+IF(V7="SI",$M$2,0)</f>
        <v/>
      </c>
      <c r="V7" s="49" t="inlineStr">
        <is>
          <t>SI</t>
        </is>
      </c>
    </row>
    <row r="8" ht="21" customHeight="1" s="568">
      <c r="A8" s="583">
        <f>A7+1</f>
        <v/>
      </c>
      <c r="B8" s="587" t="inlineStr">
        <is>
          <t>COD 05</t>
        </is>
      </c>
      <c r="C8" s="8" t="inlineStr">
        <is>
          <t>MARCOS HIDALGO</t>
        </is>
      </c>
      <c r="D8" s="69" t="n">
        <v>3000</v>
      </c>
      <c r="E8" s="7" t="inlineStr">
        <is>
          <t>X</t>
        </is>
      </c>
      <c r="F8" s="7" t="inlineStr">
        <is>
          <t>X</t>
        </is>
      </c>
      <c r="G8" s="7" t="n"/>
      <c r="H8" s="7" t="n"/>
      <c r="I8" s="7" t="n"/>
      <c r="J8" s="7" t="n"/>
      <c r="K8" s="7" t="n"/>
      <c r="L8" s="7" t="n"/>
      <c r="M8" s="64" t="n"/>
      <c r="N8" s="66" t="n"/>
      <c r="O8" s="66" t="n"/>
      <c r="P8" s="66" t="n"/>
      <c r="Q8" s="66" t="n"/>
      <c r="R8" s="25">
        <f>COUNTIF(E8:Q8,"X")</f>
        <v/>
      </c>
      <c r="S8" s="27">
        <f>(($H$2-($H$2*0.2))/3)*CONTROL!$R8</f>
        <v/>
      </c>
      <c r="T8" s="28">
        <f>((CONTROL!$R8*$H$2)*26.66666%)+IF(V8="SI",$M$2/$V$2,0)</f>
        <v/>
      </c>
      <c r="U8" s="29">
        <f>SUMIFS(E$56:Q$56,E8:Q8,"X")+IF(V8="SI",$M$2,0)</f>
        <v/>
      </c>
      <c r="V8" s="49" t="inlineStr">
        <is>
          <t>SI</t>
        </is>
      </c>
    </row>
    <row r="9" ht="21" customHeight="1" s="568">
      <c r="A9" s="583">
        <f>A8+1</f>
        <v/>
      </c>
      <c r="B9" s="587" t="inlineStr">
        <is>
          <t>COD 06</t>
        </is>
      </c>
      <c r="C9" s="8" t="inlineStr">
        <is>
          <t>JESUS ROJAS</t>
        </is>
      </c>
      <c r="D9" s="69" t="n">
        <v>3000</v>
      </c>
      <c r="E9" s="7" t="inlineStr">
        <is>
          <t>X</t>
        </is>
      </c>
      <c r="F9" s="7" t="inlineStr">
        <is>
          <t>X</t>
        </is>
      </c>
      <c r="G9" s="7" t="inlineStr">
        <is>
          <t>X</t>
        </is>
      </c>
      <c r="H9" s="7" t="inlineStr">
        <is>
          <t>O</t>
        </is>
      </c>
      <c r="I9" s="7" t="inlineStr">
        <is>
          <t>O</t>
        </is>
      </c>
      <c r="J9" s="7" t="inlineStr">
        <is>
          <t>O</t>
        </is>
      </c>
      <c r="K9" s="7" t="inlineStr">
        <is>
          <t>O</t>
        </is>
      </c>
      <c r="L9" s="7" t="inlineStr">
        <is>
          <t>O</t>
        </is>
      </c>
      <c r="M9" s="64" t="n"/>
      <c r="N9" s="66" t="n"/>
      <c r="O9" s="66" t="n"/>
      <c r="P9" s="66" t="n"/>
      <c r="Q9" s="66" t="n"/>
      <c r="R9" s="25">
        <f>COUNTIF(E9:Q9,"X")</f>
        <v/>
      </c>
      <c r="S9" s="27">
        <f>(($H$2-($H$2*0.2))/3)*CONTROL!$R9</f>
        <v/>
      </c>
      <c r="T9" s="28">
        <f>((CONTROL!$R9*$H$2)*26.66666%)+IF(V9="SI",$M$2/$V$2,0)</f>
        <v/>
      </c>
      <c r="U9" s="29">
        <f>SUMIFS(E$56:Q$56,E9:Q9,"X")+IF(V9="SI",$M$2,0)</f>
        <v/>
      </c>
      <c r="V9" s="49" t="inlineStr">
        <is>
          <t>NO</t>
        </is>
      </c>
    </row>
    <row r="10" ht="21" customHeight="1" s="568">
      <c r="A10" s="583">
        <f>A9+1</f>
        <v/>
      </c>
      <c r="B10" s="587" t="inlineStr">
        <is>
          <t>COD 07</t>
        </is>
      </c>
      <c r="C10" s="8" t="inlineStr">
        <is>
          <t>NELSON OSORIO</t>
        </is>
      </c>
      <c r="D10" s="69" t="n">
        <v>3000</v>
      </c>
      <c r="E10" s="7" t="inlineStr">
        <is>
          <t>X</t>
        </is>
      </c>
      <c r="F10" s="7" t="inlineStr">
        <is>
          <t>X</t>
        </is>
      </c>
      <c r="G10" s="7" t="inlineStr">
        <is>
          <t>X</t>
        </is>
      </c>
      <c r="H10" s="7" t="n"/>
      <c r="I10" s="7" t="n"/>
      <c r="J10" s="7" t="n"/>
      <c r="K10" s="7" t="n"/>
      <c r="L10" s="7" t="n"/>
      <c r="M10" s="64" t="n"/>
      <c r="N10" s="66" t="n"/>
      <c r="O10" s="66" t="n"/>
      <c r="P10" s="66" t="n"/>
      <c r="Q10" s="66" t="n"/>
      <c r="R10" s="25">
        <f>COUNTIF(E10:Q10,"X")</f>
        <v/>
      </c>
      <c r="S10" s="27">
        <f>(($H$2-($H$2*0.2))/3)*CONTROL!$R10</f>
        <v/>
      </c>
      <c r="T10" s="28">
        <f>((CONTROL!$R10*$H$2)*26.66666%)+IF(V10="SI",$M$2/$V$2,0)</f>
        <v/>
      </c>
      <c r="U10" s="29">
        <f>SUMIFS(E$56:Q$56,E10:Q10,"X")+IF(V10="SI",$M$2,0)</f>
        <v/>
      </c>
      <c r="V10" s="49" t="inlineStr">
        <is>
          <t>SI</t>
        </is>
      </c>
    </row>
    <row r="11" ht="21" customHeight="1" s="568">
      <c r="A11" s="583">
        <f>A10+1</f>
        <v/>
      </c>
      <c r="B11" s="587" t="inlineStr">
        <is>
          <t>COD 08</t>
        </is>
      </c>
      <c r="C11" s="8" t="inlineStr">
        <is>
          <t>RUBEN DARIO CARDENAS</t>
        </is>
      </c>
      <c r="D11" s="69" t="n">
        <v>3000</v>
      </c>
      <c r="E11" s="7" t="inlineStr">
        <is>
          <t>X</t>
        </is>
      </c>
      <c r="F11" s="7" t="inlineStr">
        <is>
          <t>X</t>
        </is>
      </c>
      <c r="G11" s="7" t="n"/>
      <c r="H11" s="7" t="n"/>
      <c r="I11" s="7" t="n"/>
      <c r="J11" s="7" t="n"/>
      <c r="K11" s="7" t="n"/>
      <c r="L11" s="7" t="n"/>
      <c r="M11" s="64" t="n"/>
      <c r="N11" s="66" t="n"/>
      <c r="O11" s="66" t="n"/>
      <c r="P11" s="66" t="n"/>
      <c r="Q11" s="66" t="n"/>
      <c r="R11" s="25">
        <f>COUNTIF(E11:Q11,"X")</f>
        <v/>
      </c>
      <c r="S11" s="27">
        <f>(($H$2-($H$2*0.2))/3)*CONTROL!$R11</f>
        <v/>
      </c>
      <c r="T11" s="28">
        <f>((CONTROL!$R11*$H$2)*26.66666%)+IF(V11="SI",$M$2/$V$2,0)</f>
        <v/>
      </c>
      <c r="U11" s="29">
        <f>SUMIFS(E$56:Q$56,E11:Q11,"X")+IF(V11="SI",$M$2,0)</f>
        <v/>
      </c>
      <c r="V11" s="49" t="inlineStr">
        <is>
          <t>SI</t>
        </is>
      </c>
    </row>
    <row r="12" ht="21" customHeight="1" s="568">
      <c r="A12" s="583">
        <f>A11+1</f>
        <v/>
      </c>
      <c r="B12" s="587" t="inlineStr">
        <is>
          <t>COD 09</t>
        </is>
      </c>
      <c r="C12" s="8" t="inlineStr">
        <is>
          <t>JESUS ARASME</t>
        </is>
      </c>
      <c r="D12" s="69" t="n">
        <v>3000</v>
      </c>
      <c r="E12" s="7" t="inlineStr">
        <is>
          <t>X</t>
        </is>
      </c>
      <c r="F12" s="7" t="inlineStr">
        <is>
          <t>X</t>
        </is>
      </c>
      <c r="G12" s="7" t="n"/>
      <c r="H12" s="7" t="n"/>
      <c r="I12" s="7" t="n"/>
      <c r="J12" s="7" t="n"/>
      <c r="K12" s="7" t="n"/>
      <c r="L12" s="7" t="n"/>
      <c r="M12" s="64" t="n"/>
      <c r="N12" s="65" t="n"/>
      <c r="O12" s="66" t="n"/>
      <c r="P12" s="66" t="n"/>
      <c r="Q12" s="66" t="n"/>
      <c r="R12" s="25">
        <f>COUNTIF(E12:Q12,"X")</f>
        <v/>
      </c>
      <c r="S12" s="27">
        <f>(($H$2-($H$2*0.2))/3)*CONTROL!$R12</f>
        <v/>
      </c>
      <c r="T12" s="28">
        <f>((CONTROL!$R12*$H$2)*26.66666%)+IF(V12="SI",$M$2/$V$2,0)</f>
        <v/>
      </c>
      <c r="U12" s="29">
        <f>SUMIFS(E$56:Q$56,E12:Q12,"X")+IF(V12="SI",$M$2,0)</f>
        <v/>
      </c>
      <c r="V12" s="49" t="inlineStr">
        <is>
          <t>SI</t>
        </is>
      </c>
    </row>
    <row r="13" ht="21" customHeight="1" s="568">
      <c r="A13" s="583">
        <f>A12+1</f>
        <v/>
      </c>
      <c r="B13" s="587" t="inlineStr">
        <is>
          <t>COD 10</t>
        </is>
      </c>
      <c r="C13" s="8" t="inlineStr">
        <is>
          <t>JESUS CARAYACA</t>
        </is>
      </c>
      <c r="D13" s="69" t="n">
        <v>3000</v>
      </c>
      <c r="E13" s="7" t="inlineStr">
        <is>
          <t>X</t>
        </is>
      </c>
      <c r="F13" s="7" t="inlineStr">
        <is>
          <t>X</t>
        </is>
      </c>
      <c r="G13" s="7" t="inlineStr">
        <is>
          <t>X</t>
        </is>
      </c>
      <c r="H13" s="7" t="n"/>
      <c r="I13" s="7" t="n"/>
      <c r="J13" s="7" t="n"/>
      <c r="K13" s="7" t="n"/>
      <c r="L13" s="7" t="n"/>
      <c r="M13" s="64" t="n"/>
      <c r="N13" s="66" t="n"/>
      <c r="O13" s="66" t="n"/>
      <c r="P13" s="66" t="n"/>
      <c r="Q13" s="66" t="n"/>
      <c r="R13" s="25">
        <f>COUNTIF(E13:Q13,"X")</f>
        <v/>
      </c>
      <c r="S13" s="27">
        <f>(($H$2-($H$2*0.2))/3)*CONTROL!$R13</f>
        <v/>
      </c>
      <c r="T13" s="28">
        <f>((CONTROL!$R13*$H$2)*26.66666%)+IF(V13="SI",$M$2/$V$2,0)</f>
        <v/>
      </c>
      <c r="U13" s="29">
        <f>SUMIFS(E$56:Q$56,E13:Q13,"X")+IF(V13="SI",$M$2,0)</f>
        <v/>
      </c>
      <c r="V13" s="49" t="inlineStr">
        <is>
          <t>SI</t>
        </is>
      </c>
    </row>
    <row r="14" ht="21" customHeight="1" s="568">
      <c r="A14" s="583">
        <f>A13+1</f>
        <v/>
      </c>
      <c r="B14" s="587" t="inlineStr">
        <is>
          <t>COD 11</t>
        </is>
      </c>
      <c r="C14" s="8" t="inlineStr">
        <is>
          <t>ANDERSON ZERPA</t>
        </is>
      </c>
      <c r="D14" s="69" t="n">
        <v>3000</v>
      </c>
      <c r="E14" s="7" t="inlineStr">
        <is>
          <t>X</t>
        </is>
      </c>
      <c r="F14" s="7" t="inlineStr">
        <is>
          <t>X</t>
        </is>
      </c>
      <c r="G14" s="7" t="n"/>
      <c r="H14" s="7" t="n"/>
      <c r="I14" s="7" t="n"/>
      <c r="J14" s="7" t="n"/>
      <c r="K14" s="7" t="n"/>
      <c r="L14" s="7" t="n"/>
      <c r="M14" s="64" t="n"/>
      <c r="N14" s="66" t="n"/>
      <c r="O14" s="66" t="n"/>
      <c r="P14" s="66" t="n"/>
      <c r="Q14" s="66" t="n"/>
      <c r="R14" s="25">
        <f>COUNTIF(E14:Q14,"X")</f>
        <v/>
      </c>
      <c r="S14" s="27">
        <f>(($H$2-($H$2*0.2))/3)*CONTROL!$R14</f>
        <v/>
      </c>
      <c r="T14" s="28">
        <f>((CONTROL!$R14*$H$2)*26.66666%)+IF(V14="SI",$M$2/$V$2,0)</f>
        <v/>
      </c>
      <c r="U14" s="29">
        <f>SUMIFS(E$56:Q$56,E14:Q14,"X")+IF(V14="SI",$M$2,0)</f>
        <v/>
      </c>
      <c r="V14" s="49" t="inlineStr">
        <is>
          <t>SI</t>
        </is>
      </c>
    </row>
    <row r="15" ht="21" customHeight="1" s="568">
      <c r="A15" s="583">
        <f>A14+1</f>
        <v/>
      </c>
      <c r="B15" s="587" t="inlineStr">
        <is>
          <t>COD 12</t>
        </is>
      </c>
      <c r="C15" s="8" t="n"/>
      <c r="D15" s="69" t="n"/>
      <c r="E15" s="7" t="n"/>
      <c r="F15" s="7" t="n"/>
      <c r="G15" s="7" t="n"/>
      <c r="H15" s="7" t="n"/>
      <c r="I15" s="7" t="n"/>
      <c r="J15" s="7" t="n"/>
      <c r="K15" s="7" t="n"/>
      <c r="L15" s="7" t="n"/>
      <c r="M15" s="64" t="n"/>
      <c r="N15" s="66" t="n"/>
      <c r="O15" s="66" t="n"/>
      <c r="P15" s="66" t="n"/>
      <c r="Q15" s="66" t="n"/>
      <c r="R15" s="25">
        <f>COUNTIF(E15:Q15,"X")</f>
        <v/>
      </c>
      <c r="S15" s="27">
        <f>(($H$2-($H$2*0.2))/3)*CONTROL!$R15</f>
        <v/>
      </c>
      <c r="T15" s="28">
        <f>((CONTROL!$R15*$H$2)*26.66666%)+IF(V15="SI",$M$2/$V$2,0)</f>
        <v/>
      </c>
      <c r="U15" s="29">
        <f>SUMIFS(E$56:Q$56,E15:Q15,"X")+IF(V15="SI",$M$2,0)</f>
        <v/>
      </c>
      <c r="V15" s="49" t="inlineStr">
        <is>
          <t>NO</t>
        </is>
      </c>
    </row>
    <row r="16" ht="21" customHeight="1" s="568">
      <c r="A16" s="583">
        <f>A15+1</f>
        <v/>
      </c>
      <c r="B16" s="587" t="inlineStr">
        <is>
          <t>COD 13</t>
        </is>
      </c>
      <c r="C16" s="8" t="inlineStr">
        <is>
          <t>NOTAS HIPICAS</t>
        </is>
      </c>
      <c r="D16" s="69" t="n">
        <v>0</v>
      </c>
      <c r="E16" s="7" t="n">
        <v>0</v>
      </c>
      <c r="F16" s="7" t="n">
        <v>0</v>
      </c>
      <c r="G16" s="7" t="n">
        <v>0</v>
      </c>
      <c r="H16" s="7" t="n"/>
      <c r="I16" s="7" t="n"/>
      <c r="J16" s="7" t="n"/>
      <c r="K16" s="7" t="n"/>
      <c r="L16" s="7" t="n"/>
      <c r="M16" s="64" t="n"/>
      <c r="N16" s="66" t="n"/>
      <c r="O16" s="66" t="n"/>
      <c r="P16" s="66" t="n"/>
      <c r="Q16" s="66" t="n"/>
      <c r="R16" s="25">
        <f>COUNTIF(E16:Q16,"X")</f>
        <v/>
      </c>
      <c r="S16" s="27">
        <f>(($H$2-($H$2*0.2))/3)*CONTROL!$R16</f>
        <v/>
      </c>
      <c r="T16" s="28">
        <f>((CONTROL!$R16*$H$2)*26.66666%)+IF(V16="SI",$M$2/$V$2,0)</f>
        <v/>
      </c>
      <c r="U16" s="29">
        <f>SUMIFS(E$56:Q$56,E16:Q16,"X")+IF(V16="SI",$M$2,0)</f>
        <v/>
      </c>
      <c r="V16" s="49" t="inlineStr">
        <is>
          <t>NO</t>
        </is>
      </c>
    </row>
    <row r="17" ht="21" customHeight="1" s="568">
      <c r="A17" s="583">
        <f>A16+1</f>
        <v/>
      </c>
      <c r="B17" s="587" t="inlineStr">
        <is>
          <t>COD 14</t>
        </is>
      </c>
      <c r="C17" s="8" t="inlineStr">
        <is>
          <t>PEDRO ALVAREZ</t>
        </is>
      </c>
      <c r="D17" s="69" t="n">
        <v>3000</v>
      </c>
      <c r="E17" s="7" t="inlineStr">
        <is>
          <t>X</t>
        </is>
      </c>
      <c r="F17" s="7" t="inlineStr">
        <is>
          <t>X</t>
        </is>
      </c>
      <c r="G17" s="7" t="n"/>
      <c r="H17" s="7" t="n"/>
      <c r="I17" s="7" t="n"/>
      <c r="J17" s="7" t="n"/>
      <c r="K17" s="7" t="n"/>
      <c r="L17" s="7" t="n"/>
      <c r="M17" s="64" t="n"/>
      <c r="N17" s="66" t="n"/>
      <c r="O17" s="66" t="n"/>
      <c r="P17" s="66" t="n"/>
      <c r="Q17" s="66" t="n"/>
      <c r="R17" s="25">
        <f>COUNTIF(E17:Q17,"X")</f>
        <v/>
      </c>
      <c r="S17" s="27">
        <f>(($H$2-($H$2*0.2))/3)*CONTROL!$R17</f>
        <v/>
      </c>
      <c r="T17" s="28">
        <f>((CONTROL!$R17*$H$2)*26.66666%)+IF(V17="SI",$M$2/$V$2,0)</f>
        <v/>
      </c>
      <c r="U17" s="29">
        <f>SUMIFS(E$56:Q$56,E17:Q17,"X")+IF(V17="SI",$M$2,0)</f>
        <v/>
      </c>
      <c r="V17" s="49" t="inlineStr">
        <is>
          <t>SI</t>
        </is>
      </c>
    </row>
    <row r="18" ht="21" customHeight="1" s="568">
      <c r="A18" s="583">
        <f>A17+1</f>
        <v/>
      </c>
      <c r="B18" s="587" t="inlineStr">
        <is>
          <t>COD 15</t>
        </is>
      </c>
      <c r="C18" s="8" t="inlineStr">
        <is>
          <t>CARLOS SUAREZ</t>
        </is>
      </c>
      <c r="D18" s="69" t="n">
        <v>3000</v>
      </c>
      <c r="E18" s="7" t="inlineStr">
        <is>
          <t>X</t>
        </is>
      </c>
      <c r="F18" s="7" t="inlineStr">
        <is>
          <t>X</t>
        </is>
      </c>
      <c r="G18" s="7" t="n"/>
      <c r="H18" s="7" t="n"/>
      <c r="I18" s="7" t="n"/>
      <c r="J18" s="7" t="n"/>
      <c r="K18" s="7" t="n"/>
      <c r="L18" s="7" t="n"/>
      <c r="M18" s="64" t="n"/>
      <c r="N18" s="66" t="n"/>
      <c r="O18" s="66" t="n"/>
      <c r="P18" s="66" t="n"/>
      <c r="Q18" s="66" t="n"/>
      <c r="R18" s="25">
        <f>COUNTIF(E18:Q18,"X")</f>
        <v/>
      </c>
      <c r="S18" s="27">
        <f>(($H$2-($H$2*0.2))/3)*CONTROL!$R18</f>
        <v/>
      </c>
      <c r="T18" s="28">
        <f>((CONTROL!$R18*$H$2)*26.66666%)+IF(V18="SI",$M$2/$V$2,0)</f>
        <v/>
      </c>
      <c r="U18" s="29">
        <f>SUMIFS(E$56:Q$56,E18:Q18,"X")+IF(V18="SI",$M$2,0)</f>
        <v/>
      </c>
      <c r="V18" s="49" t="inlineStr">
        <is>
          <t>SI</t>
        </is>
      </c>
    </row>
    <row r="19" ht="21" customHeight="1" s="568">
      <c r="A19" s="583">
        <f>A18+1</f>
        <v/>
      </c>
      <c r="B19" s="587" t="inlineStr">
        <is>
          <t>COD 16</t>
        </is>
      </c>
      <c r="C19" s="8" t="inlineStr">
        <is>
          <t>PODER HIPICO</t>
        </is>
      </c>
      <c r="D19" s="69" t="n">
        <v>3000</v>
      </c>
      <c r="E19" s="7" t="inlineStr">
        <is>
          <t>X</t>
        </is>
      </c>
      <c r="F19" s="7" t="inlineStr">
        <is>
          <t>X</t>
        </is>
      </c>
      <c r="G19" s="7" t="n"/>
      <c r="H19" s="7" t="n"/>
      <c r="I19" s="7" t="n"/>
      <c r="J19" s="7" t="n"/>
      <c r="K19" s="7" t="n"/>
      <c r="L19" s="7" t="n"/>
      <c r="M19" s="64" t="n"/>
      <c r="N19" s="66" t="n"/>
      <c r="O19" s="66" t="n"/>
      <c r="P19" s="66" t="n"/>
      <c r="Q19" s="66" t="n"/>
      <c r="R19" s="25">
        <f>COUNTIF(E19:Q19,"X")</f>
        <v/>
      </c>
      <c r="S19" s="27">
        <f>(($H$2-($H$2*0.2))/3)*CONTROL!$R19</f>
        <v/>
      </c>
      <c r="T19" s="28">
        <f>((CONTROL!$R19*$H$2)*26.66666%)+IF(V19="SI",$M$2/$V$2,0)</f>
        <v/>
      </c>
      <c r="U19" s="29">
        <f>SUMIFS(E$56:Q$56,E19:Q19,"X")+IF(V19="SI",$M$2,0)</f>
        <v/>
      </c>
      <c r="V19" s="49" t="inlineStr">
        <is>
          <t>SI</t>
        </is>
      </c>
    </row>
    <row r="20" ht="21" customHeight="1" s="568">
      <c r="A20" s="583">
        <f>A19+1</f>
        <v/>
      </c>
      <c r="B20" s="587" t="inlineStr">
        <is>
          <t>COD 17</t>
        </is>
      </c>
      <c r="C20" s="8" t="inlineStr">
        <is>
          <t>FERNANDO VALDIRIO</t>
        </is>
      </c>
      <c r="D20" s="69" t="n">
        <v>3000</v>
      </c>
      <c r="E20" s="7" t="inlineStr">
        <is>
          <t>X</t>
        </is>
      </c>
      <c r="F20" s="7" t="inlineStr">
        <is>
          <t>X</t>
        </is>
      </c>
      <c r="G20" s="7" t="n"/>
      <c r="H20" s="7" t="n"/>
      <c r="I20" s="7" t="n"/>
      <c r="J20" s="7" t="n"/>
      <c r="K20" s="7" t="n"/>
      <c r="L20" s="7" t="n"/>
      <c r="M20" s="64" t="n"/>
      <c r="N20" s="65" t="n"/>
      <c r="O20" s="66" t="n"/>
      <c r="P20" s="66" t="n"/>
      <c r="Q20" s="66" t="n"/>
      <c r="R20" s="25">
        <f>COUNTIF(E20:Q20,"X")</f>
        <v/>
      </c>
      <c r="S20" s="27">
        <f>(($H$2-($H$2*0.2))/3)*CONTROL!$R20</f>
        <v/>
      </c>
      <c r="T20" s="28">
        <f>((CONTROL!$R20*$H$2)*26.66666%)+IF(V20="SI",$M$2/$V$2,0)</f>
        <v/>
      </c>
      <c r="U20" s="29">
        <f>SUMIFS(E$56:Q$56,E20:Q20,"X")+IF(V20="SI",$M$2,0)</f>
        <v/>
      </c>
      <c r="V20" s="49" t="inlineStr">
        <is>
          <t>SI</t>
        </is>
      </c>
    </row>
    <row r="21" ht="21" customHeight="1" s="568">
      <c r="A21" s="583">
        <f>A20+1</f>
        <v/>
      </c>
      <c r="B21" s="587" t="inlineStr">
        <is>
          <t>COD 18</t>
        </is>
      </c>
      <c r="C21" s="8" t="inlineStr">
        <is>
          <t>CASTOR CHIRINOS</t>
        </is>
      </c>
      <c r="D21" s="69" t="n">
        <v>3000</v>
      </c>
      <c r="E21" s="7" t="inlineStr">
        <is>
          <t>-</t>
        </is>
      </c>
      <c r="F21" s="7" t="inlineStr">
        <is>
          <t>-</t>
        </is>
      </c>
      <c r="G21" s="7" t="n"/>
      <c r="H21" s="7" t="n"/>
      <c r="I21" s="7" t="n"/>
      <c r="J21" s="7" t="n"/>
      <c r="K21" s="7" t="n"/>
      <c r="L21" s="7" t="n"/>
      <c r="M21" s="64" t="n"/>
      <c r="N21" s="66" t="n"/>
      <c r="O21" s="66" t="n"/>
      <c r="P21" s="66" t="n"/>
      <c r="Q21" s="66" t="n"/>
      <c r="R21" s="25">
        <f>COUNTIF(E21:Q21,"X")</f>
        <v/>
      </c>
      <c r="S21" s="27">
        <f>(($H$2-($H$2*0.2))/3)*CONTROL!$R21</f>
        <v/>
      </c>
      <c r="T21" s="28">
        <f>((CONTROL!$R21*$H$2)*26.66666%)+IF(V21="SI",$M$2/$V$2,0)</f>
        <v/>
      </c>
      <c r="U21" s="29">
        <f>SUMIFS(E$56:Q$56,E21:Q21,"X")+IF(V21="SI",$M$2,0)</f>
        <v/>
      </c>
      <c r="V21" s="49" t="inlineStr">
        <is>
          <t>NO</t>
        </is>
      </c>
    </row>
    <row r="22" ht="21" customHeight="1" s="568">
      <c r="A22" s="583">
        <f>A21+1</f>
        <v/>
      </c>
      <c r="B22" s="587" t="inlineStr">
        <is>
          <t>COD 19</t>
        </is>
      </c>
      <c r="C22" s="8" t="inlineStr">
        <is>
          <t>EL SAMURAI HIPICO</t>
        </is>
      </c>
      <c r="D22" s="69" t="n">
        <v>3000</v>
      </c>
      <c r="E22" s="7" t="inlineStr">
        <is>
          <t>X</t>
        </is>
      </c>
      <c r="F22" s="7" t="inlineStr">
        <is>
          <t>X</t>
        </is>
      </c>
      <c r="G22" s="7" t="inlineStr">
        <is>
          <t>X</t>
        </is>
      </c>
      <c r="H22" s="7" t="inlineStr">
        <is>
          <t>O</t>
        </is>
      </c>
      <c r="I22" s="7" t="inlineStr">
        <is>
          <t>O</t>
        </is>
      </c>
      <c r="J22" s="7" t="inlineStr">
        <is>
          <t>O</t>
        </is>
      </c>
      <c r="K22" s="7" t="inlineStr">
        <is>
          <t>O</t>
        </is>
      </c>
      <c r="L22" s="7" t="inlineStr">
        <is>
          <t>O</t>
        </is>
      </c>
      <c r="M22" s="64" t="n"/>
      <c r="N22" s="66" t="n"/>
      <c r="O22" s="66" t="n"/>
      <c r="P22" s="66" t="n"/>
      <c r="Q22" s="66" t="n"/>
      <c r="R22" s="25">
        <f>COUNTIF(E22:Q22,"X")</f>
        <v/>
      </c>
      <c r="S22" s="27">
        <f>(($H$2-($H$2*0.2))/3)*CONTROL!$R22</f>
        <v/>
      </c>
      <c r="T22" s="28">
        <f>((CONTROL!$R22*$H$2)*26.66666%)+IF(V22="SI",$M$2/$V$2,0)</f>
        <v/>
      </c>
      <c r="U22" s="29">
        <f>SUMIFS(E$56:Q$56,E22:Q22,"X")+IF(V22="SI",$M$2,0)</f>
        <v/>
      </c>
      <c r="V22" s="49" t="inlineStr">
        <is>
          <t>SI</t>
        </is>
      </c>
    </row>
    <row r="23" ht="21" customHeight="1" s="568">
      <c r="A23" s="583">
        <f>A22+1</f>
        <v/>
      </c>
      <c r="B23" s="587" t="inlineStr">
        <is>
          <t>COD 20</t>
        </is>
      </c>
      <c r="C23" s="8" t="inlineStr">
        <is>
          <t>CHINO</t>
        </is>
      </c>
      <c r="D23" s="69" t="n">
        <v>3000</v>
      </c>
      <c r="E23" s="7" t="inlineStr">
        <is>
          <t>X</t>
        </is>
      </c>
      <c r="F23" s="7" t="inlineStr">
        <is>
          <t>X</t>
        </is>
      </c>
      <c r="G23" s="7" t="n"/>
      <c r="H23" s="7" t="n"/>
      <c r="I23" s="7" t="n"/>
      <c r="J23" s="7" t="n"/>
      <c r="K23" s="7" t="n"/>
      <c r="L23" s="7" t="n"/>
      <c r="M23" s="64" t="n"/>
      <c r="N23" s="66" t="n"/>
      <c r="O23" s="66" t="n"/>
      <c r="P23" s="66" t="n"/>
      <c r="Q23" s="66" t="n"/>
      <c r="R23" s="25">
        <f>COUNTIF(E23:Q23,"X")</f>
        <v/>
      </c>
      <c r="S23" s="27">
        <f>(($H$2-($H$2*0.2))/3)*CONTROL!$R23</f>
        <v/>
      </c>
      <c r="T23" s="28">
        <f>((CONTROL!$R23*$H$2)*26.66666%)+IF(V23="SI",$M$2/$V$2,0)</f>
        <v/>
      </c>
      <c r="U23" s="29">
        <f>SUMIFS(E$56:Q$56,E23:Q23,"X")+IF(V23="SI",$M$2,0)</f>
        <v/>
      </c>
      <c r="V23" s="49" t="inlineStr">
        <is>
          <t>SI</t>
        </is>
      </c>
    </row>
    <row r="24" ht="21" customHeight="1" s="568">
      <c r="A24" s="583">
        <f>A23+1</f>
        <v/>
      </c>
      <c r="B24" s="587" t="inlineStr">
        <is>
          <t>COD 21</t>
        </is>
      </c>
      <c r="C24" s="8" t="inlineStr">
        <is>
          <t>WILMER</t>
        </is>
      </c>
      <c r="D24" s="69" t="n">
        <v>3000</v>
      </c>
      <c r="E24" s="7" t="inlineStr">
        <is>
          <t>X</t>
        </is>
      </c>
      <c r="F24" s="7" t="inlineStr">
        <is>
          <t>X</t>
        </is>
      </c>
      <c r="G24" s="7" t="n"/>
      <c r="H24" s="7" t="n"/>
      <c r="I24" s="7" t="n"/>
      <c r="J24" s="7" t="n"/>
      <c r="K24" s="7" t="n"/>
      <c r="L24" s="7" t="n"/>
      <c r="M24" s="64" t="n"/>
      <c r="N24" s="66" t="n"/>
      <c r="O24" s="66" t="n"/>
      <c r="P24" s="66" t="n"/>
      <c r="Q24" s="66" t="n"/>
      <c r="R24" s="25">
        <f>COUNTIF(E24:Q24,"X")</f>
        <v/>
      </c>
      <c r="S24" s="27">
        <f>(($H$2-($H$2*0.2))/3)*CONTROL!$R24</f>
        <v/>
      </c>
      <c r="T24" s="28">
        <f>((CONTROL!$R24*$H$2)*26.66666%)+IF(V24="SI",$M$2/$V$2,0)</f>
        <v/>
      </c>
      <c r="U24" s="29">
        <f>SUMIFS(E$56:Q$56,E24:Q24,"X")+IF(V24="SI",$M$2,0)</f>
        <v/>
      </c>
      <c r="V24" s="49" t="inlineStr">
        <is>
          <t>NO</t>
        </is>
      </c>
    </row>
    <row r="25" ht="21" customHeight="1" s="568">
      <c r="A25" s="583">
        <f>A24+1</f>
        <v/>
      </c>
      <c r="B25" s="587" t="inlineStr">
        <is>
          <t>COD 22</t>
        </is>
      </c>
      <c r="C25" s="8" t="inlineStr">
        <is>
          <t>ROGER PIÑA</t>
        </is>
      </c>
      <c r="D25" s="69" t="n">
        <v>3000</v>
      </c>
      <c r="E25" s="7" t="inlineStr">
        <is>
          <t>X</t>
        </is>
      </c>
      <c r="F25" s="7" t="inlineStr">
        <is>
          <t>X</t>
        </is>
      </c>
      <c r="G25" s="7" t="n"/>
      <c r="H25" s="7" t="n"/>
      <c r="I25" s="7" t="n"/>
      <c r="J25" s="7" t="n"/>
      <c r="K25" s="7" t="n"/>
      <c r="L25" s="7" t="n"/>
      <c r="M25" s="64" t="n"/>
      <c r="N25" s="66" t="n"/>
      <c r="O25" s="66" t="n"/>
      <c r="P25" s="66" t="n"/>
      <c r="Q25" s="66" t="n"/>
      <c r="R25" s="25">
        <f>COUNTIF(E25:Q25,"X")</f>
        <v/>
      </c>
      <c r="S25" s="27">
        <f>(($H$2-($H$2*0.2))/3)*CONTROL!$R25</f>
        <v/>
      </c>
      <c r="T25" s="28">
        <f>((CONTROL!$R25*$H$2)*26.66666%)+IF(V25="SI",$M$2/$V$2,0)</f>
        <v/>
      </c>
      <c r="U25" s="29">
        <f>SUMIFS(E$56:Q$56,E25:Q25,"X")+IF(V25="SI",$M$2,0)</f>
        <v/>
      </c>
      <c r="V25" s="49" t="inlineStr">
        <is>
          <t>NO</t>
        </is>
      </c>
    </row>
    <row r="26" collapsed="1" ht="21" customHeight="1" s="568">
      <c r="A26" s="583">
        <f>A25+1</f>
        <v/>
      </c>
      <c r="B26" s="587" t="inlineStr">
        <is>
          <t>COD 23</t>
        </is>
      </c>
      <c r="C26" s="8" t="inlineStr">
        <is>
          <t>GILBERT</t>
        </is>
      </c>
      <c r="D26" s="69" t="n">
        <v>3000</v>
      </c>
      <c r="E26" s="7" t="inlineStr">
        <is>
          <t>X</t>
        </is>
      </c>
      <c r="F26" s="7" t="inlineStr">
        <is>
          <t>X</t>
        </is>
      </c>
      <c r="G26" s="7" t="n"/>
      <c r="H26" s="7" t="n"/>
      <c r="I26" s="7" t="n"/>
      <c r="J26" s="7" t="n"/>
      <c r="K26" s="7" t="n"/>
      <c r="L26" s="7" t="n"/>
      <c r="M26" s="64" t="n"/>
      <c r="N26" s="66" t="n"/>
      <c r="O26" s="66" t="n"/>
      <c r="P26" s="66" t="n"/>
      <c r="Q26" s="66" t="n"/>
      <c r="R26" s="25">
        <f>COUNTIF(E26:Q26,"X")</f>
        <v/>
      </c>
      <c r="S26" s="27">
        <f>(($H$2-($H$2*0.2))/3)*CONTROL!$R26</f>
        <v/>
      </c>
      <c r="T26" s="28">
        <f>((CONTROL!$R26*$H$2)*26.66666%)+IF(V26="SI",$M$2/$V$2,0)</f>
        <v/>
      </c>
      <c r="U26" s="29">
        <f>SUMIFS(E$56:Q$56,E26:Q26,"X")+IF(V26="SI",$M$2,0)</f>
        <v/>
      </c>
      <c r="V26" s="49" t="inlineStr">
        <is>
          <t>NO</t>
        </is>
      </c>
    </row>
    <row r="27" ht="21" customHeight="1" s="568">
      <c r="A27" s="583">
        <f>A26+1</f>
        <v/>
      </c>
      <c r="B27" s="587" t="inlineStr">
        <is>
          <t>COD 24</t>
        </is>
      </c>
      <c r="C27" s="8" t="n"/>
      <c r="D27" s="69" t="n"/>
      <c r="E27" s="7" t="n"/>
      <c r="F27" s="7" t="n"/>
      <c r="G27" s="7" t="n"/>
      <c r="H27" s="7" t="n"/>
      <c r="I27" s="7" t="n"/>
      <c r="J27" s="7" t="n"/>
      <c r="K27" s="7" t="n"/>
      <c r="L27" s="7" t="n"/>
      <c r="M27" s="64" t="n"/>
      <c r="N27" s="66" t="n"/>
      <c r="O27" s="66" t="n"/>
      <c r="P27" s="66" t="n"/>
      <c r="Q27" s="66" t="n"/>
      <c r="R27" s="25">
        <f>COUNTIF(E27:Q27,"X")</f>
        <v/>
      </c>
      <c r="S27" s="27">
        <f>(($H$2-($H$2*0.2))/3)*CONTROL!$R27</f>
        <v/>
      </c>
      <c r="T27" s="28">
        <f>((CONTROL!$R27*$H$2)*26.66666%)+IF(V27="SI",$M$2/$V$2,0)</f>
        <v/>
      </c>
      <c r="U27" s="29">
        <f>SUMIFS(E$56:Q$56,E27:Q27,"X")+IF(V27="SI",$M$2,0)</f>
        <v/>
      </c>
      <c r="V27" s="49" t="inlineStr">
        <is>
          <t>NO</t>
        </is>
      </c>
    </row>
    <row r="28" collapsed="1" ht="18.75" customHeight="1" s="568">
      <c r="A28" s="583">
        <f>A27+1</f>
        <v/>
      </c>
      <c r="B28" s="587" t="inlineStr">
        <is>
          <t>COD 25</t>
        </is>
      </c>
      <c r="C28" s="8" t="inlineStr">
        <is>
          <t>GLEY GARCIA</t>
        </is>
      </c>
      <c r="D28" s="69" t="n">
        <v>3000</v>
      </c>
      <c r="E28" s="7" t="n"/>
      <c r="F28" s="7" t="inlineStr">
        <is>
          <t>X</t>
        </is>
      </c>
      <c r="G28" s="7" t="n"/>
      <c r="H28" s="7" t="n"/>
      <c r="I28" s="7" t="n"/>
      <c r="J28" s="7" t="n"/>
      <c r="K28" s="7" t="n"/>
      <c r="L28" s="7" t="n"/>
      <c r="M28" s="64" t="n"/>
      <c r="N28" s="65" t="n"/>
      <c r="O28" s="66" t="n"/>
      <c r="P28" s="66" t="n"/>
      <c r="Q28" s="66" t="n"/>
      <c r="R28" s="25">
        <f>COUNTIF(E28:Q28,"X")</f>
        <v/>
      </c>
      <c r="S28" s="27">
        <f>(($H$2-($H$2*0.2))/3)*CONTROL!$R28</f>
        <v/>
      </c>
      <c r="T28" s="28">
        <f>((CONTROL!$R28*$H$2)*26.66666%)+IF(V28="SI",$M$2/$V$2,0)</f>
        <v/>
      </c>
      <c r="U28" s="29">
        <f>SUMIFS(E$56:Q$56,E28:Q28,"X")+IF(V28="SI",$M$2,0)</f>
        <v/>
      </c>
      <c r="V28" s="49" t="inlineStr">
        <is>
          <t>NO</t>
        </is>
      </c>
    </row>
    <row r="29" ht="18.75" customHeight="1" s="568">
      <c r="A29" s="583">
        <f>A28+1</f>
        <v/>
      </c>
      <c r="B29" s="587" t="inlineStr">
        <is>
          <t>COD 26</t>
        </is>
      </c>
      <c r="C29" s="8" t="inlineStr">
        <is>
          <t>PEDRO TABEROA</t>
        </is>
      </c>
      <c r="D29" s="69" t="n">
        <v>3000</v>
      </c>
      <c r="E29" s="7" t="inlineStr">
        <is>
          <t>X</t>
        </is>
      </c>
      <c r="F29" s="7" t="inlineStr">
        <is>
          <t>X</t>
        </is>
      </c>
      <c r="G29" s="7" t="n"/>
      <c r="H29" s="7" t="n"/>
      <c r="I29" s="7" t="n"/>
      <c r="J29" s="7" t="n"/>
      <c r="K29" s="7" t="n"/>
      <c r="L29" s="7" t="n"/>
      <c r="M29" s="64" t="n"/>
      <c r="N29" s="66" t="n"/>
      <c r="O29" s="66" t="n"/>
      <c r="P29" s="66" t="n"/>
      <c r="Q29" s="66" t="n"/>
      <c r="R29" s="25">
        <f>COUNTIF(E29:Q29,"X")</f>
        <v/>
      </c>
      <c r="S29" s="27">
        <f>(($H$2-($H$2*0.2))/3)*CONTROL!$R29</f>
        <v/>
      </c>
      <c r="T29" s="28">
        <f>((CONTROL!$R29*$H$2)*26.66666%)+IF(V29="SI",$M$2/$V$2,0)</f>
        <v/>
      </c>
      <c r="U29" s="29">
        <f>SUMIFS(E$56:Q$56,E29:Q29,"X")+IF(V29="SI",$M$2,0)</f>
        <v/>
      </c>
      <c r="V29" s="49" t="inlineStr">
        <is>
          <t>SI</t>
        </is>
      </c>
    </row>
    <row r="30" ht="18.75" customHeight="1" s="568">
      <c r="A30" s="583">
        <f>A29+1</f>
        <v/>
      </c>
      <c r="B30" s="587" t="inlineStr">
        <is>
          <t>COD 27</t>
        </is>
      </c>
      <c r="C30" s="8" t="inlineStr">
        <is>
          <t>ANDERSON HERNANDEZ</t>
        </is>
      </c>
      <c r="D30" s="69" t="n">
        <v>3000</v>
      </c>
      <c r="E30" s="7" t="inlineStr">
        <is>
          <t>X</t>
        </is>
      </c>
      <c r="F30" s="7" t="inlineStr">
        <is>
          <t>X</t>
        </is>
      </c>
      <c r="G30" s="7" t="n"/>
      <c r="H30" s="7" t="n"/>
      <c r="I30" s="7" t="n"/>
      <c r="J30" s="7" t="n"/>
      <c r="K30" s="7" t="n"/>
      <c r="L30" s="7" t="n"/>
      <c r="M30" s="64" t="n"/>
      <c r="N30" s="66" t="n"/>
      <c r="O30" s="66" t="n"/>
      <c r="P30" s="66" t="n"/>
      <c r="Q30" s="66" t="n"/>
      <c r="R30" s="25">
        <f>COUNTIF(E30:Q30,"X")</f>
        <v/>
      </c>
      <c r="S30" s="27">
        <f>(($H$2-($H$2*0.2))/3)*CONTROL!$R30</f>
        <v/>
      </c>
      <c r="T30" s="28">
        <f>((CONTROL!$R30*$H$2)*26.66666%)+IF(V30="SI",$M$2/$V$2,0)</f>
        <v/>
      </c>
      <c r="U30" s="29">
        <f>SUMIFS(E$56:Q$56,E30:Q30,"X")+IF(V30="SI",$M$2,0)</f>
        <v/>
      </c>
      <c r="V30" s="49" t="inlineStr">
        <is>
          <t>NO</t>
        </is>
      </c>
    </row>
    <row r="31" collapsed="1" ht="18.75" customHeight="1" s="568">
      <c r="A31" s="583">
        <f>A30+1</f>
        <v/>
      </c>
      <c r="B31" s="587" t="inlineStr">
        <is>
          <t>COD 28</t>
        </is>
      </c>
      <c r="C31" s="8" t="inlineStr">
        <is>
          <t>FRANKLIN DELGADO</t>
        </is>
      </c>
      <c r="D31" s="69" t="n">
        <v>3000</v>
      </c>
      <c r="E31" s="7" t="inlineStr">
        <is>
          <t>X</t>
        </is>
      </c>
      <c r="F31" s="7" t="inlineStr">
        <is>
          <t>X</t>
        </is>
      </c>
      <c r="G31" s="7" t="n"/>
      <c r="H31" s="7" t="n"/>
      <c r="I31" s="7" t="n"/>
      <c r="J31" s="7" t="n"/>
      <c r="K31" s="7" t="n"/>
      <c r="L31" s="7" t="n"/>
      <c r="M31" s="64" t="n"/>
      <c r="N31" s="66" t="n"/>
      <c r="O31" s="66" t="n"/>
      <c r="P31" s="66" t="n"/>
      <c r="Q31" s="66" t="n"/>
      <c r="R31" s="25">
        <f>COUNTIF(E31:Q31,"X")</f>
        <v/>
      </c>
      <c r="S31" s="27">
        <f>(($H$2-($H$2*0.2))/3)*CONTROL!$R31</f>
        <v/>
      </c>
      <c r="T31" s="28">
        <f>((CONTROL!$R31*$H$2)*26.66666%)+IF(V31="SI",$M$2/$V$2,0)</f>
        <v/>
      </c>
      <c r="U31" s="29">
        <f>SUMIFS(E$56:Q$56,E31:Q31,"X")+IF(V31="SI",$M$2,0)</f>
        <v/>
      </c>
      <c r="V31" s="49" t="inlineStr">
        <is>
          <t>NO</t>
        </is>
      </c>
    </row>
    <row r="32" collapsed="1" ht="21" customHeight="1" s="568">
      <c r="A32" s="583">
        <f>A31+1</f>
        <v/>
      </c>
      <c r="B32" s="587" t="inlineStr">
        <is>
          <t>COD 29</t>
        </is>
      </c>
      <c r="C32" s="8" t="n"/>
      <c r="D32" s="69" t="n"/>
      <c r="E32" s="7" t="n"/>
      <c r="F32" s="7" t="n"/>
      <c r="G32" s="7" t="n"/>
      <c r="H32" s="7" t="n"/>
      <c r="I32" s="7" t="n"/>
      <c r="J32" s="7" t="n"/>
      <c r="K32" s="7" t="n"/>
      <c r="L32" s="7" t="n"/>
      <c r="M32" s="64" t="n"/>
      <c r="N32" s="66" t="n"/>
      <c r="O32" s="66" t="n"/>
      <c r="P32" s="66" t="n"/>
      <c r="Q32" s="66" t="n"/>
      <c r="R32" s="25">
        <f>COUNTIF(E32:Q32,"X")</f>
        <v/>
      </c>
      <c r="S32" s="27">
        <f>(($H$2-($H$2*0.2))/3)*CONTROL!$R32</f>
        <v/>
      </c>
      <c r="T32" s="28">
        <f>((CONTROL!$R32*$H$2)*26.66666%)+IF(V32="SI",$M$2/$V$2,0)</f>
        <v/>
      </c>
      <c r="U32" s="29">
        <f>SUMIFS(E$56:Q$56,E32:Q32,"X")+IF(V32="SI",$M$2,0)</f>
        <v/>
      </c>
      <c r="V32" s="49" t="inlineStr">
        <is>
          <t>NO</t>
        </is>
      </c>
    </row>
    <row r="33" ht="21" customHeight="1" s="568">
      <c r="A33" s="583">
        <f>A32+1</f>
        <v/>
      </c>
      <c r="B33" s="587" t="inlineStr">
        <is>
          <t>COD 30</t>
        </is>
      </c>
      <c r="C33" s="8" t="inlineStr">
        <is>
          <t>CARIACO</t>
        </is>
      </c>
      <c r="D33" s="69" t="n">
        <v>3000</v>
      </c>
      <c r="E33" s="7" t="inlineStr">
        <is>
          <t>X</t>
        </is>
      </c>
      <c r="F33" s="7" t="inlineStr">
        <is>
          <t>X</t>
        </is>
      </c>
      <c r="G33" s="7" t="n"/>
      <c r="H33" s="7" t="n"/>
      <c r="I33" s="7" t="n"/>
      <c r="J33" s="7" t="n"/>
      <c r="K33" s="7" t="n"/>
      <c r="L33" s="7" t="n"/>
      <c r="M33" s="64" t="n"/>
      <c r="N33" s="66" t="n"/>
      <c r="O33" s="66" t="n"/>
      <c r="P33" s="66" t="n"/>
      <c r="Q33" s="66" t="n"/>
      <c r="R33" s="25">
        <f>COUNTIF(E33:Q33,"X")</f>
        <v/>
      </c>
      <c r="S33" s="27">
        <f>(($H$2-($H$2*0.2))/3)*CONTROL!$R33</f>
        <v/>
      </c>
      <c r="T33" s="28">
        <f>((CONTROL!$R33*$H$2)*26.66666%)+IF(V33="SI",$M$2/$V$2,0)</f>
        <v/>
      </c>
      <c r="U33" s="29">
        <f>SUMIFS(E$56:Q$56,E33:Q33,"X")+IF(V33="SI",$M$2,0)</f>
        <v/>
      </c>
      <c r="V33" s="49" t="inlineStr">
        <is>
          <t>NO</t>
        </is>
      </c>
    </row>
    <row r="34" ht="21" customHeight="1" s="568">
      <c r="A34" s="583">
        <f>A33+1</f>
        <v/>
      </c>
      <c r="B34" s="587" t="inlineStr">
        <is>
          <t>COD 31</t>
        </is>
      </c>
      <c r="C34" s="8" t="inlineStr">
        <is>
          <t>ALBIN</t>
        </is>
      </c>
      <c r="D34" s="69" t="n">
        <v>3000</v>
      </c>
      <c r="E34" s="7" t="inlineStr">
        <is>
          <t>X</t>
        </is>
      </c>
      <c r="F34" s="7" t="inlineStr">
        <is>
          <t>X</t>
        </is>
      </c>
      <c r="G34" s="7" t="n"/>
      <c r="H34" s="7" t="n"/>
      <c r="I34" s="7" t="n"/>
      <c r="J34" s="7" t="n"/>
      <c r="K34" s="7" t="n"/>
      <c r="L34" s="7" t="n"/>
      <c r="M34" s="64" t="n"/>
      <c r="N34" s="66" t="n"/>
      <c r="O34" s="66" t="n"/>
      <c r="P34" s="66" t="n"/>
      <c r="Q34" s="66" t="n"/>
      <c r="R34" s="25">
        <f>COUNTIF(E34:Q34,"X")</f>
        <v/>
      </c>
      <c r="S34" s="27">
        <f>(($H$2-($H$2*0.2))/3)*CONTROL!$R34</f>
        <v/>
      </c>
      <c r="T34" s="28">
        <f>((CONTROL!$R34*$H$2)*26.66666%)+IF(V34="SI",$M$2/$V$2,0)</f>
        <v/>
      </c>
      <c r="U34" s="29">
        <f>SUMIFS(E$56:Q$56,E34:Q34,"X")+IF(V34="SI",$M$2,0)</f>
        <v/>
      </c>
      <c r="V34" s="49" t="inlineStr">
        <is>
          <t>SI</t>
        </is>
      </c>
    </row>
    <row r="35" ht="21" customHeight="1" s="568">
      <c r="A35" s="583">
        <f>A34+1</f>
        <v/>
      </c>
      <c r="B35" s="587" t="inlineStr">
        <is>
          <t>COD 32</t>
        </is>
      </c>
      <c r="C35" s="8" t="inlineStr">
        <is>
          <t>TONY CURTIS</t>
        </is>
      </c>
      <c r="D35" s="69" t="n">
        <v>3000</v>
      </c>
      <c r="E35" s="7" t="inlineStr">
        <is>
          <t>X</t>
        </is>
      </c>
      <c r="F35" s="7" t="inlineStr">
        <is>
          <t>X</t>
        </is>
      </c>
      <c r="G35" s="7" t="inlineStr">
        <is>
          <t>X</t>
        </is>
      </c>
      <c r="H35" s="7" t="n"/>
      <c r="I35" s="7" t="n"/>
      <c r="J35" s="7" t="n"/>
      <c r="K35" s="7" t="n"/>
      <c r="L35" s="7" t="n"/>
      <c r="M35" s="64" t="n"/>
      <c r="N35" s="66" t="n"/>
      <c r="O35" s="66" t="n"/>
      <c r="P35" s="66" t="n"/>
      <c r="Q35" s="66" t="n"/>
      <c r="R35" s="25">
        <f>COUNTIF(E35:Q35,"X")</f>
        <v/>
      </c>
      <c r="S35" s="27">
        <f>(($H$2-($H$2*0.2))/3)*CONTROL!$R35</f>
        <v/>
      </c>
      <c r="T35" s="28">
        <f>((CONTROL!$R35*$H$2)*26.66666%)+IF(V35="SI",$M$2/$V$2,0)</f>
        <v/>
      </c>
      <c r="U35" s="29">
        <f>SUMIFS(E$56:Q$56,E35:Q35,"X")+IF(V35="SI",$M$2,0)</f>
        <v/>
      </c>
      <c r="V35" s="49" t="inlineStr">
        <is>
          <t>NO</t>
        </is>
      </c>
    </row>
    <row r="36" collapsed="1" ht="21" customHeight="1" s="568">
      <c r="A36" s="583">
        <f>A35+1</f>
        <v/>
      </c>
      <c r="B36" s="587" t="inlineStr">
        <is>
          <t>COD 33</t>
        </is>
      </c>
      <c r="C36" s="8" t="inlineStr">
        <is>
          <t>JOSE LUIS ANTUNEZ</t>
        </is>
      </c>
      <c r="D36" s="69" t="n">
        <v>3000</v>
      </c>
      <c r="E36" s="7" t="inlineStr">
        <is>
          <t>X</t>
        </is>
      </c>
      <c r="F36" s="7" t="inlineStr">
        <is>
          <t>X</t>
        </is>
      </c>
      <c r="G36" s="7" t="inlineStr">
        <is>
          <t>X</t>
        </is>
      </c>
      <c r="H36" s="7" t="n"/>
      <c r="I36" s="7" t="n"/>
      <c r="J36" s="7" t="n"/>
      <c r="K36" s="7" t="n"/>
      <c r="L36" s="7" t="n"/>
      <c r="M36" s="64" t="n"/>
      <c r="N36" s="66" t="n"/>
      <c r="O36" s="66" t="n"/>
      <c r="P36" s="66" t="n"/>
      <c r="Q36" s="66" t="n"/>
      <c r="R36" s="25">
        <f>COUNTIF(E36:Q36,"X")</f>
        <v/>
      </c>
      <c r="S36" s="27">
        <f>(($H$2-($H$2*0.2))/3)*CONTROL!$R36</f>
        <v/>
      </c>
      <c r="T36" s="28">
        <f>((CONTROL!$R36*$H$2)*26.66666%)+IF(V36="SI",$M$2/$V$2,0)</f>
        <v/>
      </c>
      <c r="U36" s="29">
        <f>SUMIFS(E$56:Q$56,E36:Q36,"X")+IF(V36="SI",$M$2,0)</f>
        <v/>
      </c>
      <c r="V36" s="49" t="inlineStr">
        <is>
          <t>NO</t>
        </is>
      </c>
    </row>
    <row r="37" ht="21" customHeight="1" s="568">
      <c r="A37" s="583">
        <f>A36+1</f>
        <v/>
      </c>
      <c r="B37" s="587" t="inlineStr">
        <is>
          <t>COD 34</t>
        </is>
      </c>
      <c r="C37" s="8" t="inlineStr">
        <is>
          <t>ROBERTO CARLOS</t>
        </is>
      </c>
      <c r="D37" s="69" t="n">
        <v>3000</v>
      </c>
      <c r="E37" s="7" t="inlineStr">
        <is>
          <t>X</t>
        </is>
      </c>
      <c r="F37" s="7" t="inlineStr">
        <is>
          <t>X</t>
        </is>
      </c>
      <c r="G37" s="7" t="n"/>
      <c r="H37" s="7" t="n"/>
      <c r="I37" s="7" t="n"/>
      <c r="J37" s="7" t="n"/>
      <c r="K37" s="7" t="n"/>
      <c r="L37" s="7" t="n"/>
      <c r="M37" s="64" t="n"/>
      <c r="N37" s="66" t="n"/>
      <c r="O37" s="66" t="n"/>
      <c r="P37" s="66" t="n"/>
      <c r="Q37" s="66" t="n"/>
      <c r="R37" s="25">
        <f>COUNTIF(E37:Q37,"X")</f>
        <v/>
      </c>
      <c r="S37" s="27">
        <f>(($H$2-($H$2*0.2))/3)*CONTROL!$R37</f>
        <v/>
      </c>
      <c r="T37" s="28">
        <f>((CONTROL!$R37*$H$2)*26.66666%)+IF(V37="SI",$M$2/$V$2,0)</f>
        <v/>
      </c>
      <c r="U37" s="29">
        <f>SUMIFS(E$56:Q$56,E37:Q37,"X")+IF(V37="SI",$M$2,0)</f>
        <v/>
      </c>
      <c r="V37" s="49" t="inlineStr">
        <is>
          <t>NO</t>
        </is>
      </c>
    </row>
    <row r="38" ht="21" customHeight="1" s="568">
      <c r="A38" s="583">
        <f>A37+1</f>
        <v/>
      </c>
      <c r="B38" s="587" t="inlineStr">
        <is>
          <t>COD 35</t>
        </is>
      </c>
      <c r="C38" s="8" t="inlineStr">
        <is>
          <t>YOVANNY</t>
        </is>
      </c>
      <c r="D38" s="69" t="n">
        <v>3000</v>
      </c>
      <c r="E38" s="7" t="inlineStr">
        <is>
          <t>X</t>
        </is>
      </c>
      <c r="F38" s="7" t="inlineStr">
        <is>
          <t>X</t>
        </is>
      </c>
      <c r="G38" s="7" t="inlineStr">
        <is>
          <t>X</t>
        </is>
      </c>
      <c r="H38" s="7" t="n"/>
      <c r="I38" s="7" t="n"/>
      <c r="J38" s="7" t="n"/>
      <c r="K38" s="7" t="n"/>
      <c r="L38" s="7" t="n"/>
      <c r="M38" s="64" t="n"/>
      <c r="N38" s="66" t="n"/>
      <c r="O38" s="66" t="n"/>
      <c r="P38" s="66" t="n"/>
      <c r="Q38" s="66" t="n"/>
      <c r="R38" s="25">
        <f>COUNTIF(E38:Q38,"X")</f>
        <v/>
      </c>
      <c r="S38" s="27">
        <f>(($H$2-($H$2*0.2))/3)*CONTROL!$R38</f>
        <v/>
      </c>
      <c r="T38" s="28">
        <f>((CONTROL!$R38*$H$2)*26.66666%)+IF(V38="SI",$M$2/$V$2,0)</f>
        <v/>
      </c>
      <c r="U38" s="29">
        <f>SUMIFS(E$56:Q$56,E38:Q38,"X")+IF(V38="SI",$M$2,0)</f>
        <v/>
      </c>
      <c r="V38" s="49" t="inlineStr">
        <is>
          <t>NO</t>
        </is>
      </c>
    </row>
    <row r="39" ht="21" customHeight="1" s="568">
      <c r="A39" s="583">
        <f>A38+1</f>
        <v/>
      </c>
      <c r="B39" s="587" t="inlineStr">
        <is>
          <t>COD 36</t>
        </is>
      </c>
      <c r="C39" s="8" t="inlineStr">
        <is>
          <t>EDGAR ALEXANDER</t>
        </is>
      </c>
      <c r="D39" s="69" t="n">
        <v>3000</v>
      </c>
      <c r="E39" s="7" t="inlineStr">
        <is>
          <t>X</t>
        </is>
      </c>
      <c r="F39" s="7" t="inlineStr">
        <is>
          <t>X</t>
        </is>
      </c>
      <c r="G39" s="7" t="inlineStr">
        <is>
          <t>X</t>
        </is>
      </c>
      <c r="H39" s="7" t="n"/>
      <c r="I39" s="7" t="n"/>
      <c r="J39" s="7" t="n"/>
      <c r="K39" s="7" t="n"/>
      <c r="L39" s="7" t="n"/>
      <c r="M39" s="64" t="n"/>
      <c r="N39" s="66" t="n"/>
      <c r="O39" s="66" t="n"/>
      <c r="P39" s="66" t="n"/>
      <c r="Q39" s="66" t="n"/>
      <c r="R39" s="25">
        <f>COUNTIF(E39:Q39,"X")</f>
        <v/>
      </c>
      <c r="S39" s="27">
        <f>(($H$2-($H$2*0.2))/3)*CONTROL!$R39</f>
        <v/>
      </c>
      <c r="T39" s="28">
        <f>((CONTROL!$R39*$H$2)*26.66666%)+IF(V39="SI",$M$2/$V$2,0)</f>
        <v/>
      </c>
      <c r="U39" s="29">
        <f>SUMIFS(E$56:Q$56,E39:Q39,"X")+IF(V39="SI",$M$2,0)</f>
        <v/>
      </c>
      <c r="V39" s="49" t="inlineStr">
        <is>
          <t>NO</t>
        </is>
      </c>
    </row>
    <row r="40" ht="21" customHeight="1" s="568">
      <c r="A40" s="583">
        <f>A39+1</f>
        <v/>
      </c>
      <c r="B40" s="587" t="inlineStr">
        <is>
          <t>COD 37</t>
        </is>
      </c>
      <c r="C40" s="8" t="inlineStr">
        <is>
          <t>GLADIADOR HIPICO</t>
        </is>
      </c>
      <c r="D40" s="69" t="n">
        <v>0</v>
      </c>
      <c r="E40" s="7" t="inlineStr">
        <is>
          <t>X</t>
        </is>
      </c>
      <c r="F40" s="7" t="inlineStr">
        <is>
          <t>X</t>
        </is>
      </c>
      <c r="G40" s="7" t="n"/>
      <c r="H40" s="7" t="n"/>
      <c r="I40" s="7" t="n"/>
      <c r="J40" s="7" t="n"/>
      <c r="K40" s="7" t="n"/>
      <c r="L40" s="7" t="n"/>
      <c r="M40" s="64" t="n"/>
      <c r="N40" s="66" t="n"/>
      <c r="O40" s="66" t="n"/>
      <c r="P40" s="66" t="n"/>
      <c r="Q40" s="66" t="n"/>
      <c r="R40" s="25">
        <f>COUNTIF(E40:Q40,"X")</f>
        <v/>
      </c>
      <c r="S40" s="27">
        <f>(($H$2-($H$2*0.2))/3)*CONTROL!$R40</f>
        <v/>
      </c>
      <c r="T40" s="28">
        <f>((CONTROL!$R40*$H$2)*26.66666%)+IF(V40="SI",$M$2/$V$2,0)</f>
        <v/>
      </c>
      <c r="U40" s="29">
        <f>SUMIFS(E$56:Q$56,E40:Q40,"X")+IF(V40="SI",$M$2,0)</f>
        <v/>
      </c>
      <c r="V40" s="49" t="inlineStr">
        <is>
          <t>NO</t>
        </is>
      </c>
    </row>
    <row r="41" ht="21" customHeight="1" s="568">
      <c r="A41" s="583">
        <f>A40+1</f>
        <v/>
      </c>
      <c r="B41" s="587" t="inlineStr">
        <is>
          <t>COD 38</t>
        </is>
      </c>
      <c r="C41" s="8" t="inlineStr">
        <is>
          <t>DERVIN</t>
        </is>
      </c>
      <c r="D41" s="69" t="n">
        <v>3000</v>
      </c>
      <c r="E41" s="7" t="inlineStr">
        <is>
          <t>X</t>
        </is>
      </c>
      <c r="F41" s="7" t="inlineStr">
        <is>
          <t>X</t>
        </is>
      </c>
      <c r="G41" s="7" t="n"/>
      <c r="H41" s="7" t="n"/>
      <c r="I41" s="7" t="n"/>
      <c r="J41" s="7" t="n"/>
      <c r="K41" s="7" t="n"/>
      <c r="L41" s="7" t="n"/>
      <c r="M41" s="64" t="n"/>
      <c r="N41" s="66" t="n"/>
      <c r="O41" s="66" t="n"/>
      <c r="P41" s="66" t="n"/>
      <c r="Q41" s="66" t="n"/>
      <c r="R41" s="25">
        <f>COUNTIF(E41:Q41,"X")</f>
        <v/>
      </c>
      <c r="S41" s="27">
        <f>(($H$2-($H$2*0.2))/3)*CONTROL!$R41</f>
        <v/>
      </c>
      <c r="T41" s="28">
        <f>((CONTROL!$R41*$H$2)*26.66666%)+IF(V41="SI",$M$2/$V$2,0)</f>
        <v/>
      </c>
      <c r="U41" s="29">
        <f>SUMIFS(E$56:Q$56,E41:Q41,"X")+IF(V41="SI",$M$2,0)</f>
        <v/>
      </c>
      <c r="V41" s="49" t="inlineStr">
        <is>
          <t>NO</t>
        </is>
      </c>
    </row>
    <row r="42" ht="21" customHeight="1" s="568">
      <c r="A42" s="583">
        <f>A41+1</f>
        <v/>
      </c>
      <c r="B42" s="587" t="inlineStr">
        <is>
          <t>COD 39</t>
        </is>
      </c>
      <c r="C42" s="8" t="inlineStr">
        <is>
          <t>EL TAMAO</t>
        </is>
      </c>
      <c r="D42" s="69" t="n">
        <v>3000</v>
      </c>
      <c r="E42" s="7" t="inlineStr">
        <is>
          <t>X</t>
        </is>
      </c>
      <c r="F42" s="7" t="inlineStr">
        <is>
          <t>X</t>
        </is>
      </c>
      <c r="G42" s="7" t="n"/>
      <c r="H42" s="7" t="n"/>
      <c r="I42" s="7" t="n"/>
      <c r="J42" s="7" t="n"/>
      <c r="K42" s="7" t="n"/>
      <c r="L42" s="7" t="n"/>
      <c r="M42" s="64" t="n"/>
      <c r="N42" s="66" t="n"/>
      <c r="O42" s="66" t="n"/>
      <c r="P42" s="66" t="n"/>
      <c r="Q42" s="66" t="n"/>
      <c r="R42" s="25">
        <f>COUNTIF(E42:Q42,"X")</f>
        <v/>
      </c>
      <c r="S42" s="27">
        <f>(($H$2-($H$2*0.2))/3)*CONTROL!$R42</f>
        <v/>
      </c>
      <c r="T42" s="28">
        <f>((CONTROL!$R42*$H$2)*26.66666%)+IF(V42="SI",$M$2/$V$2,0)</f>
        <v/>
      </c>
      <c r="U42" s="29">
        <f>SUMIFS(E$56:Q$56,E42:Q42,"X")+IF(V42="SI",$M$2,0)</f>
        <v/>
      </c>
      <c r="V42" s="49" t="inlineStr">
        <is>
          <t>SI</t>
        </is>
      </c>
    </row>
    <row r="43" ht="21" customHeight="1" s="568">
      <c r="A43" s="583">
        <f>A42+1</f>
        <v/>
      </c>
      <c r="B43" s="587" t="inlineStr">
        <is>
          <t>COD 40</t>
        </is>
      </c>
      <c r="C43" s="8" t="inlineStr">
        <is>
          <t>FRED</t>
        </is>
      </c>
      <c r="D43" s="69" t="n">
        <v>3000</v>
      </c>
      <c r="E43" s="7" t="inlineStr">
        <is>
          <t>X</t>
        </is>
      </c>
      <c r="F43" s="7" t="inlineStr">
        <is>
          <t>X</t>
        </is>
      </c>
      <c r="G43" s="7" t="inlineStr">
        <is>
          <t>X</t>
        </is>
      </c>
      <c r="H43" s="7" t="n"/>
      <c r="I43" s="7" t="n"/>
      <c r="J43" s="7" t="n"/>
      <c r="K43" s="7" t="n"/>
      <c r="L43" s="7" t="n"/>
      <c r="M43" s="64" t="n"/>
      <c r="N43" s="66" t="n"/>
      <c r="O43" s="66" t="n"/>
      <c r="P43" s="66" t="n"/>
      <c r="Q43" s="66" t="n"/>
      <c r="R43" s="25">
        <f>COUNTIF(E43:Q43,"X")</f>
        <v/>
      </c>
      <c r="S43" s="27">
        <f>(($H$2-($H$2*0.2))/3)*CONTROL!$R43</f>
        <v/>
      </c>
      <c r="T43" s="28">
        <f>((CONTROL!$R43*$H$2)*26.66666%)+IF(V43="SI",$M$2/$V$2,0)</f>
        <v/>
      </c>
      <c r="U43" s="29">
        <f>SUMIFS(E$56:Q$56,E43:Q43,"X")+IF(V43="SI",$M$2,0)</f>
        <v/>
      </c>
      <c r="V43" s="49" t="inlineStr">
        <is>
          <t>SI</t>
        </is>
      </c>
    </row>
    <row r="44" ht="21" customHeight="1" s="568">
      <c r="A44" s="583">
        <f>A43+1</f>
        <v/>
      </c>
      <c r="B44" s="587" t="inlineStr">
        <is>
          <t>COD 41</t>
        </is>
      </c>
      <c r="C44" s="8" t="inlineStr">
        <is>
          <t>ENRIQUE LEFEBRE</t>
        </is>
      </c>
      <c r="D44" s="69" t="n">
        <v>0</v>
      </c>
      <c r="E44" s="7" t="n">
        <v>0</v>
      </c>
      <c r="F44" s="7" t="n">
        <v>0</v>
      </c>
      <c r="G44" s="7" t="n">
        <v>0</v>
      </c>
      <c r="H44" s="7" t="n"/>
      <c r="I44" s="7" t="n"/>
      <c r="J44" s="7" t="n"/>
      <c r="K44" s="7" t="n"/>
      <c r="L44" s="7" t="n"/>
      <c r="M44" s="64" t="n"/>
      <c r="N44" s="66" t="n"/>
      <c r="O44" s="66" t="n"/>
      <c r="P44" s="66" t="n"/>
      <c r="Q44" s="66" t="n"/>
      <c r="R44" s="25">
        <f>COUNTIF(E44:Q44,"X")</f>
        <v/>
      </c>
      <c r="S44" s="27">
        <f>(($H$2-($H$2*0.2))/3)*CONTROL!$R44</f>
        <v/>
      </c>
      <c r="T44" s="28">
        <f>((CONTROL!$R44*$H$2)*26.66666%)+IF(V44="SI",$M$2/$V$2,0)</f>
        <v/>
      </c>
      <c r="U44" s="29">
        <f>SUMIFS(E$56:Q$56,E44:Q44,"X")+IF(V44="SI",$M$2,0)</f>
        <v/>
      </c>
      <c r="V44" s="49" t="n"/>
    </row>
    <row r="45" ht="21" customHeight="1" s="568">
      <c r="A45" s="583">
        <f>A44+1</f>
        <v/>
      </c>
      <c r="B45" s="587" t="inlineStr">
        <is>
          <t>COD 42</t>
        </is>
      </c>
      <c r="C45" s="8" t="n"/>
      <c r="D45" s="69" t="n"/>
      <c r="E45" s="7" t="n"/>
      <c r="F45" s="7" t="n"/>
      <c r="G45" s="63" t="n"/>
      <c r="H45" s="63" t="n"/>
      <c r="I45" s="62" t="n"/>
      <c r="J45" s="63" t="n"/>
      <c r="K45" s="63" t="n"/>
      <c r="L45" s="63" t="n"/>
      <c r="M45" s="64" t="n"/>
      <c r="N45" s="67" t="n"/>
      <c r="O45" s="67" t="n"/>
      <c r="P45" s="67" t="n"/>
      <c r="Q45" s="67" t="n"/>
      <c r="R45" s="25">
        <f>COUNTIF(E45:Q45,"X")</f>
        <v/>
      </c>
      <c r="S45" s="27">
        <f>(($H$2-($H$2*0.2))/3)*CONTROL!$R45</f>
        <v/>
      </c>
      <c r="T45" s="28">
        <f>((CONTROL!$R45*$H$2)*26.66666%)+IF(V45="SI",$M$2/$V$2,0)</f>
        <v/>
      </c>
      <c r="U45" s="29">
        <f>SUMIFS(E$56:Q$56,E45:Q45,"X")+IF(V45="SI",$M$2,0)</f>
        <v/>
      </c>
      <c r="V45" s="49" t="n"/>
    </row>
    <row r="46" ht="21" customHeight="1" s="568">
      <c r="A46" s="583">
        <f>A45+1</f>
        <v/>
      </c>
      <c r="B46" s="587" t="inlineStr">
        <is>
          <t>COD 43</t>
        </is>
      </c>
      <c r="C46" s="8" t="n"/>
      <c r="D46" s="69" t="n"/>
      <c r="E46" s="7" t="n"/>
      <c r="F46" s="7" t="n"/>
      <c r="G46" s="63" t="n"/>
      <c r="H46" s="63" t="n"/>
      <c r="I46" s="62" t="n"/>
      <c r="J46" s="63" t="n"/>
      <c r="K46" s="63" t="n"/>
      <c r="L46" s="63" t="n"/>
      <c r="M46" s="64" t="n"/>
      <c r="N46" s="67" t="n"/>
      <c r="O46" s="67" t="n"/>
      <c r="P46" s="67" t="n"/>
      <c r="Q46" s="67" t="n"/>
      <c r="R46" s="25">
        <f>COUNTIF(E46:Q46,"X")</f>
        <v/>
      </c>
      <c r="S46" s="27">
        <f>(($H$2-($H$2*0.2))/3)*CONTROL!$R46</f>
        <v/>
      </c>
      <c r="T46" s="28">
        <f>((CONTROL!$R46*$H$2)*26.66666%)+IF(V46="SI",$M$2/$V$2,0)</f>
        <v/>
      </c>
      <c r="U46" s="29">
        <f>SUMIFS(E$56:Q$56,E46:Q46,"X")+IF(V46="SI",$M$2,0)</f>
        <v/>
      </c>
      <c r="V46" s="49" t="n"/>
    </row>
    <row r="47" ht="21" customHeight="1" s="568">
      <c r="A47" s="583">
        <f>A46+1</f>
        <v/>
      </c>
      <c r="B47" s="587" t="inlineStr">
        <is>
          <t>COD 44</t>
        </is>
      </c>
      <c r="C47" s="8" t="n"/>
      <c r="D47" s="69" t="n"/>
      <c r="E47" s="7" t="n"/>
      <c r="F47" s="7" t="n"/>
      <c r="G47" s="63" t="n"/>
      <c r="H47" s="63" t="n"/>
      <c r="I47" s="62" t="n"/>
      <c r="J47" s="63" t="n"/>
      <c r="K47" s="63" t="n"/>
      <c r="L47" s="63" t="n"/>
      <c r="M47" s="64" t="n"/>
      <c r="N47" s="67" t="n"/>
      <c r="O47" s="67" t="n"/>
      <c r="P47" s="67" t="n"/>
      <c r="Q47" s="67" t="n"/>
      <c r="R47" s="25">
        <f>COUNTIF(E47:Q47,"X")</f>
        <v/>
      </c>
      <c r="S47" s="27">
        <f>(($H$2-($H$2*0.2))/3)*CONTROL!$R47</f>
        <v/>
      </c>
      <c r="T47" s="28">
        <f>((CONTROL!$R47*$H$2)*26.66666%)+IF(V47="SI",$M$2/$V$2,0)</f>
        <v/>
      </c>
      <c r="U47" s="29">
        <f>SUMIFS(E$56:Q$56,E47:Q47,"X")+IF(V47="SI",$M$2,0)</f>
        <v/>
      </c>
      <c r="V47" s="49" t="n"/>
    </row>
    <row r="48" ht="21" customHeight="1" s="568">
      <c r="A48" s="583">
        <f>A47+1</f>
        <v/>
      </c>
      <c r="B48" s="587" t="inlineStr">
        <is>
          <t>COD 45</t>
        </is>
      </c>
      <c r="C48" s="8" t="inlineStr">
        <is>
          <t>GUADIZMI</t>
        </is>
      </c>
      <c r="D48" s="69" t="n">
        <v>3000</v>
      </c>
      <c r="E48" s="7" t="inlineStr">
        <is>
          <t>X</t>
        </is>
      </c>
      <c r="F48" s="7" t="inlineStr">
        <is>
          <t>X</t>
        </is>
      </c>
      <c r="G48" s="63" t="n"/>
      <c r="H48" s="7" t="n"/>
      <c r="I48" s="7" t="n"/>
      <c r="J48" s="7" t="n"/>
      <c r="K48" s="7" t="n"/>
      <c r="L48" s="7" t="n"/>
      <c r="M48" s="64" t="n"/>
      <c r="N48" s="67" t="n"/>
      <c r="O48" s="67" t="n"/>
      <c r="P48" s="67" t="n"/>
      <c r="Q48" s="67" t="n"/>
      <c r="R48" s="25">
        <f>COUNTIF(E48:Q48,"X")</f>
        <v/>
      </c>
      <c r="S48" s="27">
        <f>(($H$2-($H$2*0.2))/3)*CONTROL!$R48</f>
        <v/>
      </c>
      <c r="T48" s="28">
        <f>((CONTROL!$R48*$H$2)*26.66666%)+IF(V48="SI",$M$2/$V$2,0)</f>
        <v/>
      </c>
      <c r="U48" s="29">
        <f>SUMIFS(E$56:Q$56,E48:Q48,"X")+IF(V48="SI",$M$2,0)</f>
        <v/>
      </c>
      <c r="V48" s="49" t="inlineStr">
        <is>
          <t>NO</t>
        </is>
      </c>
    </row>
    <row r="49" ht="18.75" customHeight="1" s="568">
      <c r="A49" s="583">
        <f>A48+1</f>
        <v/>
      </c>
      <c r="B49" s="587" t="inlineStr">
        <is>
          <t>COD 46</t>
        </is>
      </c>
      <c r="C49" s="8" t="n"/>
      <c r="D49" s="69" t="n"/>
      <c r="E49" s="7" t="n"/>
      <c r="F49" s="7" t="n"/>
      <c r="G49" s="63" t="n"/>
      <c r="H49" s="63" t="n"/>
      <c r="I49" s="62" t="n"/>
      <c r="J49" s="63" t="n"/>
      <c r="K49" s="63" t="n"/>
      <c r="L49" s="63" t="n"/>
      <c r="M49" s="66" t="n"/>
      <c r="N49" s="67" t="n"/>
      <c r="O49" s="67" t="n"/>
      <c r="P49" s="67" t="n"/>
      <c r="Q49" s="67" t="n"/>
      <c r="R49" s="25">
        <f>COUNTIF(E49:Q49,"X")</f>
        <v/>
      </c>
      <c r="S49" s="27">
        <f>(($H$2-($H$2*0.2))/3)*CONTROL!$R49</f>
        <v/>
      </c>
      <c r="T49" s="28">
        <f>((CONTROL!$R49*$H$2)*26.66666%)+IF(V49="SI",$M$2/$V$2,0)</f>
        <v/>
      </c>
      <c r="U49" s="29">
        <f>SUMIFS(E$56:Q$56,E49:Q49,"X")+IF(V49="SI",$M$2,0)</f>
        <v/>
      </c>
      <c r="V49" s="49" t="n"/>
    </row>
    <row r="50" ht="19.5" customHeight="1" s="568">
      <c r="A50" s="583">
        <f>A49+1</f>
        <v/>
      </c>
      <c r="B50" s="587" t="inlineStr">
        <is>
          <t>COD 47</t>
        </is>
      </c>
      <c r="C50" s="8" t="n"/>
      <c r="D50" s="69" t="n"/>
      <c r="E50" s="7" t="n"/>
      <c r="F50" s="7" t="n"/>
      <c r="G50" s="63" t="n"/>
      <c r="H50" s="63" t="n"/>
      <c r="I50" s="62" t="n"/>
      <c r="J50" s="63" t="n"/>
      <c r="K50" s="63" t="n"/>
      <c r="L50" s="63" t="n"/>
      <c r="M50" s="66" t="n"/>
      <c r="N50" s="67" t="n"/>
      <c r="O50" s="67" t="n"/>
      <c r="P50" s="67" t="n"/>
      <c r="Q50" s="67" t="n"/>
      <c r="R50" s="25">
        <f>COUNTIF(E50:Q50,"X")</f>
        <v/>
      </c>
      <c r="S50" s="27">
        <f>(($H$2-($H$2*0.2))/3)*CONTROL!$R50</f>
        <v/>
      </c>
      <c r="T50" s="28">
        <f>((CONTROL!$R50*$H$2)*26.66666%)+IF(V50="SI",$M$2/$V$2,0)</f>
        <v/>
      </c>
      <c r="U50" s="29">
        <f>SUMIFS(E$56:Q$56,E50:Q50,"X")+IF(V50="SI",$M$2,0)</f>
        <v/>
      </c>
      <c r="V50" s="49" t="n"/>
    </row>
    <row r="51" ht="18.75" customHeight="1" s="568">
      <c r="A51" s="583">
        <f>A50+1</f>
        <v/>
      </c>
      <c r="B51" s="587" t="inlineStr">
        <is>
          <t>COD 48</t>
        </is>
      </c>
      <c r="C51" s="8" t="n"/>
      <c r="D51" s="69" t="n"/>
      <c r="E51" s="7" t="n"/>
      <c r="F51" s="7" t="n"/>
      <c r="G51" s="63" t="n"/>
      <c r="H51" s="63" t="n"/>
      <c r="I51" s="62" t="n"/>
      <c r="J51" s="63" t="n"/>
      <c r="K51" s="63" t="n"/>
      <c r="L51" s="63" t="n"/>
      <c r="M51" s="66" t="n"/>
      <c r="N51" s="67" t="n"/>
      <c r="O51" s="67" t="n"/>
      <c r="P51" s="67" t="n"/>
      <c r="Q51" s="67" t="n"/>
      <c r="R51" s="25">
        <f>COUNTIF(E51:Q51,"X")</f>
        <v/>
      </c>
      <c r="S51" s="27">
        <f>(($H$2-($H$2*0.2))/3)*CONTROL!$R51</f>
        <v/>
      </c>
      <c r="T51" s="28">
        <f>((CONTROL!$R51*$H$2)*26.66666%)+IF(V51="SI",$M$2/$V$2,0)</f>
        <v/>
      </c>
      <c r="U51" s="29">
        <f>SUMIFS(E$56:Q$56,E51:Q51,"X")+IF(V51="SI",$M$2,0)</f>
        <v/>
      </c>
      <c r="V51" s="49" t="n"/>
    </row>
    <row r="52" ht="19.5" customHeight="1" s="568">
      <c r="A52" s="583">
        <f>A51+1</f>
        <v/>
      </c>
      <c r="B52" s="587" t="inlineStr">
        <is>
          <t>COD 49</t>
        </is>
      </c>
      <c r="C52" s="8" t="n"/>
      <c r="D52" s="69" t="n"/>
      <c r="E52" s="7" t="n"/>
      <c r="F52" s="7" t="n"/>
      <c r="G52" s="63" t="n"/>
      <c r="H52" s="63" t="n"/>
      <c r="I52" s="62" t="n"/>
      <c r="J52" s="63" t="n"/>
      <c r="K52" s="63" t="n"/>
      <c r="L52" s="63" t="n"/>
      <c r="M52" s="66" t="n"/>
      <c r="N52" s="67" t="n"/>
      <c r="O52" s="67" t="n"/>
      <c r="P52" s="67" t="n"/>
      <c r="Q52" s="67" t="n"/>
      <c r="R52" s="25">
        <f>COUNTIF(E52:Q52,"X")</f>
        <v/>
      </c>
      <c r="S52" s="27">
        <f>(($H$2-($H$2*0.2))/3)*CONTROL!$R52</f>
        <v/>
      </c>
      <c r="T52" s="28">
        <f>((CONTROL!$R52*$H$2)*26.66666%)+IF(V52="SI",$M$2/$V$2,0)</f>
        <v/>
      </c>
      <c r="U52" s="29">
        <f>SUMIFS(E$56:Q$56,E52:Q52,"X")+IF(V52="SI",$M$2,0)</f>
        <v/>
      </c>
      <c r="V52" s="49" t="n"/>
    </row>
    <row r="53" ht="21.75" customHeight="1" s="568" thickBot="1">
      <c r="A53" s="583">
        <f>A52+1</f>
        <v/>
      </c>
      <c r="B53" s="587" t="inlineStr">
        <is>
          <t>COD 50</t>
        </is>
      </c>
      <c r="C53" s="9" t="n"/>
      <c r="D53" s="70" t="n"/>
      <c r="E53" s="7" t="n"/>
      <c r="F53" s="7" t="n"/>
      <c r="G53" s="63" t="n"/>
      <c r="H53" s="63" t="n"/>
      <c r="I53" s="62" t="n"/>
      <c r="J53" s="63" t="n"/>
      <c r="K53" s="63" t="n"/>
      <c r="L53" s="63" t="n"/>
      <c r="M53" s="66" t="n"/>
      <c r="N53" s="67" t="n"/>
      <c r="O53" s="67" t="n"/>
      <c r="P53" s="67" t="n"/>
      <c r="Q53" s="67" t="n"/>
      <c r="R53" s="26">
        <f>COUNTIF(E53:Q53,"X")</f>
        <v/>
      </c>
      <c r="S53" s="30">
        <f>(($H$2-($H$2*0.2))/3)*CONTROL!$R53</f>
        <v/>
      </c>
      <c r="T53" s="28">
        <f>((CONTROL!$R53*$H$2)*26.66666%)+IF(V53="SI",$M$2/$V$2,0)</f>
        <v/>
      </c>
      <c r="U53" s="29">
        <f>SUMIFS(E$56:Q$56,E53:Q53,"X")+IF(V53="SI",$M$2,0)</f>
        <v/>
      </c>
      <c r="V53" s="49" t="n"/>
    </row>
    <row r="54" ht="35.25" customFormat="1" customHeight="1" s="576">
      <c r="B54" s="588" t="inlineStr">
        <is>
          <t>RECAUDADO INSCRIPCION</t>
        </is>
      </c>
      <c r="C54" s="553" t="n"/>
      <c r="D54" s="50">
        <f>SUM(CONTROL!$D$4:$D$53)</f>
        <v/>
      </c>
      <c r="E54" s="559" t="n">
        <v>0.2</v>
      </c>
      <c r="F54" s="555" t="n"/>
      <c r="G54" s="555" t="n"/>
      <c r="H54" s="554">
        <f>D54*20%</f>
        <v/>
      </c>
      <c r="I54" s="555" t="n"/>
      <c r="J54" s="555" t="n"/>
      <c r="K54" s="59" t="n"/>
      <c r="L54" s="59" t="n"/>
      <c r="M54" s="59" t="n"/>
      <c r="N54" s="60" t="n"/>
      <c r="O54" s="60" t="n"/>
      <c r="P54" s="60" t="n"/>
      <c r="Q54" s="61" t="inlineStr">
        <is>
          <t>TOTAL PREMIO</t>
        </is>
      </c>
      <c r="R54" s="35">
        <f>D54-H54</f>
        <v/>
      </c>
      <c r="S54" s="35">
        <f>SUM(S4:S48)</f>
        <v/>
      </c>
      <c r="T54" s="35">
        <f>SUM(T4:T53)</f>
        <v/>
      </c>
      <c r="U54" s="31" t="inlineStr">
        <is>
          <t>SEMANAS ACUMULADAS</t>
        </is>
      </c>
      <c r="V54" s="68">
        <f>COUNTIF(E4:Q4,"X")+X3</f>
        <v/>
      </c>
    </row>
    <row r="55" ht="33" customHeight="1" s="568" thickBot="1">
      <c r="B55" s="15" t="inlineStr">
        <is>
          <t>SOCIOS</t>
        </is>
      </c>
      <c r="C55" s="556" t="inlineStr">
        <is>
          <t>NRO DE PARTICIPANTES POR SEMANA</t>
        </is>
      </c>
      <c r="D55" s="557" t="n"/>
      <c r="E55" s="56">
        <f>COUNTIF(E4:E53,"X")+COUNTIF(E4:E53,"O")</f>
        <v/>
      </c>
      <c r="F55" s="57">
        <f>COUNTIF(F4:F53,"X")+COUNTIF(F4:F53,"O")</f>
        <v/>
      </c>
      <c r="G55" s="57">
        <f>COUNTIF(G4:G53,"X")+COUNTIF(G4:G53,"O")</f>
        <v/>
      </c>
      <c r="H55" s="57">
        <f>COUNTIF(H4:H53,"X")+COUNTIF(H4:H53,"O")</f>
        <v/>
      </c>
      <c r="I55" s="57">
        <f>COUNTIF(I4:I53,"X")+COUNTIF(I4:I53,"O")</f>
        <v/>
      </c>
      <c r="J55" s="57">
        <f>COUNTIF(J4:J53,"X")+COUNTIF(J4:J53,"O")</f>
        <v/>
      </c>
      <c r="K55" s="57">
        <f>COUNTIF(K4:K53,"X")+COUNTIF(K4:K53,"O")</f>
        <v/>
      </c>
      <c r="L55" s="57">
        <f>COUNTIF(L4:L53,"X")+COUNTIF(L4:L53,"O")</f>
        <v/>
      </c>
      <c r="M55" s="57">
        <f>COUNTIF(M4:M53,"X")+COUNTIF(M4:M53,"O")</f>
        <v/>
      </c>
      <c r="N55" s="57">
        <f>COUNTIF(N4:N53,"X")+COUNTIF(N4:N53,"O")</f>
        <v/>
      </c>
      <c r="O55" s="57">
        <f>COUNTIF(O4:O53,"X")+COUNTIF(O4:O53,"O")</f>
        <v/>
      </c>
      <c r="P55" s="57">
        <f>COUNTIF(P4:P53,"X")+COUNTIF(P4:P53,"O")</f>
        <v/>
      </c>
      <c r="Q55" s="58">
        <f>COUNTIF(Q4:Q53,"X")+COUNTIF(Q4:Q53,"O")</f>
        <v/>
      </c>
      <c r="R55" s="33" t="inlineStr">
        <is>
          <t>1ER LUGAR</t>
        </is>
      </c>
      <c r="S55" s="33" t="inlineStr">
        <is>
          <t>2DO LUGAR</t>
        </is>
      </c>
      <c r="T55" s="34" t="inlineStr">
        <is>
          <t>3ER LUGAR YCATEGORIAS</t>
        </is>
      </c>
      <c r="U55" s="32" t="inlineStr">
        <is>
          <t>TOTAL PREMIO MEETING</t>
        </is>
      </c>
      <c r="V55" s="51" t="n"/>
      <c r="X55" s="356" t="n"/>
    </row>
    <row r="56" ht="33" customHeight="1" s="568">
      <c r="B56" s="16">
        <f>COUNTA(C4:C53)</f>
        <v/>
      </c>
      <c r="C56" s="558" t="inlineStr">
        <is>
          <t>MONTO ACUMULADO POR SEMANA</t>
        </is>
      </c>
      <c r="D56" s="555" t="n"/>
      <c r="E56" s="589">
        <f>E55*($H$2*26.66666%)</f>
        <v/>
      </c>
      <c r="F56" s="590">
        <f>F55*($H$2*26.66666%)</f>
        <v/>
      </c>
      <c r="G56" s="590">
        <f>G55*($H$2*26.66666%)</f>
        <v/>
      </c>
      <c r="H56" s="590">
        <f>H55*($H$2*26.66666%)</f>
        <v/>
      </c>
      <c r="I56" s="590">
        <f>I55*($H$2*26.66666%)</f>
        <v/>
      </c>
      <c r="J56" s="590">
        <f>J55*($H$2*26.66666%)</f>
        <v/>
      </c>
      <c r="K56" s="590">
        <f>K55*($H$2*26.66666%)</f>
        <v/>
      </c>
      <c r="L56" s="590">
        <f>L55*($H$2*26.66666%)</f>
        <v/>
      </c>
      <c r="M56" s="590">
        <f>M55*($H$2*26.66666%)</f>
        <v/>
      </c>
      <c r="N56" s="590">
        <f>N55*($H$2*26.66666%)</f>
        <v/>
      </c>
      <c r="O56" s="590">
        <f>O55*($H$2*26.66666%)</f>
        <v/>
      </c>
      <c r="P56" s="590">
        <f>P55*($H$2*26.66666%)</f>
        <v/>
      </c>
      <c r="Q56" s="590">
        <f>Q55*($H$2*26.66666%)</f>
        <v/>
      </c>
      <c r="R56" s="52">
        <f>U56*70%</f>
        <v/>
      </c>
      <c r="S56" s="53">
        <f>U56*15%</f>
        <v/>
      </c>
      <c r="T56" s="53">
        <f>U56*5%</f>
        <v/>
      </c>
      <c r="U56" s="54">
        <f>R54+S54</f>
        <v/>
      </c>
      <c r="V56" s="55" t="n"/>
    </row>
    <row r="59">
      <c r="A59" t="n">
        <v>4</v>
      </c>
    </row>
  </sheetData>
  <mergeCells count="5">
    <mergeCell ref="B54:C54"/>
    <mergeCell ref="H54:J54"/>
    <mergeCell ref="C55:D55"/>
    <mergeCell ref="C56:D56"/>
    <mergeCell ref="E54:G54"/>
  </mergeCells>
  <conditionalFormatting sqref="E56:Q56">
    <cfRule type="notContainsBlanks" priority="1">
      <formula>LEN(TRIM(E56))&gt;0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52"/>
  <sheetViews>
    <sheetView showGridLines="0" topLeftCell="A34" zoomScale="60" zoomScaleNormal="60" workbookViewId="0">
      <selection activeCell="C8" sqref="C8:C57"/>
    </sheetView>
  </sheetViews>
  <sheetFormatPr baseColWidth="10" defaultRowHeight="15" outlineLevelRow="1"/>
  <cols>
    <col width="3.42578125" customWidth="1" style="568" min="1" max="1"/>
    <col width="12.7109375" customWidth="1" style="10" min="2" max="2"/>
    <col width="24" customWidth="1" style="568" min="3" max="3"/>
    <col width="22.7109375" customWidth="1" style="568" min="4" max="4"/>
    <col width="6.42578125" customWidth="1" style="568" min="5" max="8"/>
    <col width="7.85546875" customWidth="1" style="568" min="9" max="9"/>
    <col width="6.42578125" customWidth="1" style="568" min="10" max="13"/>
    <col width="6.85546875" customWidth="1" style="568" min="14" max="14"/>
    <col width="6.42578125" customWidth="1" style="568" min="15" max="18"/>
    <col width="6.85546875" customWidth="1" style="568" min="19" max="19"/>
    <col width="6.42578125" customWidth="1" style="568" min="20" max="20"/>
    <col width="7.42578125" customWidth="1" style="568" min="21" max="21"/>
    <col width="6.42578125" customWidth="1" style="568" min="22" max="23"/>
    <col width="7" customWidth="1" style="568" min="24" max="24"/>
    <col width="6.42578125" customWidth="1" style="568" min="25" max="28"/>
    <col width="7.140625" customWidth="1" style="568" min="29" max="29"/>
    <col width="6.42578125" customWidth="1" style="568" min="30" max="31"/>
    <col width="7.42578125" customWidth="1" style="568" min="32" max="32"/>
    <col width="7.85546875" customWidth="1" style="568" min="33" max="34"/>
    <col width="6.42578125" customWidth="1" style="568" min="35" max="38"/>
    <col width="6.85546875" customWidth="1" style="568" min="39" max="39"/>
    <col width="6.42578125" customWidth="1" style="568" min="40" max="40"/>
    <col width="7.42578125" customWidth="1" style="568" min="41" max="41"/>
    <col width="6.42578125" customWidth="1" style="568" min="42" max="43"/>
    <col width="7.42578125" customWidth="1" style="568" min="44" max="44"/>
    <col width="6.42578125" customWidth="1" style="568" min="45" max="48"/>
    <col width="6.85546875" customWidth="1" style="568" min="49" max="49"/>
    <col width="6.42578125" customWidth="1" style="568" min="50" max="53"/>
    <col width="7.85546875" customWidth="1" style="568" min="54" max="54"/>
    <col width="6.42578125" customWidth="1" style="568" min="55" max="58"/>
    <col width="8.42578125" customWidth="1" style="356" min="59" max="59"/>
    <col width="6.42578125" customWidth="1" style="568" min="60" max="63"/>
    <col width="7.5703125" customWidth="1" style="356" min="64" max="64"/>
    <col width="6.42578125" customWidth="1" style="568" min="65" max="68"/>
    <col width="8.28515625" customWidth="1" style="568" min="69" max="69"/>
    <col outlineLevel="1" width="6.42578125" customWidth="1" style="568" min="70" max="73"/>
    <col outlineLevel="1" width="8.28515625" customWidth="1" style="568" min="74" max="74"/>
    <col outlineLevel="1" width="6.42578125" customWidth="1" style="568" min="75" max="78"/>
    <col outlineLevel="1" width="8.28515625" customWidth="1" style="568" min="79" max="79"/>
    <col outlineLevel="1" width="6.42578125" customWidth="1" style="568" min="80" max="83"/>
    <col outlineLevel="1" width="8.28515625" customWidth="1" style="568" min="84" max="84"/>
    <col outlineLevel="1" width="6.42578125" customWidth="1" style="568" min="85" max="86"/>
    <col outlineLevel="1" width="9.7109375" customWidth="1" style="568" min="87" max="87"/>
    <col outlineLevel="1" width="5.28515625" customWidth="1" style="568" min="88" max="89"/>
    <col outlineLevel="1" width="9.85546875" customWidth="1" style="568" min="90" max="90"/>
    <col outlineLevel="1" width="5.28515625" customWidth="1" style="568" min="91" max="92"/>
    <col outlineLevel="1" width="9.85546875" customWidth="1" style="568" min="93" max="93"/>
    <col outlineLevel="1" width="5.28515625" customWidth="1" style="568" min="94" max="95"/>
    <col outlineLevel="1" width="9.85546875" customWidth="1" style="568" min="96" max="96"/>
    <col width="12.85546875" customWidth="1" style="568" min="97" max="97"/>
    <col outlineLevel="1" width="15.7109375" customWidth="1" style="568" min="98" max="98"/>
    <col outlineLevel="1" width="17.42578125" customWidth="1" style="568" min="99" max="99"/>
    <col width="18.5703125" customWidth="1" style="568" min="100" max="100"/>
    <col width="2.7109375" customWidth="1" style="568" min="101" max="101"/>
    <col width="16.7109375" customWidth="1" style="568" min="103" max="103"/>
    <col width="17.85546875" customWidth="1" style="568" min="104" max="104"/>
    <col width="14.42578125" bestFit="1" customWidth="1" style="568" min="105" max="105"/>
    <col width="18.28515625" customWidth="1" style="568" min="106" max="106"/>
    <col width="13.42578125" bestFit="1" customWidth="1" style="568" min="122" max="122"/>
    <col width="13.42578125" bestFit="1" customWidth="1" style="568" min="140" max="140"/>
  </cols>
  <sheetData>
    <row r="1" ht="15.75" customHeight="1" s="568" thickBot="1">
      <c r="B1" s="73" t="n">
        <v>0</v>
      </c>
      <c r="CV1" s="74" t="inlineStr">
        <is>
          <t>PREMIO</t>
        </is>
      </c>
      <c r="CX1" s="75" t="inlineStr">
        <is>
          <t>PREMIO</t>
        </is>
      </c>
      <c r="DA1" s="73" t="inlineStr">
        <is>
          <t>PREMIO</t>
        </is>
      </c>
    </row>
    <row r="2" ht="24" customFormat="1" customHeight="1" s="576" thickBot="1">
      <c r="B2" s="216" t="inlineStr">
        <is>
          <t>CAMPEONATO DE MARCAS LA RINCONADA</t>
        </is>
      </c>
      <c r="C2" s="217" t="n"/>
      <c r="D2" s="217" t="n"/>
      <c r="E2" s="217" t="n"/>
      <c r="F2" s="217" t="n"/>
      <c r="G2" s="217" t="n"/>
      <c r="H2" s="217" t="n"/>
      <c r="I2" s="217" t="n"/>
      <c r="J2" s="217" t="n"/>
      <c r="K2" s="217" t="n"/>
      <c r="L2" s="217" t="n"/>
      <c r="M2" s="217" t="n"/>
      <c r="N2" s="217" t="n"/>
      <c r="O2" s="217" t="n"/>
      <c r="P2" s="217" t="n"/>
      <c r="Q2" s="217" t="n"/>
      <c r="R2" s="217" t="n"/>
      <c r="S2" s="217" t="n"/>
      <c r="T2" s="217" t="n"/>
      <c r="U2" s="217" t="n"/>
      <c r="V2" s="217" t="n"/>
      <c r="W2" s="217" t="n"/>
      <c r="X2" s="217" t="n"/>
      <c r="Y2" s="217" t="n"/>
      <c r="Z2" s="217" t="n"/>
      <c r="AA2" s="217" t="n"/>
      <c r="AB2" s="217" t="n"/>
      <c r="AC2" s="217" t="n"/>
      <c r="AD2" s="217" t="n"/>
      <c r="AE2" s="217" t="n"/>
      <c r="AF2" s="217" t="n"/>
      <c r="AG2" s="217" t="n"/>
      <c r="AH2" s="217" t="n"/>
      <c r="AI2" s="217" t="n"/>
      <c r="AJ2" s="217" t="n"/>
      <c r="AK2" s="217" t="n"/>
      <c r="AL2" s="217" t="n"/>
      <c r="AM2" s="217" t="n"/>
      <c r="AN2" s="217" t="n"/>
      <c r="AO2" s="217" t="n"/>
      <c r="AP2" s="217" t="n"/>
      <c r="AQ2" s="217" t="n"/>
      <c r="AR2" s="217" t="n"/>
      <c r="AS2" s="217" t="n"/>
      <c r="AT2" s="217" t="n"/>
      <c r="AU2" s="217" t="n"/>
      <c r="AV2" s="217" t="n"/>
      <c r="AW2" s="217" t="n"/>
      <c r="AX2" s="217" t="n"/>
      <c r="AY2" s="217" t="n"/>
      <c r="AZ2" s="217" t="n"/>
      <c r="BA2" s="217" t="n"/>
      <c r="BB2" s="217" t="n"/>
      <c r="BC2" s="217" t="n"/>
      <c r="BD2" s="217" t="n"/>
      <c r="BE2" s="217" t="n"/>
      <c r="BF2" s="217" t="n"/>
      <c r="BG2" s="218" t="n"/>
      <c r="BH2" s="217" t="n"/>
      <c r="BI2" s="217" t="n"/>
      <c r="BJ2" s="217" t="n"/>
      <c r="BK2" s="217" t="n"/>
      <c r="BL2" s="218" t="n"/>
      <c r="BM2" s="217" t="n"/>
      <c r="BN2" s="217" t="n"/>
      <c r="BO2" s="217" t="n"/>
      <c r="BP2" s="217" t="n"/>
      <c r="BQ2" s="217" t="n"/>
      <c r="BR2" s="217" t="n"/>
      <c r="BS2" s="217" t="n"/>
      <c r="BT2" s="217" t="n"/>
      <c r="BU2" s="217" t="n"/>
      <c r="BV2" s="217" t="n"/>
      <c r="BW2" s="217" t="n"/>
      <c r="BX2" s="217" t="n"/>
      <c r="BY2" s="217" t="n"/>
      <c r="BZ2" s="217" t="n"/>
      <c r="CA2" s="217" t="n"/>
      <c r="CB2" s="217" t="n"/>
      <c r="CC2" s="217" t="n"/>
      <c r="CD2" s="217" t="n"/>
      <c r="CE2" s="217" t="n"/>
      <c r="CF2" s="217" t="n"/>
      <c r="CG2" s="217" t="n"/>
      <c r="CH2" s="217" t="n"/>
      <c r="CI2" s="217" t="n"/>
      <c r="CJ2" s="217" t="n"/>
      <c r="CK2" s="217" t="n"/>
      <c r="CL2" s="217" t="n"/>
      <c r="CM2" s="217" t="n"/>
      <c r="CN2" s="217" t="n"/>
      <c r="CO2" s="217" t="n"/>
      <c r="CP2" s="217" t="n"/>
      <c r="CQ2" s="217" t="n"/>
      <c r="CR2" s="217" t="n"/>
      <c r="CS2" s="225" t="n"/>
      <c r="CT2" s="225" t="n"/>
      <c r="CU2" s="217" t="n"/>
      <c r="CV2" s="219" t="n"/>
      <c r="CX2" s="76" t="inlineStr">
        <is>
          <t>MEETING</t>
        </is>
      </c>
      <c r="DA2" s="77" t="inlineStr">
        <is>
          <t>MEETING</t>
        </is>
      </c>
    </row>
    <row r="3" ht="24" customFormat="1" customHeight="1" s="80" thickBot="1">
      <c r="A3" s="576" t="n"/>
      <c r="B3" s="248" t="inlineStr">
        <is>
          <t>FECHA</t>
        </is>
      </c>
      <c r="C3" s="253" t="n"/>
      <c r="D3" s="252">
        <f>CODIGOS_Y_PAGOS[[#Headers],[06/09/2026]]</f>
        <v/>
      </c>
      <c r="E3" s="253" t="n"/>
      <c r="F3" s="248" t="inlineStr">
        <is>
          <t>PARTICIPACION</t>
        </is>
      </c>
      <c r="G3" s="249" t="n"/>
      <c r="H3" s="249" t="n"/>
      <c r="I3" s="249" t="n"/>
      <c r="J3" s="250" t="n"/>
      <c r="K3" s="250" t="n"/>
      <c r="L3" s="250" t="n"/>
      <c r="M3" s="250" t="n"/>
      <c r="N3" s="251" t="n"/>
      <c r="O3" s="243">
        <f>CONTROL!H2</f>
        <v/>
      </c>
      <c r="P3" s="78" t="n"/>
      <c r="Q3" s="78" t="n"/>
      <c r="R3" s="78" t="n"/>
      <c r="S3" s="78" t="n"/>
      <c r="T3" s="569" t="inlineStr">
        <is>
          <t>COMBINACIONES</t>
        </is>
      </c>
      <c r="U3" s="570" t="n"/>
      <c r="V3" s="570" t="n"/>
      <c r="W3" s="570" t="n"/>
      <c r="X3" s="570" t="n"/>
      <c r="Y3" s="570" t="n"/>
      <c r="Z3" s="570" t="n"/>
      <c r="AA3" s="570" t="n"/>
      <c r="AB3" s="564" t="n"/>
      <c r="AC3" s="424">
        <f>COUNTA(BASE01[COD])-COUNTIF(BASE01[TIPO],"NO ENVIÓ")</f>
        <v/>
      </c>
      <c r="AD3" s="462" t="n"/>
      <c r="AE3" s="462" t="n"/>
      <c r="AF3" s="462" t="n"/>
      <c r="AG3" s="463" t="n"/>
      <c r="AH3" s="572" t="inlineStr">
        <is>
          <t>PAGADAS</t>
        </is>
      </c>
      <c r="AI3" s="570" t="n"/>
      <c r="AJ3" s="570" t="n"/>
      <c r="AK3" s="570" t="n"/>
      <c r="AL3" s="570" t="n"/>
      <c r="AM3" s="564" t="n"/>
      <c r="AN3" s="424">
        <f>COUNTIF(BASE01[TIPO],"PREMIO")</f>
        <v/>
      </c>
      <c r="AO3" s="462" t="n"/>
      <c r="AP3" s="462" t="n"/>
      <c r="AQ3" s="462" t="n"/>
      <c r="AR3" s="463" t="n"/>
      <c r="AS3" s="245" t="inlineStr">
        <is>
          <t>RECAUDADO</t>
        </is>
      </c>
      <c r="AT3" s="246" t="n"/>
      <c r="AU3" s="246" t="n"/>
      <c r="AV3" s="246" t="n"/>
      <c r="AW3" s="246" t="n"/>
      <c r="AX3" s="247" t="n"/>
      <c r="AY3" s="243">
        <f>+O3*AN3</f>
        <v/>
      </c>
      <c r="AZ3" s="244" t="n"/>
      <c r="BA3" s="244" t="n"/>
      <c r="BB3" s="244" t="n"/>
      <c r="BC3" s="220" t="n"/>
      <c r="BD3" s="220" t="n"/>
      <c r="BE3" s="220" t="n"/>
      <c r="BF3" s="220" t="n"/>
      <c r="BG3" s="221" t="n"/>
      <c r="BH3" s="220" t="n"/>
      <c r="BI3" s="220" t="n"/>
      <c r="BJ3" s="220" t="n"/>
      <c r="BK3" s="220" t="n"/>
      <c r="BL3" s="221" t="n"/>
      <c r="BM3" s="220" t="n"/>
      <c r="BN3" s="220" t="n"/>
      <c r="BO3" s="220" t="n"/>
      <c r="BP3" s="220" t="n"/>
      <c r="BQ3" s="220" t="n"/>
      <c r="BR3" s="220" t="n"/>
      <c r="BS3" s="220" t="n"/>
      <c r="BT3" s="220" t="n"/>
      <c r="BU3" s="220" t="n"/>
      <c r="BV3" s="220" t="n"/>
      <c r="BW3" s="220" t="n"/>
      <c r="BX3" s="220" t="n"/>
      <c r="BY3" s="220" t="n"/>
      <c r="BZ3" s="220" t="n"/>
      <c r="CA3" s="220" t="n"/>
      <c r="CB3" s="220" t="n"/>
      <c r="CC3" s="220" t="n"/>
      <c r="CD3" s="220" t="n"/>
      <c r="CE3" s="220" t="n"/>
      <c r="CF3" s="220" t="n"/>
      <c r="CG3" s="222" t="inlineStr">
        <is>
          <t>SEMANA 1</t>
        </is>
      </c>
      <c r="CH3" s="222" t="n"/>
      <c r="CI3" s="222" t="n"/>
      <c r="CJ3" s="222" t="n"/>
      <c r="CK3" s="222" t="n"/>
      <c r="CL3" s="222" t="n"/>
      <c r="CM3" s="222" t="n"/>
      <c r="CN3" s="222" t="n"/>
      <c r="CO3" s="222" t="n"/>
      <c r="CP3" s="222" t="n"/>
      <c r="CQ3" s="222" t="n"/>
      <c r="CR3" s="222" t="n"/>
      <c r="CS3" s="226" t="n"/>
      <c r="CT3" s="227" t="n"/>
      <c r="CU3" s="232" t="n"/>
      <c r="CV3" s="233" t="n"/>
      <c r="CW3" s="576" t="n"/>
      <c r="CX3" s="79" t="inlineStr">
        <is>
          <t>NO ENVIÓ</t>
        </is>
      </c>
    </row>
    <row r="4" ht="21" customFormat="1" customHeight="1" s="80" thickBot="1">
      <c r="A4" s="576" t="n"/>
      <c r="B4" s="258">
        <f>COUNTA(F6,K6,P6,U6,Z6,AE6,AJ6,AO6,AT6,AY6,BD6,BI6,BN6,BS6,BX6,CC6)</f>
        <v/>
      </c>
      <c r="C4" s="254" t="inlineStr">
        <is>
          <t>PRUEBAS</t>
        </is>
      </c>
      <c r="D4" s="255" t="inlineStr">
        <is>
          <t xml:space="preserve">ORDEN DE LLEGADA </t>
        </is>
      </c>
      <c r="E4" s="591">
        <f>D5+1</f>
        <v/>
      </c>
      <c r="F4" s="261" t="n"/>
      <c r="G4" s="261" t="n"/>
      <c r="H4" s="262" t="n"/>
      <c r="I4" s="263" t="n"/>
      <c r="J4" s="591">
        <f>E4+1</f>
        <v/>
      </c>
      <c r="K4" s="261" t="n"/>
      <c r="L4" s="261" t="n"/>
      <c r="M4" s="262" t="n"/>
      <c r="N4" s="263" t="n"/>
      <c r="O4" s="591">
        <f>J4+1</f>
        <v/>
      </c>
      <c r="P4" s="261" t="n"/>
      <c r="Q4" s="261" t="n"/>
      <c r="R4" s="262" t="n"/>
      <c r="S4" s="263" t="n"/>
      <c r="T4" s="591">
        <f>O4+1</f>
        <v/>
      </c>
      <c r="U4" s="261" t="n"/>
      <c r="V4" s="261" t="n"/>
      <c r="W4" s="262" t="n"/>
      <c r="X4" s="263" t="n"/>
      <c r="Y4" s="591">
        <f>T4+1</f>
        <v/>
      </c>
      <c r="Z4" s="261" t="n"/>
      <c r="AA4" s="261" t="n"/>
      <c r="AB4" s="262" t="n"/>
      <c r="AC4" s="263" t="n"/>
      <c r="AD4" s="591">
        <f>Y4+1</f>
        <v/>
      </c>
      <c r="AE4" s="261" t="n"/>
      <c r="AF4" s="261" t="n"/>
      <c r="AG4" s="262" t="n"/>
      <c r="AH4" s="263" t="n"/>
      <c r="AI4" s="591">
        <f>AD4+1</f>
        <v/>
      </c>
      <c r="AJ4" s="261" t="n"/>
      <c r="AK4" s="261" t="n"/>
      <c r="AL4" s="262" t="n"/>
      <c r="AM4" s="263" t="n"/>
      <c r="AN4" s="591">
        <f>AI4+1</f>
        <v/>
      </c>
      <c r="AO4" s="261" t="n"/>
      <c r="AP4" s="261" t="n"/>
      <c r="AQ4" s="262" t="n"/>
      <c r="AR4" s="263" t="n"/>
      <c r="AS4" s="591">
        <f>AN4+1</f>
        <v/>
      </c>
      <c r="AT4" s="261" t="n"/>
      <c r="AU4" s="261" t="n"/>
      <c r="AV4" s="262" t="n"/>
      <c r="AW4" s="263" t="n"/>
      <c r="AX4" s="591">
        <f>AS4+1</f>
        <v/>
      </c>
      <c r="AY4" s="261" t="n"/>
      <c r="AZ4" s="261" t="n"/>
      <c r="BA4" s="262" t="n"/>
      <c r="BB4" s="263" t="n"/>
      <c r="BC4" s="591">
        <f>AX4+1</f>
        <v/>
      </c>
      <c r="BD4" s="261" t="n"/>
      <c r="BE4" s="261" t="n"/>
      <c r="BF4" s="262" t="n"/>
      <c r="BG4" s="263" t="n"/>
      <c r="BH4" s="591">
        <f>BC4+1</f>
        <v/>
      </c>
      <c r="BI4" s="261" t="n"/>
      <c r="BJ4" s="261" t="n"/>
      <c r="BK4" s="262" t="n"/>
      <c r="BL4" s="263" t="n"/>
      <c r="BM4" s="591">
        <f>BH4+1</f>
        <v/>
      </c>
      <c r="BN4" s="261" t="n"/>
      <c r="BO4" s="261" t="n"/>
      <c r="BP4" s="262" t="n"/>
      <c r="BQ4" s="263" t="n"/>
      <c r="BR4" s="591">
        <f>BM4+1</f>
        <v/>
      </c>
      <c r="BS4" s="261" t="n"/>
      <c r="BT4" s="261" t="n"/>
      <c r="BU4" s="262" t="n"/>
      <c r="BV4" s="263" t="n"/>
      <c r="BW4" s="591">
        <f>BR4+1</f>
        <v/>
      </c>
      <c r="BX4" s="261" t="n"/>
      <c r="BY4" s="261" t="n"/>
      <c r="BZ4" s="262" t="n"/>
      <c r="CA4" s="263" t="n"/>
      <c r="CB4" s="591">
        <f>BW4+1</f>
        <v/>
      </c>
      <c r="CC4" s="261" t="n"/>
      <c r="CD4" s="261" t="n"/>
      <c r="CE4" s="262" t="n"/>
      <c r="CF4" s="263" t="n"/>
      <c r="CG4" s="223" t="inlineStr">
        <is>
          <t>PORCENTAJE DE ACIERTOS</t>
        </is>
      </c>
      <c r="CH4" s="224" t="n"/>
      <c r="CI4" s="224" t="n"/>
      <c r="CJ4" s="224" t="n"/>
      <c r="CK4" s="224" t="n"/>
      <c r="CL4" s="224" t="n"/>
      <c r="CM4" s="224" t="n"/>
      <c r="CN4" s="224" t="n"/>
      <c r="CO4" s="224" t="n"/>
      <c r="CP4" s="224" t="n"/>
      <c r="CQ4" s="224" t="n"/>
      <c r="CR4" s="224" t="n"/>
      <c r="CS4" s="228" t="n"/>
      <c r="CT4" s="229" t="n"/>
      <c r="CU4" s="234" t="n"/>
      <c r="CV4" s="235" t="n"/>
      <c r="CW4" s="576" t="n"/>
      <c r="CX4" s="79" t="inlineStr">
        <is>
          <t>PENDIENTE</t>
        </is>
      </c>
    </row>
    <row r="5" ht="21" customFormat="1" customHeight="1" s="80" thickBot="1">
      <c r="A5" s="576" t="n"/>
      <c r="B5" s="167">
        <f>ROUNDUP($C$5/2, 0)</f>
        <v/>
      </c>
      <c r="C5" s="168">
        <f>COUNTA('SEM 1'!E8,'SEM 1'!J8,'SEM 1'!O8,'SEM 1'!T8,'SEM 1'!Y8,'SEM 1'!AD8,'SEM 1'!AI8,'SEM 1'!AN8,'SEM 1'!AS8,'SEM 1'!AX8,'SEM 1'!BC8,'SEM 1'!BH8,'SEM 1'!BM8,'SEM 1'!BR8,'SEM 1'!BW8,'SEM 1'!CB8)</f>
        <v/>
      </c>
      <c r="D5" s="434" t="n">
        <v>0</v>
      </c>
      <c r="E5" s="592" t="n">
        <v>8</v>
      </c>
      <c r="F5" s="593" t="n">
        <v>6</v>
      </c>
      <c r="G5" s="594" t="n">
        <v>4</v>
      </c>
      <c r="H5" s="595">
        <f>E5&amp;"SF"</f>
        <v/>
      </c>
      <c r="I5" s="596">
        <f>E5&amp;"F"</f>
        <v/>
      </c>
      <c r="J5" s="597" t="n">
        <v>3</v>
      </c>
      <c r="K5" s="597" t="n">
        <v>8</v>
      </c>
      <c r="L5" s="597" t="n">
        <v>5</v>
      </c>
      <c r="M5" s="598">
        <f>J5&amp;"SF"</f>
        <v/>
      </c>
      <c r="N5" s="599">
        <f>J5&amp;"F"</f>
        <v/>
      </c>
      <c r="O5" s="600" t="n">
        <v>6</v>
      </c>
      <c r="P5" s="597" t="n">
        <v>8</v>
      </c>
      <c r="Q5" s="597" t="n">
        <v>5</v>
      </c>
      <c r="R5" s="598">
        <f>O5&amp;"SF"</f>
        <v/>
      </c>
      <c r="S5" s="599">
        <f>O5&amp;"F"</f>
        <v/>
      </c>
      <c r="T5" s="600" t="n">
        <v>6</v>
      </c>
      <c r="U5" s="597" t="n">
        <v>9</v>
      </c>
      <c r="V5" s="597" t="n">
        <v>7</v>
      </c>
      <c r="W5" s="598">
        <f>T5&amp;"SF"</f>
        <v/>
      </c>
      <c r="X5" s="599">
        <f>T5&amp;"F"</f>
        <v/>
      </c>
      <c r="Y5" s="600" t="n">
        <v>5</v>
      </c>
      <c r="Z5" s="597" t="n">
        <v>8</v>
      </c>
      <c r="AA5" s="597" t="n">
        <v>6</v>
      </c>
      <c r="AB5" s="598">
        <f>Y5&amp;"SF"</f>
        <v/>
      </c>
      <c r="AC5" s="599">
        <f>Y5&amp;"F"</f>
        <v/>
      </c>
      <c r="AD5" s="600" t="n">
        <v>2</v>
      </c>
      <c r="AE5" s="597" t="n">
        <v>5</v>
      </c>
      <c r="AF5" s="597" t="n">
        <v>7</v>
      </c>
      <c r="AG5" s="598">
        <f>AD5&amp;"SF"</f>
        <v/>
      </c>
      <c r="AH5" s="599">
        <f>AD5&amp;"F"</f>
        <v/>
      </c>
      <c r="AI5" s="600" t="n">
        <v>4</v>
      </c>
      <c r="AJ5" s="597" t="n">
        <v>3</v>
      </c>
      <c r="AK5" s="597" t="n">
        <v>6</v>
      </c>
      <c r="AL5" s="598">
        <f>AI5&amp;"SF"</f>
        <v/>
      </c>
      <c r="AM5" s="599">
        <f>AI5&amp;"F"</f>
        <v/>
      </c>
      <c r="AN5" s="600" t="n">
        <v>5</v>
      </c>
      <c r="AO5" s="597" t="n">
        <v>6</v>
      </c>
      <c r="AP5" s="597" t="n">
        <v>4</v>
      </c>
      <c r="AQ5" s="598">
        <f>AN5&amp;"SF"</f>
        <v/>
      </c>
      <c r="AR5" s="599">
        <f>AN5&amp;"F"</f>
        <v/>
      </c>
      <c r="AS5" s="600" t="n">
        <v>4</v>
      </c>
      <c r="AT5" s="597" t="n">
        <v>1</v>
      </c>
      <c r="AU5" s="597" t="n">
        <v>7</v>
      </c>
      <c r="AV5" s="598">
        <f>AS5&amp;"SF"</f>
        <v/>
      </c>
      <c r="AW5" s="599">
        <f>AS5&amp;"F"</f>
        <v/>
      </c>
      <c r="AX5" s="600" t="n">
        <v>1</v>
      </c>
      <c r="AY5" s="597" t="n">
        <v>2</v>
      </c>
      <c r="AZ5" s="597" t="n">
        <v>7</v>
      </c>
      <c r="BA5" s="598">
        <f>AX5&amp;"SF"</f>
        <v/>
      </c>
      <c r="BB5" s="599">
        <f>AX5&amp;"F"</f>
        <v/>
      </c>
      <c r="BC5" s="600" t="n">
        <v>4</v>
      </c>
      <c r="BD5" s="597" t="n">
        <v>2</v>
      </c>
      <c r="BE5" s="597" t="n">
        <v>7</v>
      </c>
      <c r="BF5" s="598">
        <f>BC5&amp;"SF"</f>
        <v/>
      </c>
      <c r="BG5" s="599">
        <f>BC5&amp;"F"</f>
        <v/>
      </c>
      <c r="BH5" s="600" t="n">
        <v>2</v>
      </c>
      <c r="BI5" s="597" t="n">
        <v>6</v>
      </c>
      <c r="BJ5" s="597" t="n">
        <v>5</v>
      </c>
      <c r="BK5" s="598">
        <f>BH5&amp;"SF"</f>
        <v/>
      </c>
      <c r="BL5" s="599">
        <f>$BH$5&amp;"F"</f>
        <v/>
      </c>
      <c r="BM5" s="600" t="n">
        <v>3</v>
      </c>
      <c r="BN5" s="597" t="n">
        <v>9</v>
      </c>
      <c r="BO5" s="597" t="n">
        <v>2</v>
      </c>
      <c r="BP5" s="598">
        <f>BM5&amp;"SF"</f>
        <v/>
      </c>
      <c r="BQ5" s="599">
        <f>BM5&amp;"F"</f>
        <v/>
      </c>
      <c r="BR5" s="600" t="inlineStr">
        <is>
          <t>-</t>
        </is>
      </c>
      <c r="BS5" s="597" t="n"/>
      <c r="BT5" s="597" t="n"/>
      <c r="BU5" s="598">
        <f>BR5&amp;"SF"</f>
        <v/>
      </c>
      <c r="BV5" s="599">
        <f>BR5&amp;"F"</f>
        <v/>
      </c>
      <c r="BW5" s="600" t="inlineStr">
        <is>
          <t>-</t>
        </is>
      </c>
      <c r="BX5" s="597" t="n"/>
      <c r="BY5" s="597" t="n"/>
      <c r="BZ5" s="598">
        <f>BW5&amp;"SF"</f>
        <v/>
      </c>
      <c r="CA5" s="599">
        <f>BW5&amp;"F"</f>
        <v/>
      </c>
      <c r="CB5" s="600" t="inlineStr">
        <is>
          <t>-</t>
        </is>
      </c>
      <c r="CC5" s="597" t="n"/>
      <c r="CD5" s="597" t="n"/>
      <c r="CE5" s="598">
        <f>CB5&amp;"SF"</f>
        <v/>
      </c>
      <c r="CF5" s="599">
        <f>CB5&amp;"F"</f>
        <v/>
      </c>
      <c r="CG5" s="153" t="n"/>
      <c r="CH5" s="154" t="n"/>
      <c r="CI5" s="154" t="n"/>
      <c r="CJ5" s="154" t="n"/>
      <c r="CK5" s="154" t="n"/>
      <c r="CL5" s="154" t="n"/>
      <c r="CM5" s="154" t="n"/>
      <c r="CN5" s="154" t="n"/>
      <c r="CO5" s="154" t="n"/>
      <c r="CP5" s="154" t="n"/>
      <c r="CQ5" s="154" t="n"/>
      <c r="CR5" s="154" t="n"/>
      <c r="CS5" s="515" t="inlineStr">
        <is>
          <t>PREMIO</t>
        </is>
      </c>
      <c r="CT5" s="231" t="n"/>
      <c r="CU5" s="278">
        <f>(AY3*80%)/3</f>
        <v/>
      </c>
      <c r="CV5" s="236" t="n"/>
      <c r="CW5" s="576" t="n"/>
    </row>
    <row r="6" ht="21" customFormat="1" customHeight="1" s="80">
      <c r="A6" s="576" t="n"/>
      <c r="B6" s="259">
        <f>COUNTA(F6,Z6,AY6)</f>
        <v/>
      </c>
      <c r="C6" s="257" t="inlineStr">
        <is>
          <t>FIJAS</t>
        </is>
      </c>
      <c r="D6" s="256" t="n"/>
      <c r="E6" s="264" t="inlineStr">
        <is>
          <t>DIV</t>
        </is>
      </c>
      <c r="F6" s="265" t="n">
        <v>259.28</v>
      </c>
      <c r="G6" s="266" t="n"/>
      <c r="H6" s="266" t="n"/>
      <c r="I6" s="267" t="n"/>
      <c r="J6" s="268" t="inlineStr">
        <is>
          <t>DIV</t>
        </is>
      </c>
      <c r="K6" s="269" t="n">
        <v>211.39</v>
      </c>
      <c r="L6" s="270" t="n"/>
      <c r="M6" s="270" t="n"/>
      <c r="N6" s="271" t="n"/>
      <c r="O6" s="272" t="inlineStr">
        <is>
          <t>DIV</t>
        </is>
      </c>
      <c r="P6" s="269" t="n">
        <v>298.11</v>
      </c>
      <c r="Q6" s="270" t="n"/>
      <c r="R6" s="270" t="n"/>
      <c r="S6" s="271" t="n"/>
      <c r="T6" s="272" t="inlineStr">
        <is>
          <t>DIV</t>
        </is>
      </c>
      <c r="U6" s="269" t="n">
        <v>110</v>
      </c>
      <c r="V6" s="270" t="n"/>
      <c r="W6" s="270" t="n"/>
      <c r="X6" s="271" t="n"/>
      <c r="Y6" s="272" t="inlineStr">
        <is>
          <t>DIV</t>
        </is>
      </c>
      <c r="Z6" s="269" t="n">
        <v>110</v>
      </c>
      <c r="AA6" s="270" t="n"/>
      <c r="AB6" s="270" t="n"/>
      <c r="AC6" s="271" t="n"/>
      <c r="AD6" s="272" t="inlineStr">
        <is>
          <t>DIV</t>
        </is>
      </c>
      <c r="AE6" s="269" t="n">
        <v>232.48</v>
      </c>
      <c r="AF6" s="270" t="n"/>
      <c r="AG6" s="270" t="n"/>
      <c r="AH6" s="271" t="n"/>
      <c r="AI6" s="272" t="inlineStr">
        <is>
          <t>DIV</t>
        </is>
      </c>
      <c r="AJ6" s="269" t="n">
        <v>183.74</v>
      </c>
      <c r="AK6" s="270" t="n"/>
      <c r="AL6" s="270" t="n"/>
      <c r="AM6" s="271" t="n"/>
      <c r="AN6" s="272" t="inlineStr">
        <is>
          <t>DIV</t>
        </is>
      </c>
      <c r="AO6" s="269" t="n">
        <v>802.92</v>
      </c>
      <c r="AP6" s="270" t="n"/>
      <c r="AQ6" s="270" t="n"/>
      <c r="AR6" s="271" t="n"/>
      <c r="AS6" s="272" t="inlineStr">
        <is>
          <t>DIV</t>
        </is>
      </c>
      <c r="AT6" s="269" t="n">
        <v>3121.92</v>
      </c>
      <c r="AU6" s="270" t="n"/>
      <c r="AV6" s="270" t="n"/>
      <c r="AW6" s="271" t="n"/>
      <c r="AX6" s="272" t="inlineStr">
        <is>
          <t>DIV</t>
        </is>
      </c>
      <c r="AY6" s="269" t="n">
        <v>235.64</v>
      </c>
      <c r="AZ6" s="270" t="n"/>
      <c r="BA6" s="270" t="n"/>
      <c r="BB6" s="271" t="n"/>
      <c r="BC6" s="272" t="inlineStr">
        <is>
          <t>DIV</t>
        </is>
      </c>
      <c r="BD6" s="269" t="n">
        <v>184.94</v>
      </c>
      <c r="BE6" s="270" t="n"/>
      <c r="BF6" s="270" t="n"/>
      <c r="BG6" s="273" t="n"/>
      <c r="BH6" s="272" t="inlineStr">
        <is>
          <t>DIV</t>
        </is>
      </c>
      <c r="BI6" s="269" t="n">
        <v>532.8099999999999</v>
      </c>
      <c r="BJ6" s="270" t="n"/>
      <c r="BK6" s="270" t="n"/>
      <c r="BL6" s="273" t="n"/>
      <c r="BM6" s="272" t="inlineStr">
        <is>
          <t>DIV</t>
        </is>
      </c>
      <c r="BN6" s="269" t="n">
        <v>272.76</v>
      </c>
      <c r="BO6" s="270" t="n"/>
      <c r="BP6" s="270" t="n"/>
      <c r="BQ6" s="271" t="n"/>
      <c r="BR6" s="272" t="inlineStr">
        <is>
          <t>DIV</t>
        </is>
      </c>
      <c r="BS6" s="269" t="n"/>
      <c r="BT6" s="270" t="n"/>
      <c r="BU6" s="270" t="n"/>
      <c r="BV6" s="271" t="n"/>
      <c r="BW6" s="272" t="inlineStr">
        <is>
          <t>DIV</t>
        </is>
      </c>
      <c r="BX6" s="269" t="n"/>
      <c r="BY6" s="270" t="n"/>
      <c r="BZ6" s="270" t="n"/>
      <c r="CA6" s="271" t="n"/>
      <c r="CB6" s="272" t="inlineStr">
        <is>
          <t>DIV</t>
        </is>
      </c>
      <c r="CC6" s="269" t="n"/>
      <c r="CD6" s="270" t="n"/>
      <c r="CE6" s="270" t="n"/>
      <c r="CF6" s="271" t="n"/>
      <c r="CG6" s="240" t="inlineStr">
        <is>
          <t>UNA MARCA</t>
        </is>
      </c>
      <c r="CH6" s="241" t="n"/>
      <c r="CI6" s="242" t="n"/>
      <c r="CJ6" s="240" t="inlineStr">
        <is>
          <t>DOS MARCAS</t>
        </is>
      </c>
      <c r="CK6" s="241" t="n"/>
      <c r="CL6" s="242" t="n"/>
      <c r="CM6" s="240" t="inlineStr">
        <is>
          <t>TRES MARCAS</t>
        </is>
      </c>
      <c r="CN6" s="241" t="n"/>
      <c r="CO6" s="242" t="n"/>
      <c r="CP6" s="237" t="inlineStr">
        <is>
          <t>FIJAS</t>
        </is>
      </c>
      <c r="CQ6" s="238" t="n"/>
      <c r="CR6" s="239" t="n"/>
      <c r="CS6" s="280" t="inlineStr">
        <is>
          <t>SEMANA</t>
        </is>
      </c>
      <c r="CT6" s="281" t="inlineStr">
        <is>
          <t>VIENEN</t>
        </is>
      </c>
      <c r="CU6" s="279" t="inlineStr">
        <is>
          <t>GENERAL</t>
        </is>
      </c>
      <c r="CV6" s="279" t="inlineStr">
        <is>
          <t>PAGO</t>
        </is>
      </c>
      <c r="CW6" s="576" t="n"/>
      <c r="DB6" s="400" t="inlineStr">
        <is>
          <t>ACIERTO DE FIJAS</t>
        </is>
      </c>
      <c r="DC6" s="400" t="n"/>
      <c r="DD6" s="400" t="n"/>
      <c r="DE6" s="400" t="n"/>
      <c r="DF6" s="400" t="n"/>
      <c r="DG6" s="400" t="n"/>
      <c r="DH6" s="400" t="n"/>
      <c r="DI6" s="400" t="n"/>
      <c r="DJ6" s="400" t="n"/>
      <c r="DK6" s="400" t="n"/>
      <c r="DL6" s="400" t="n"/>
      <c r="DM6" s="400" t="n"/>
      <c r="DN6" s="400" t="n"/>
      <c r="DO6" s="400" t="n"/>
      <c r="DP6" s="400" t="n"/>
      <c r="DQ6" s="400" t="n"/>
      <c r="DR6" s="400" t="n"/>
      <c r="DT6" s="397" t="inlineStr">
        <is>
          <t>ACIERTO DE SUPERFIJAS</t>
        </is>
      </c>
      <c r="DU6" s="398" t="n"/>
      <c r="DV6" s="398" t="n"/>
      <c r="DW6" s="398" t="n"/>
      <c r="DX6" s="398" t="n"/>
      <c r="DY6" s="398" t="n"/>
      <c r="DZ6" s="398" t="n"/>
      <c r="EA6" s="398" t="n"/>
      <c r="EB6" s="398" t="n"/>
      <c r="EC6" s="398" t="n"/>
      <c r="ED6" s="398" t="n"/>
      <c r="EE6" s="398" t="n"/>
      <c r="EF6" s="398" t="n"/>
      <c r="EG6" s="398" t="n"/>
      <c r="EH6" s="398" t="n"/>
      <c r="EI6" s="398" t="n"/>
      <c r="EJ6" s="399" t="n"/>
    </row>
    <row r="7" ht="27.75" customHeight="1" s="568">
      <c r="A7" s="576" t="n"/>
      <c r="B7" s="81" t="inlineStr">
        <is>
          <t>0</t>
        </is>
      </c>
      <c r="C7" s="82" t="inlineStr">
        <is>
          <t>COD</t>
        </is>
      </c>
      <c r="D7" s="82" t="inlineStr">
        <is>
          <t>TIPO</t>
        </is>
      </c>
      <c r="E7" s="83" t="inlineStr">
        <is>
          <t>1</t>
        </is>
      </c>
      <c r="F7" s="83" t="inlineStr">
        <is>
          <t>2</t>
        </is>
      </c>
      <c r="G7" s="83" t="inlineStr">
        <is>
          <t>22</t>
        </is>
      </c>
      <c r="H7" s="83" t="inlineStr">
        <is>
          <t>3</t>
        </is>
      </c>
      <c r="I7" s="83" t="inlineStr">
        <is>
          <t>PTS</t>
        </is>
      </c>
      <c r="J7" s="83" t="inlineStr">
        <is>
          <t>12</t>
        </is>
      </c>
      <c r="K7" s="83" t="inlineStr">
        <is>
          <t>Columna2</t>
        </is>
      </c>
      <c r="L7" s="83" t="inlineStr">
        <is>
          <t>Columna23</t>
        </is>
      </c>
      <c r="M7" s="83" t="inlineStr">
        <is>
          <t>Columna28</t>
        </is>
      </c>
      <c r="N7" s="83" t="inlineStr">
        <is>
          <t>Columna3</t>
        </is>
      </c>
      <c r="O7" s="83" t="inlineStr">
        <is>
          <t>Columna4</t>
        </is>
      </c>
      <c r="P7" s="83" t="inlineStr">
        <is>
          <t>Columna5</t>
        </is>
      </c>
      <c r="Q7" s="83" t="inlineStr">
        <is>
          <t>Columna53</t>
        </is>
      </c>
      <c r="R7" s="83" t="inlineStr">
        <is>
          <t>Columna52</t>
        </is>
      </c>
      <c r="S7" s="83" t="inlineStr">
        <is>
          <t>Columna6</t>
        </is>
      </c>
      <c r="T7" s="83" t="inlineStr">
        <is>
          <t>Columna7</t>
        </is>
      </c>
      <c r="U7" s="83" t="inlineStr">
        <is>
          <t>Columna8</t>
        </is>
      </c>
      <c r="V7" s="83" t="inlineStr">
        <is>
          <t>Columna83</t>
        </is>
      </c>
      <c r="W7" s="83" t="inlineStr">
        <is>
          <t>Columna82</t>
        </is>
      </c>
      <c r="X7" s="83" t="inlineStr">
        <is>
          <t>Columna9</t>
        </is>
      </c>
      <c r="Y7" s="83" t="inlineStr">
        <is>
          <t>Columna10</t>
        </is>
      </c>
      <c r="Z7" s="83" t="inlineStr">
        <is>
          <t>Columna11</t>
        </is>
      </c>
      <c r="AA7" s="83" t="inlineStr">
        <is>
          <t>Columna113</t>
        </is>
      </c>
      <c r="AB7" s="83" t="inlineStr">
        <is>
          <t>Columna112</t>
        </is>
      </c>
      <c r="AC7" s="83" t="inlineStr">
        <is>
          <t>Columna12</t>
        </is>
      </c>
      <c r="AD7" s="83" t="inlineStr">
        <is>
          <t>1RA</t>
        </is>
      </c>
      <c r="AE7" s="83" t="inlineStr">
        <is>
          <t>2DA</t>
        </is>
      </c>
      <c r="AF7" s="83" t="inlineStr">
        <is>
          <t>2DA2</t>
        </is>
      </c>
      <c r="AG7" s="83" t="inlineStr">
        <is>
          <t>3RA</t>
        </is>
      </c>
      <c r="AH7" s="83" t="inlineStr">
        <is>
          <t>Columna15</t>
        </is>
      </c>
      <c r="AI7" s="83" t="inlineStr">
        <is>
          <t>Columna16</t>
        </is>
      </c>
      <c r="AJ7" s="83" t="inlineStr">
        <is>
          <t>Columna17</t>
        </is>
      </c>
      <c r="AK7" s="83" t="inlineStr">
        <is>
          <t>Columna173</t>
        </is>
      </c>
      <c r="AL7" s="83" t="inlineStr">
        <is>
          <t>Columna172</t>
        </is>
      </c>
      <c r="AM7" s="83" t="inlineStr">
        <is>
          <t>Columna18</t>
        </is>
      </c>
      <c r="AN7" s="83" t="inlineStr">
        <is>
          <t>123</t>
        </is>
      </c>
      <c r="AO7" s="83" t="inlineStr">
        <is>
          <t>555</t>
        </is>
      </c>
      <c r="AP7" s="83" t="inlineStr">
        <is>
          <t>556</t>
        </is>
      </c>
      <c r="AQ7" s="83" t="inlineStr">
        <is>
          <t>111</t>
        </is>
      </c>
      <c r="AR7" s="83" t="inlineStr">
        <is>
          <t>Columna21</t>
        </is>
      </c>
      <c r="AS7" s="81" t="inlineStr">
        <is>
          <t>AAAA</t>
        </is>
      </c>
      <c r="AT7" s="81" t="inlineStr">
        <is>
          <t>BBBB</t>
        </is>
      </c>
      <c r="AU7" s="81" t="inlineStr">
        <is>
          <t>Columna13</t>
        </is>
      </c>
      <c r="AV7" s="81" t="inlineStr">
        <is>
          <t>CCCC</t>
        </is>
      </c>
      <c r="AW7" s="81" t="inlineStr">
        <is>
          <t>Columna24</t>
        </is>
      </c>
      <c r="AX7" s="84" t="inlineStr">
        <is>
          <t>Columna25</t>
        </is>
      </c>
      <c r="AY7" s="85" t="inlineStr">
        <is>
          <t>Columna26</t>
        </is>
      </c>
      <c r="AZ7" s="86" t="inlineStr">
        <is>
          <t>Columna263</t>
        </is>
      </c>
      <c r="BA7" s="86" t="inlineStr">
        <is>
          <t>Columna262</t>
        </is>
      </c>
      <c r="BB7" s="87" t="inlineStr">
        <is>
          <t>Columna27</t>
        </is>
      </c>
      <c r="BC7" s="86" t="inlineStr">
        <is>
          <t>Columna272</t>
        </is>
      </c>
      <c r="BD7" s="86" t="inlineStr">
        <is>
          <t>Columna273</t>
        </is>
      </c>
      <c r="BE7" s="86" t="inlineStr">
        <is>
          <t>Columna2732</t>
        </is>
      </c>
      <c r="BF7" s="86" t="inlineStr">
        <is>
          <t>Columna274</t>
        </is>
      </c>
      <c r="BG7" s="86" t="inlineStr">
        <is>
          <t>Columna275</t>
        </is>
      </c>
      <c r="BH7" s="86" t="inlineStr">
        <is>
          <t>Columna276</t>
        </is>
      </c>
      <c r="BI7" s="86" t="inlineStr">
        <is>
          <t>Columna277</t>
        </is>
      </c>
      <c r="BJ7" s="86" t="inlineStr">
        <is>
          <t>Columna2772</t>
        </is>
      </c>
      <c r="BK7" s="86" t="inlineStr">
        <is>
          <t>Columna278</t>
        </is>
      </c>
      <c r="BL7" s="86" t="inlineStr">
        <is>
          <t>Columna279</t>
        </is>
      </c>
      <c r="BM7" s="86" t="inlineStr">
        <is>
          <t>Columna280</t>
        </is>
      </c>
      <c r="BN7" s="86" t="inlineStr">
        <is>
          <t>Columna281</t>
        </is>
      </c>
      <c r="BO7" s="86" t="inlineStr">
        <is>
          <t>Columna2812</t>
        </is>
      </c>
      <c r="BP7" s="86" t="inlineStr">
        <is>
          <t>Columna282</t>
        </is>
      </c>
      <c r="BQ7" s="86" t="inlineStr">
        <is>
          <t>Columna283</t>
        </is>
      </c>
      <c r="BR7" s="86" t="inlineStr">
        <is>
          <t>Columna2802</t>
        </is>
      </c>
      <c r="BS7" s="86" t="inlineStr">
        <is>
          <t>Columna2813</t>
        </is>
      </c>
      <c r="BT7" s="86" t="inlineStr">
        <is>
          <t>Columna28124</t>
        </is>
      </c>
      <c r="BU7" s="86" t="inlineStr">
        <is>
          <t>Columna2825</t>
        </is>
      </c>
      <c r="BV7" s="86" t="inlineStr">
        <is>
          <t>Columna28310</t>
        </is>
      </c>
      <c r="BW7" s="86" t="inlineStr">
        <is>
          <t>Columna2803</t>
        </is>
      </c>
      <c r="BX7" s="86" t="inlineStr">
        <is>
          <t>Columna2814</t>
        </is>
      </c>
      <c r="BY7" s="86" t="inlineStr">
        <is>
          <t>Columna28125</t>
        </is>
      </c>
      <c r="BZ7" s="86" t="inlineStr">
        <is>
          <t>Columna2826</t>
        </is>
      </c>
      <c r="CA7" s="86" t="inlineStr">
        <is>
          <t>Columna2837</t>
        </is>
      </c>
      <c r="CB7" s="86" t="inlineStr">
        <is>
          <t>Columna2804</t>
        </is>
      </c>
      <c r="CC7" s="86" t="inlineStr">
        <is>
          <t>Columna2815</t>
        </is>
      </c>
      <c r="CD7" s="86" t="inlineStr">
        <is>
          <t>Columna28126</t>
        </is>
      </c>
      <c r="CE7" s="86" t="inlineStr">
        <is>
          <t>Columna2827</t>
        </is>
      </c>
      <c r="CF7" s="86" t="inlineStr">
        <is>
          <t>Columna2838</t>
        </is>
      </c>
      <c r="CG7" s="88" t="inlineStr">
        <is>
          <t>Columna14</t>
        </is>
      </c>
      <c r="CH7" s="88" t="inlineStr">
        <is>
          <t>Columna19</t>
        </is>
      </c>
      <c r="CI7" s="89" t="inlineStr">
        <is>
          <t>Columna20</t>
        </is>
      </c>
      <c r="CJ7" s="88" t="inlineStr">
        <is>
          <t>Columna29</t>
        </is>
      </c>
      <c r="CK7" s="88" t="inlineStr">
        <is>
          <t>Columna30</t>
        </is>
      </c>
      <c r="CL7" s="89" t="inlineStr">
        <is>
          <t>Columna31</t>
        </is>
      </c>
      <c r="CM7" s="90" t="inlineStr">
        <is>
          <t>Columna32</t>
        </is>
      </c>
      <c r="CN7" s="88" t="inlineStr">
        <is>
          <t>Columna34</t>
        </is>
      </c>
      <c r="CO7" s="89" t="inlineStr">
        <is>
          <t>Columna35</t>
        </is>
      </c>
      <c r="CP7" s="90" t="inlineStr">
        <is>
          <t>Columna36</t>
        </is>
      </c>
      <c r="CQ7" s="88" t="inlineStr">
        <is>
          <t>Columna37</t>
        </is>
      </c>
      <c r="CR7" s="88" t="inlineStr">
        <is>
          <t>Columna38</t>
        </is>
      </c>
      <c r="CS7" s="91" t="inlineStr">
        <is>
          <t>Columna1</t>
        </is>
      </c>
      <c r="CT7" s="91" t="inlineStr">
        <is>
          <t>Columna22</t>
        </is>
      </c>
      <c r="CU7" s="91" t="inlineStr">
        <is>
          <t>Columna33</t>
        </is>
      </c>
      <c r="CV7" s="81" t="inlineStr">
        <is>
          <t>Columna44</t>
        </is>
      </c>
      <c r="CW7" s="576" t="n"/>
      <c r="CY7" t="inlineStr">
        <is>
          <t>CARRERA</t>
        </is>
      </c>
      <c r="CZ7" t="inlineStr">
        <is>
          <t>DIVIDENDO</t>
        </is>
      </c>
      <c r="DB7" s="401" t="inlineStr">
        <is>
          <t>CODIGO</t>
        </is>
      </c>
      <c r="DC7" s="402" t="n">
        <v>1</v>
      </c>
      <c r="DD7" s="401" t="n">
        <v>2</v>
      </c>
      <c r="DE7" s="401" t="n">
        <v>3</v>
      </c>
      <c r="DF7" s="401" t="n">
        <v>4</v>
      </c>
      <c r="DG7" s="401" t="n">
        <v>5</v>
      </c>
      <c r="DH7" s="401" t="n">
        <v>6</v>
      </c>
      <c r="DI7" s="401" t="n">
        <v>7</v>
      </c>
      <c r="DJ7" s="401" t="n">
        <v>8</v>
      </c>
      <c r="DK7" s="401" t="n">
        <v>9</v>
      </c>
      <c r="DL7" s="401" t="n">
        <v>10</v>
      </c>
      <c r="DM7" s="401" t="n">
        <v>11</v>
      </c>
      <c r="DN7" s="401" t="n">
        <v>12</v>
      </c>
      <c r="DO7" s="401" t="n">
        <v>13</v>
      </c>
      <c r="DP7" s="401" t="n">
        <v>14</v>
      </c>
      <c r="DQ7" s="401" t="n">
        <v>15</v>
      </c>
      <c r="DR7" s="401" t="n">
        <v>16</v>
      </c>
      <c r="DT7" s="401" t="inlineStr">
        <is>
          <t>CODIGO</t>
        </is>
      </c>
      <c r="DU7" s="402" t="n">
        <v>1</v>
      </c>
      <c r="DV7" s="401" t="n">
        <v>2</v>
      </c>
      <c r="DW7" s="401" t="n">
        <v>3</v>
      </c>
      <c r="DX7" s="401" t="n">
        <v>4</v>
      </c>
      <c r="DY7" s="401" t="n">
        <v>5</v>
      </c>
      <c r="DZ7" s="401" t="n">
        <v>6</v>
      </c>
      <c r="EA7" s="401" t="n">
        <v>7</v>
      </c>
      <c r="EB7" s="401" t="n">
        <v>8</v>
      </c>
      <c r="EC7" s="401" t="n">
        <v>9</v>
      </c>
      <c r="ED7" s="401" t="n">
        <v>10</v>
      </c>
      <c r="EE7" s="401" t="n">
        <v>11</v>
      </c>
      <c r="EF7" s="401" t="n">
        <v>12</v>
      </c>
      <c r="EG7" s="401" t="n">
        <v>13</v>
      </c>
      <c r="EH7" s="401" t="n">
        <v>14</v>
      </c>
      <c r="EI7" s="401" t="n">
        <v>15</v>
      </c>
      <c r="EJ7" s="401" t="n">
        <v>16</v>
      </c>
    </row>
    <row r="8" ht="20.1" customHeight="1" s="568">
      <c r="A8" s="576" t="n"/>
      <c r="B8" s="92">
        <f>IF(BASE01[[#This Row],[COD]]&lt;&gt;"",B7+1,"")</f>
        <v/>
      </c>
      <c r="C8" s="601" t="inlineStr">
        <is>
          <t>COD 01</t>
        </is>
      </c>
      <c r="D8" s="93">
        <f t="array" ref="D8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8" s="145" t="n">
        <v>6</v>
      </c>
      <c r="F8" s="147" t="n">
        <v>1</v>
      </c>
      <c r="G8" s="147" t="n">
        <v>8</v>
      </c>
      <c r="H8" s="147" t="n"/>
      <c r="I8" s="602">
        <f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f>
        <v/>
      </c>
      <c r="J8" s="145" t="n">
        <v>8</v>
      </c>
      <c r="K8" s="147" t="n">
        <v>3</v>
      </c>
      <c r="L8" s="147" t="n">
        <v>5</v>
      </c>
      <c r="M8" s="147" t="n"/>
      <c r="N8" s="602">
        <f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f>
        <v/>
      </c>
      <c r="O8" s="145" t="n">
        <v>2</v>
      </c>
      <c r="P8" s="147" t="n">
        <v>1</v>
      </c>
      <c r="Q8" s="147" t="n">
        <v>6</v>
      </c>
      <c r="R8" s="147" t="n"/>
      <c r="S8" s="602">
        <f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f>
        <v/>
      </c>
      <c r="T8" s="145" t="n">
        <v>6</v>
      </c>
      <c r="U8" s="147" t="n">
        <v>2</v>
      </c>
      <c r="V8" s="147" t="n">
        <v>8</v>
      </c>
      <c r="W8" s="147" t="inlineStr">
        <is>
          <t>F</t>
        </is>
      </c>
      <c r="X8" s="602">
        <f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f>
        <v/>
      </c>
      <c r="Y8" s="145" t="n">
        <v>5</v>
      </c>
      <c r="Z8" s="147" t="n">
        <v>3</v>
      </c>
      <c r="AA8" s="147" t="n">
        <v>10</v>
      </c>
      <c r="AB8" s="147" t="n"/>
      <c r="AC8" s="602">
        <f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f>
        <v/>
      </c>
      <c r="AD8" s="145" t="n">
        <v>5</v>
      </c>
      <c r="AE8" s="147" t="n">
        <v>7</v>
      </c>
      <c r="AF8" s="147" t="n">
        <v>2</v>
      </c>
      <c r="AG8" s="147" t="n"/>
      <c r="AH8" s="602">
        <f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f>
        <v/>
      </c>
      <c r="AI8" s="145" t="n">
        <v>3</v>
      </c>
      <c r="AJ8" s="147" t="n">
        <v>1</v>
      </c>
      <c r="AK8" s="147" t="n">
        <v>4</v>
      </c>
      <c r="AL8" s="147" t="n"/>
      <c r="AM8" s="602">
        <f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f>
        <v/>
      </c>
      <c r="AN8" s="145" t="n">
        <v>8</v>
      </c>
      <c r="AO8" s="147" t="n">
        <v>9</v>
      </c>
      <c r="AP8" s="147" t="n">
        <v>7</v>
      </c>
      <c r="AQ8" s="147" t="n"/>
      <c r="AR8" s="602">
        <f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f>
        <v/>
      </c>
      <c r="AS8" s="145" t="n">
        <v>1</v>
      </c>
      <c r="AT8" s="147" t="n"/>
      <c r="AU8" s="147" t="n"/>
      <c r="AV8" s="147" t="inlineStr">
        <is>
          <t>SF</t>
        </is>
      </c>
      <c r="AW8" s="602">
        <f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f>
        <v/>
      </c>
      <c r="AX8" s="145" t="n">
        <v>9</v>
      </c>
      <c r="AY8" s="147" t="n">
        <v>1</v>
      </c>
      <c r="AZ8" s="147" t="n">
        <v>8</v>
      </c>
      <c r="BA8" s="147" t="n"/>
      <c r="BB8" s="602">
        <f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f>
        <v/>
      </c>
      <c r="BC8" s="145" t="n">
        <v>4</v>
      </c>
      <c r="BD8" s="147" t="n">
        <v>6</v>
      </c>
      <c r="BE8" s="147" t="n">
        <v>2</v>
      </c>
      <c r="BF8" s="147" t="n"/>
      <c r="BG8" s="602">
        <f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f>
        <v/>
      </c>
      <c r="BH8" s="145" t="n">
        <v>5</v>
      </c>
      <c r="BI8" s="147" t="n">
        <v>1</v>
      </c>
      <c r="BJ8" s="147" t="n">
        <v>2</v>
      </c>
      <c r="BK8" s="147" t="inlineStr">
        <is>
          <t>F</t>
        </is>
      </c>
      <c r="BL8" s="602">
        <f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f>
        <v/>
      </c>
      <c r="BM8" s="145" t="n">
        <v>1</v>
      </c>
      <c r="BN8" s="147" t="n">
        <v>3</v>
      </c>
      <c r="BO8" s="147" t="n">
        <v>12</v>
      </c>
      <c r="BP8" s="147" t="n"/>
      <c r="BQ8" s="602">
        <f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f>
        <v/>
      </c>
      <c r="BR8" s="145" t="n"/>
      <c r="BS8" s="147" t="n"/>
      <c r="BT8" s="147" t="n"/>
      <c r="BU8" s="147" t="n"/>
      <c r="BV8" s="602">
        <f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f>
        <v/>
      </c>
      <c r="BW8" s="145" t="n"/>
      <c r="BX8" s="147" t="n"/>
      <c r="BY8" s="147" t="n"/>
      <c r="BZ8" s="147" t="n"/>
      <c r="CA8" s="602">
        <f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f>
        <v/>
      </c>
      <c r="CB8" s="145" t="n"/>
      <c r="CC8" s="147" t="n"/>
      <c r="CD8" s="147" t="n"/>
      <c r="CE8" s="147" t="n"/>
      <c r="CF8" s="602">
        <f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f>
        <v/>
      </c>
      <c r="CG8" s="164">
        <f>IF(BASE01[[#This Row],[1]]="",0,$B$4)</f>
        <v/>
      </c>
      <c r="CH8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8" s="166">
        <f>IF(BASE01[[#This Row],[Columna14]]=0,0,(CH8/CG8))</f>
        <v/>
      </c>
      <c r="CJ8" s="165">
        <f>IF(BASE01[[#This Row],[1]]="",0,$B$4)</f>
        <v/>
      </c>
      <c r="CK8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8" s="166">
        <f>IF(BASE01[[#This Row],[Columna14]]=0,0,(CK8/CJ8))</f>
        <v/>
      </c>
      <c r="CM8" s="164">
        <f>IF(BASE01[[#This Row],[1]]="",0,$B$4)</f>
        <v/>
      </c>
      <c r="CN8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8" s="166">
        <f>IF(BASE01[[#This Row],[Columna14]]=0,0,(CN8/CM8))</f>
        <v/>
      </c>
      <c r="CP8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8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Row],[Columna25]],$AX$5,BA8,"SF")+COUNTIFS(BASE01[[#This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8" s="166">
        <f>IF(BASE01[[#This Row],[Columna14]]=0,0,(CQ8/CP8))</f>
        <v/>
      </c>
      <c r="CS8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8" s="95" t="n"/>
      <c r="CU8" s="604">
        <f>SUM(CS8,CT8)</f>
        <v/>
      </c>
      <c r="CV8" s="96">
        <f>IF(BASE01[[#This Row],[TIPO]]="PREMIO",$O$3,"0,00")</f>
        <v/>
      </c>
      <c r="CW8" s="576" t="n"/>
      <c r="CY8" s="393" t="n">
        <v>1</v>
      </c>
      <c r="CZ8" s="354">
        <f>F$6</f>
        <v/>
      </c>
      <c r="DB8" s="605">
        <f>BASE01[[#This Row],[COD]]</f>
        <v/>
      </c>
      <c r="DC8" s="395">
        <f t="array" ref="DC8">IFERROR(IF(AND(INDEX($E$8:$CE$57, MATCH($C8, $C$8:$C$57, 0), (COLUMNS($DC8:DC8)-1)*5 + 1) = INDEX($E$5:$CE$5, 1, (COLUMNS($DC8:DC8)-1)*5 + 1), INDEX($E$8:$CE$57, MATCH($C8, $C$8:$C$57, 0), (COLUMNS($DC8:DC8)-1)*5 + 4) = "F"), INDEX($CZ$8:$CZ$23, COLUMNS($DC8:DC8)), "0"), "")</f>
        <v/>
      </c>
      <c r="DD8" s="395">
        <f t="array" ref="DD8">IFERROR(IF(AND(INDEX($E$8:$CE$57, MATCH($C8, $C$8:$C$57, 0), (COLUMNS($DC8:DD8)-1)*5 + 1) = INDEX($E$5:$CE$5, 1, (COLUMNS($DC8:DD8)-1)*5 + 1), INDEX($E$8:$CE$57, MATCH($C8, $C$8:$C$57, 0), (COLUMNS($DC8:DD8)-1)*5 + 4) = "F"), INDEX($CZ$8:$CZ$23, COLUMNS($DC8:DD8)), "0"), "")</f>
        <v/>
      </c>
      <c r="DE8" s="395">
        <f t="array" ref="DE8">IFERROR(IF(AND(INDEX($E$8:$CE$57, MATCH($C8, $C$8:$C$57, 0), (COLUMNS($DC8:DE8)-1)*5 + 1) = INDEX($E$5:$CE$5, 1, (COLUMNS($DC8:DE8)-1)*5 + 1), INDEX($E$8:$CE$57, MATCH($C8, $C$8:$C$57, 0), (COLUMNS($DC8:DE8)-1)*5 + 4) = "F"), INDEX($CZ$8:$CZ$23, COLUMNS($DC8:DE8)), "0"), "")</f>
        <v/>
      </c>
      <c r="DF8" s="395">
        <f t="array" ref="DF8">IFERROR(IF(AND(INDEX($E$8:$CE$57, MATCH($C8, $C$8:$C$57, 0), (COLUMNS($DC8:DF8)-1)*5 + 1) = INDEX($E$5:$CE$5, 1, (COLUMNS($DC8:DF8)-1)*5 + 1), INDEX($E$8:$CE$57, MATCH($C8, $C$8:$C$57, 0), (COLUMNS($DC8:DF8)-1)*5 + 4) = "F"), INDEX($CZ$8:$CZ$23, COLUMNS($DC8:DF8)), "0"), "")</f>
        <v/>
      </c>
      <c r="DG8" s="395">
        <f t="array" ref="DG8">IFERROR(IF(AND(INDEX($E$8:$CE$57, MATCH($C8, $C$8:$C$57, 0), (COLUMNS($DC8:DG8)-1)*5 + 1) = INDEX($E$5:$CE$5, 1, (COLUMNS($DC8:DG8)-1)*5 + 1), INDEX($E$8:$CE$57, MATCH($C8, $C$8:$C$57, 0), (COLUMNS($DC8:DG8)-1)*5 + 4) = "F"), INDEX($CZ$8:$CZ$23, COLUMNS($DC8:DG8)), "0"), "")</f>
        <v/>
      </c>
      <c r="DH8" s="395">
        <f t="array" ref="DH8">IFERROR(IF(AND(INDEX($E$8:$CE$57, MATCH($C8, $C$8:$C$57, 0), (COLUMNS($DC8:DH8)-1)*5 + 1) = INDEX($E$5:$CE$5, 1, (COLUMNS($DC8:DH8)-1)*5 + 1), INDEX($E$8:$CE$57, MATCH($C8, $C$8:$C$57, 0), (COLUMNS($DC8:DH8)-1)*5 + 4) = "F"), INDEX($CZ$8:$CZ$23, COLUMNS($DC8:DH8)), "0"), "")</f>
        <v/>
      </c>
      <c r="DI8" s="395">
        <f t="array" ref="DI8">IFERROR(IF(AND(INDEX($E$8:$CE$57, MATCH($C8, $C$8:$C$57, 0), (COLUMNS($DC8:DI8)-1)*5 + 1) = INDEX($E$5:$CE$5, 1, (COLUMNS($DC8:DI8)-1)*5 + 1), INDEX($E$8:$CE$57, MATCH($C8, $C$8:$C$57, 0), (COLUMNS($DC8:DI8)-1)*5 + 4) = "F"), INDEX($CZ$8:$CZ$23, COLUMNS($DC8:DI8)), "0"), "")</f>
        <v/>
      </c>
      <c r="DJ8" s="395">
        <f t="array" ref="DJ8">IFERROR(IF(AND(INDEX($E$8:$CE$57, MATCH($C8, $C$8:$C$57, 0), (COLUMNS($DC8:DJ8)-1)*5 + 1) = INDEX($E$5:$CE$5, 1, (COLUMNS($DC8:DJ8)-1)*5 + 1), INDEX($E$8:$CE$57, MATCH($C8, $C$8:$C$57, 0), (COLUMNS($DC8:DJ8)-1)*5 + 4) = "F"), INDEX($CZ$8:$CZ$23, COLUMNS($DC8:DJ8)), "0"), "")</f>
        <v/>
      </c>
      <c r="DK8" s="395">
        <f t="array" ref="DK8">IFERROR(IF(AND(INDEX($E$8:$CE$57, MATCH($C8, $C$8:$C$57, 0), (COLUMNS($DC8:DK8)-1)*5 + 1) = INDEX($E$5:$CE$5, 1, (COLUMNS($DC8:DK8)-1)*5 + 1), INDEX($E$8:$CE$57, MATCH($C8, $C$8:$C$57, 0), (COLUMNS($DC8:DK8)-1)*5 + 4) = "F"), INDEX($CZ$8:$CZ$23, COLUMNS($DC8:DK8)), "0"), "")</f>
        <v/>
      </c>
      <c r="DL8" s="395">
        <f t="array" ref="DL8">IFERROR(IF(AND(INDEX($E$8:$CE$57, MATCH($C8, $C$8:$C$57, 0), (COLUMNS($DC8:DL8)-1)*5 + 1) = INDEX($E$5:$CE$5, 1, (COLUMNS($DC8:DL8)-1)*5 + 1), INDEX($E$8:$CE$57, MATCH($C8, $C$8:$C$57, 0), (COLUMNS($DC8:DL8)-1)*5 + 4) = "F"), INDEX($CZ$8:$CZ$23, COLUMNS($DC8:DL8)), "0"), "")</f>
        <v/>
      </c>
      <c r="DM8" s="395">
        <f t="array" ref="DM8">IFERROR(IF(AND(INDEX($E$8:$CE$57, MATCH($C8, $C$8:$C$57, 0), (COLUMNS($DC8:DM8)-1)*5 + 1) = INDEX($E$5:$CE$5, 1, (COLUMNS($DC8:DM8)-1)*5 + 1), INDEX($E$8:$CE$57, MATCH($C8, $C$8:$C$57, 0), (COLUMNS($DC8:DM8)-1)*5 + 4) = "F"), INDEX($CZ$8:$CZ$23, COLUMNS($DC8:DM8)), "0"), "")</f>
        <v/>
      </c>
      <c r="DN8" s="395">
        <f t="array" ref="DN8">IFERROR(IF(AND(INDEX($E$8:$CE$57, MATCH($C8, $C$8:$C$57, 0), (COLUMNS($DC8:DN8)-1)*5 + 1) = INDEX($E$5:$CE$5, 1, (COLUMNS($DC8:DN8)-1)*5 + 1), INDEX($E$8:$CE$57, MATCH($C8, $C$8:$C$57, 0), (COLUMNS($DC8:DN8)-1)*5 + 4) = "F"), INDEX($CZ$8:$CZ$23, COLUMNS($DC8:DN8)), "0"), "")</f>
        <v/>
      </c>
      <c r="DO8" s="395">
        <f t="array" ref="DO8">IFERROR(IF(AND(INDEX($E$8:$CE$57, MATCH($C8, $C$8:$C$57, 0), (COLUMNS($DC8:DO8)-1)*5 + 1) = INDEX($E$5:$CE$5, 1, (COLUMNS($DC8:DO8)-1)*5 + 1), INDEX($E$8:$CE$57, MATCH($C8, $C$8:$C$57, 0), (COLUMNS($DC8:DO8)-1)*5 + 4) = "F"), INDEX($CZ$8:$CZ$23, COLUMNS($DC8:DO8)), "0"), "")</f>
        <v/>
      </c>
      <c r="DP8" s="395">
        <f t="array" ref="DP8">IFERROR(IF(AND(INDEX($E$8:$CE$57, MATCH($C8, $C$8:$C$57, 0), (COLUMNS($DC8:DP8)-1)*5 + 1) = INDEX($E$5:$CE$5, 1, (COLUMNS($DC8:DP8)-1)*5 + 1), INDEX($E$8:$CE$57, MATCH($C8, $C$8:$C$57, 0), (COLUMNS($DC8:DP8)-1)*5 + 4) = "F"), INDEX($CZ$8:$CZ$23, COLUMNS($DC8:DP8)), "0"), "")</f>
        <v/>
      </c>
      <c r="DQ8" s="395">
        <f t="array" ref="DQ8">IFERROR(IF(AND(INDEX($E$8:$CE$57, MATCH($C8, $C$8:$C$57, 0), (COLUMNS($DC8:DQ8)-1)*5 + 1) = INDEX($E$5:$CE$5, 1, (COLUMNS($DC8:DQ8)-1)*5 + 1), INDEX($E$8:$CE$57, MATCH($C8, $C$8:$C$57, 0), (COLUMNS($DC8:DQ8)-1)*5 + 4) = "F"), INDEX($CZ$8:$CZ$23, COLUMNS($DC8:DQ8)), "0"), "")</f>
        <v/>
      </c>
      <c r="DR8" s="395">
        <f t="array" ref="DR8">IFERROR(IF(AND(INDEX($E$8:$CE$57, MATCH($C8, $C$8:$C$57, 0), (COLUMNS($DC8:DR8)-1)*5 + 1) = INDEX($E$5:$CE$5, 1, (COLUMNS($DC8:DR8)-1)*5 + 1), INDEX($E$8:$CE$57, MATCH($C8, $C$8:$C$57, 0), (COLUMNS($DC8:DR8)-1)*5 + 4) = "F"), INDEX($CZ$8:$CZ$23, COLUMNS($DC8:DR8)), "0"), "")</f>
        <v/>
      </c>
      <c r="DT8" s="605">
        <f>BASE01[[#This Row],[COD]]</f>
        <v/>
      </c>
      <c r="DU8" s="395">
        <f t="array" ref="DU8">IFERROR(IF(AND(INDEX($E$8:$CE$57, MATCH($C8, $C$8:$C$57, 0), (COLUMNS($DU8:DU8)-1)*5 + 1) = INDEX($E$5:$CE$5, 1, (COLUMNS($DU8:DU8)-1)*5 + 1), INDEX($E$8:$CE$57, MATCH($C8, $C$8:$C$57, 0), (COLUMNS($DU8:DU8)-1)*5 + 4) = "SF"), INDEX($CZ$8:$CZ$23, COLUMNS($DU8:DU8)), "0"), "")</f>
        <v/>
      </c>
      <c r="DV8" s="395">
        <f t="array" ref="DV8">IFERROR(IF(AND(INDEX($E$8:$CE$57, MATCH($C8, $C$8:$C$57, 0), (COLUMNS($DU8:DV8)-1)*5 + 1) = INDEX($E$5:$CE$5, 1, (COLUMNS($DU8:DV8)-1)*5 + 1), INDEX($E$8:$CE$57, MATCH($C8, $C$8:$C$57, 0), (COLUMNS($DU8:DV8)-1)*5 + 4) = "SF"), INDEX($CZ$8:$CZ$23, COLUMNS($DU8:DV8)), "0"), "")</f>
        <v/>
      </c>
      <c r="DW8" s="395">
        <f t="array" ref="DW8">IFERROR(IF(AND(INDEX($E$8:$CE$57, MATCH($C8, $C$8:$C$57, 0), (COLUMNS($DU8:DW8)-1)*5 + 1) = INDEX($E$5:$CE$5, 1, (COLUMNS($DU8:DW8)-1)*5 + 1), INDEX($E$8:$CE$57, MATCH($C8, $C$8:$C$57, 0), (COLUMNS($DU8:DW8)-1)*5 + 4) = "SF"), INDEX($CZ$8:$CZ$23, COLUMNS($DU8:DW8)), "0"), "")</f>
        <v/>
      </c>
      <c r="DX8" s="395">
        <f t="array" ref="DX8">IFERROR(IF(AND(INDEX($E$8:$CE$57, MATCH($C8, $C$8:$C$57, 0), (COLUMNS($DU8:DX8)-1)*5 + 1) = INDEX($E$5:$CE$5, 1, (COLUMNS($DU8:DX8)-1)*5 + 1), INDEX($E$8:$CE$57, MATCH($C8, $C$8:$C$57, 0), (COLUMNS($DU8:DX8)-1)*5 + 4) = "SF"), INDEX($CZ$8:$CZ$23, COLUMNS($DU8:DX8)), "0"), "")</f>
        <v/>
      </c>
      <c r="DY8" s="395">
        <f t="array" ref="DY8">IFERROR(IF(AND(INDEX($E$8:$CE$57, MATCH($C8, $C$8:$C$57, 0), (COLUMNS($DU8:DY8)-1)*5 + 1) = INDEX($E$5:$CE$5, 1, (COLUMNS($DU8:DY8)-1)*5 + 1), INDEX($E$8:$CE$57, MATCH($C8, $C$8:$C$57, 0), (COLUMNS($DU8:DY8)-1)*5 + 4) = "SF"), INDEX($CZ$8:$CZ$23, COLUMNS($DU8:DY8)), "0"), "")</f>
        <v/>
      </c>
      <c r="DZ8" s="395">
        <f t="array" ref="DZ8">IFERROR(IF(AND(INDEX($E$8:$CE$57, MATCH($C8, $C$8:$C$57, 0), (COLUMNS($DU8:DZ8)-1)*5 + 1) = INDEX($E$5:$CE$5, 1, (COLUMNS($DU8:DZ8)-1)*5 + 1), INDEX($E$8:$CE$57, MATCH($C8, $C$8:$C$57, 0), (COLUMNS($DU8:DZ8)-1)*5 + 4) = "SF"), INDEX($CZ$8:$CZ$23, COLUMNS($DU8:DZ8)), "0"), "")</f>
        <v/>
      </c>
      <c r="EA8" s="395">
        <f t="array" ref="EA8">IFERROR(IF(AND(INDEX($E$8:$CE$57, MATCH($C8, $C$8:$C$57, 0), (COLUMNS($DU8:EA8)-1)*5 + 1) = INDEX($E$5:$CE$5, 1, (COLUMNS($DU8:EA8)-1)*5 + 1), INDEX($E$8:$CE$57, MATCH($C8, $C$8:$C$57, 0), (COLUMNS($DU8:EA8)-1)*5 + 4) = "SF"), INDEX($CZ$8:$CZ$23, COLUMNS($DU8:EA8)), "0"), "")</f>
        <v/>
      </c>
      <c r="EB8" s="395">
        <f t="array" ref="EB8">IFERROR(IF(AND(INDEX($E$8:$CE$57, MATCH($C8, $C$8:$C$57, 0), (COLUMNS($DU8:EB8)-1)*5 + 1) = INDEX($E$5:$CE$5, 1, (COLUMNS($DU8:EB8)-1)*5 + 1), INDEX($E$8:$CE$57, MATCH($C8, $C$8:$C$57, 0), (COLUMNS($DU8:EB8)-1)*5 + 4) = "SF"), INDEX($CZ$8:$CZ$23, COLUMNS($DU8:EB8)), "0"), "")</f>
        <v/>
      </c>
      <c r="EC8" s="395">
        <f t="array" ref="EC8">IFERROR(IF(AND(INDEX($E$8:$CE$57, MATCH($C8, $C$8:$C$57, 0), (COLUMNS($DU8:EC8)-1)*5 + 1) = INDEX($E$5:$CE$5, 1, (COLUMNS($DU8:EC8)-1)*5 + 1), INDEX($E$8:$CE$57, MATCH($C8, $C$8:$C$57, 0), (COLUMNS($DU8:EC8)-1)*5 + 4) = "SF"), INDEX($CZ$8:$CZ$23, COLUMNS($DU8:EC8)), "0"), "")</f>
        <v/>
      </c>
      <c r="ED8" s="395">
        <f t="array" ref="ED8">IFERROR(IF(AND(INDEX($E$8:$CE$57, MATCH($C8, $C$8:$C$57, 0), (COLUMNS($DU8:ED8)-1)*5 + 1) = INDEX($E$5:$CE$5, 1, (COLUMNS($DU8:ED8)-1)*5 + 1), INDEX($E$8:$CE$57, MATCH($C8, $C$8:$C$57, 0), (COLUMNS($DU8:ED8)-1)*5 + 4) = "SF"), INDEX($CZ$8:$CZ$23, COLUMNS($DU8:ED8)), "0"), "")</f>
        <v/>
      </c>
      <c r="EE8" s="395">
        <f t="array" ref="EE8">IFERROR(IF(AND(INDEX($E$8:$CE$57, MATCH($C8, $C$8:$C$57, 0), (COLUMNS($DU8:EE8)-1)*5 + 1) = INDEX($E$5:$CE$5, 1, (COLUMNS($DU8:EE8)-1)*5 + 1), INDEX($E$8:$CE$57, MATCH($C8, $C$8:$C$57, 0), (COLUMNS($DU8:EE8)-1)*5 + 4) = "SF"), INDEX($CZ$8:$CZ$23, COLUMNS($DU8:EE8)), "0"), "")</f>
        <v/>
      </c>
      <c r="EF8" s="395">
        <f t="array" ref="EF8">IFERROR(IF(AND(INDEX($E$8:$CE$57, MATCH($C8, $C$8:$C$57, 0), (COLUMNS($DU8:EF8)-1)*5 + 1) = INDEX($E$5:$CE$5, 1, (COLUMNS($DU8:EF8)-1)*5 + 1), INDEX($E$8:$CE$57, MATCH($C8, $C$8:$C$57, 0), (COLUMNS($DU8:EF8)-1)*5 + 4) = "SF"), INDEX($CZ$8:$CZ$23, COLUMNS($DU8:EF8)), "0"), "")</f>
        <v/>
      </c>
      <c r="EG8" s="395">
        <f t="array" ref="EG8">IFERROR(IF(AND(INDEX($E$8:$CE$57, MATCH($C8, $C$8:$C$57, 0), (COLUMNS($DU8:EG8)-1)*5 + 1) = INDEX($E$5:$CE$5, 1, (COLUMNS($DU8:EG8)-1)*5 + 1), INDEX($E$8:$CE$57, MATCH($C8, $C$8:$C$57, 0), (COLUMNS($DU8:EG8)-1)*5 + 4) = "SF"), INDEX($CZ$8:$CZ$23, COLUMNS($DU8:EG8)), "0"), "")</f>
        <v/>
      </c>
      <c r="EH8" s="395">
        <f t="array" ref="EH8">IFERROR(IF(AND(INDEX($E$8:$CE$57, MATCH($C8, $C$8:$C$57, 0), (COLUMNS($DU8:EH8)-1)*5 + 1) = INDEX($E$5:$CE$5, 1, (COLUMNS($DU8:EH8)-1)*5 + 1), INDEX($E$8:$CE$57, MATCH($C8, $C$8:$C$57, 0), (COLUMNS($DU8:EH8)-1)*5 + 4) = "SF"), INDEX($CZ$8:$CZ$23, COLUMNS($DU8:EH8)), "0"), "")</f>
        <v/>
      </c>
      <c r="EI8" s="395">
        <f t="array" ref="EI8">IFERROR(IF(AND(INDEX($E$8:$CE$57, MATCH($C8, $C$8:$C$57, 0), (COLUMNS($DU8:EI8)-1)*5 + 1) = INDEX($E$5:$CE$5, 1, (COLUMNS($DU8:EI8)-1)*5 + 1), INDEX($E$8:$CE$57, MATCH($C8, $C$8:$C$57, 0), (COLUMNS($DU8:EI8)-1)*5 + 4) = "SF"), INDEX($CZ$8:$CZ$23, COLUMNS($DU8:EI8)), "0"), "")</f>
        <v/>
      </c>
      <c r="EJ8" s="395">
        <f t="array" ref="EJ8">IFERROR(IF(AND(INDEX($E$8:$CE$57, MATCH($C8, $C$8:$C$57, 0), (COLUMNS($DU8:EJ8)-1)*5 + 1) = INDEX($E$5:$CE$5, 1, (COLUMNS($DU8:EJ8)-1)*5 + 1), INDEX($E$8:$CE$57, MATCH($C8, $C$8:$C$57, 0), (COLUMNS($DU8:EJ8)-1)*5 + 4) = "SF"), INDEX($CZ$8:$CZ$23, COLUMNS($DU8:EJ8)), "0"), "")</f>
        <v/>
      </c>
    </row>
    <row r="9" ht="20.1" customHeight="1" s="568">
      <c r="A9" s="576" t="n"/>
      <c r="B9" s="92">
        <f>IF(BASE01[[#This Row],[COD]]&lt;&gt;"",B8+1,"")</f>
        <v/>
      </c>
      <c r="C9" s="601" t="inlineStr">
        <is>
          <t>COD 02</t>
        </is>
      </c>
      <c r="D9" s="93">
        <f t="array" ref="D9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9" s="145" t="n">
        <v>8</v>
      </c>
      <c r="F9" s="147" t="n">
        <v>6</v>
      </c>
      <c r="G9" s="147" t="n">
        <v>1</v>
      </c>
      <c r="H9" s="147" t="n"/>
      <c r="I9" s="602">
        <f>SUM(IF(E9=E$5,4,0),IF(E9&amp;F9=E$5&amp;F$5,1,0),
IF(AND(E9=E$5,F$6&gt;=$D$115),1,0),
IF(AND(F9=E$5,F$6&gt;=$D$115),1,0),
IF(AND(G9=E$5,F$6&gt;=$D$115),1,0),
IF(E9&amp;H9=I$5,1,0),
IF(F9=E$5,2,0),
IF(G9=E$5,1,0),
IF(OR(E9&amp;F9&amp;G9=E$5&amp;F$5&amp;G$5,E9&amp;F9&amp;G9=E$5&amp;G$5&amp;F$5,E9&amp;F9&amp;G9=F$5&amp;E$5&amp;G$5,E9&amp;F9&amp;G9=F$5&amp;G$5&amp;E$5,E9&amp;F9&amp;G9=G$5&amp;E$5&amp;F$5,E9&amp;F9&amp;G9=G$5&amp;F$5&amp;E$5),2,0),IF(AND(E9=E$5,F$6&gt;=$D$129),1,0),IF(AND(F9=E$5,F$6&gt;=$D$129),1,0),IF(AND(G9=E$5,F$6&gt;=$D$129),1,0),IF(E9&amp;H9=H$5,4,0),IF(AND(E9=E$5,F$6&lt;=$D$104),-0.5,0),IF(AND(F9=E$5,F$6&lt;=$D$104),-0.5,0),IF(AND(G9=E$5,F$6&lt;=$D$104),-0.5,0))</f>
        <v/>
      </c>
      <c r="J9" s="145" t="n">
        <v>3</v>
      </c>
      <c r="K9" s="147" t="n">
        <v>8</v>
      </c>
      <c r="L9" s="147" t="n">
        <v>5</v>
      </c>
      <c r="M9" s="147" t="n"/>
      <c r="N9" s="602">
        <f>SUM(IF(J9=J$5,4,0),IF(J9&amp;K9=J$5&amp;K$5,1,0),
IF(AND(J9=J$5,K$6&gt;=$D$115),1,0),
IF(AND(K9=J$5,K$6&gt;=$D$115),1,0),
IF(AND(L9=J$5,K$6&gt;=$D$115),1,0),
IF(J9&amp;M9=N$5,1,0),
IF(K9=J$5,2,0),
IF(L9=J$5,1,0),
IF(OR(J9&amp;K9&amp;L9=J$5&amp;K$5&amp;L$5,J9&amp;K9&amp;L9=J$5&amp;L$5&amp;K$5,J9&amp;K9&amp;L9=K$5&amp;J$5&amp;L$5,J9&amp;K9&amp;L9=K$5&amp;L$5&amp;J$5,J9&amp;K9&amp;L9=L$5&amp;J$5&amp;K$5,J9&amp;K9&amp;L9=L$5&amp;K$5&amp;J$5),2,0),IF(AND(J9=J$5,K$6&gt;=$D$129),1,0),IF(AND(K9=J$5,K$6&gt;=$D$129),1,0),IF(AND(L9=J$5,K$6&gt;=$D$129),1,0),IF(J9&amp;M9=M$5,4,0),IF(AND(J9=J$5,K$6&lt;=$D$104),-0.5,0),IF(AND(K9=J$5,K$6&lt;=$D$104),-0.5,0),IF(AND(L9=J$5,K$6&lt;=$D$104),-0.5,0))</f>
        <v/>
      </c>
      <c r="O9" s="145" t="n">
        <v>6</v>
      </c>
      <c r="P9" s="147" t="n">
        <v>8</v>
      </c>
      <c r="Q9" s="147" t="n">
        <v>3</v>
      </c>
      <c r="R9" s="147" t="n"/>
      <c r="S9" s="602">
        <f>SUM(IF(O9=O$5,4,0),IF(O9&amp;P9=O$5&amp;P$5,1,0),
IF(AND(O9=O$5,P$6&gt;=$D$115),1,0),
IF(AND(P9=O$5,P$6&gt;=$D$115),1,0),
IF(AND(Q9=O$5,P$6&gt;=$D$115),1,0),
IF(O9&amp;R9=S$5,1,0),
IF(P9=O$5,2,0),
IF(Q9=O$5,1,0),
IF(OR(O9&amp;P9&amp;Q9=O$5&amp;P$5&amp;Q$5,O9&amp;P9&amp;Q9=O$5&amp;Q$5&amp;P$5,O9&amp;P9&amp;Q9=P$5&amp;O$5&amp;Q$5,O9&amp;P9&amp;Q9=P$5&amp;Q$5&amp;O$5,O9&amp;P9&amp;Q9=Q$5&amp;O$5&amp;P$5,O9&amp;P9&amp;Q9=Q$5&amp;P$5&amp;O$5),2,0),IF(AND(O9=O$5,P$6&gt;=$D$129),1,0),IF(AND(P9=O$5,P$6&gt;=$D$129),1,0),IF(AND(Q9=O$5,P$6&gt;=$D$129),1,0),IF(O9&amp;R9=R$5,4,0),IF(AND(O9=O$5,P$6&lt;=$D$104),-0.5,0),IF(AND(P9=O$5,P$6&lt;=$D$104),-0.5,0),IF(AND(Q9=O$5,P$6&lt;=$D$104),-0.5,0))</f>
        <v/>
      </c>
      <c r="T9" s="145" t="n">
        <v>6</v>
      </c>
      <c r="U9" s="147" t="n">
        <v>8</v>
      </c>
      <c r="V9" s="147" t="n">
        <v>4</v>
      </c>
      <c r="W9" s="147" t="inlineStr">
        <is>
          <t>F</t>
        </is>
      </c>
      <c r="X9" s="602">
        <f>SUM(IF(T9=T$5,4,0),IF(T9&amp;U9=T$5&amp;U$5,1,0),
IF(AND(T9=T$5,U$6&gt;=$D$115),1,0),
IF(AND(U9=T$5,U$6&gt;=$D$115),1,0),
IF(AND(V9=T$5,U$6&gt;=$D$115),1,0),
IF(T9&amp;W9=X$5,1,0),
IF(U9=T$5,2,0),
IF(V9=T$5,1,0),
IF(OR(T9&amp;U9&amp;V9=T$5&amp;U$5&amp;V$5,T9&amp;U9&amp;V9=T$5&amp;V$5&amp;U$5,T9&amp;U9&amp;V9=U$5&amp;T$5&amp;V$5,T9&amp;U9&amp;V9=U$5&amp;V$5&amp;T$5,T9&amp;U9&amp;V9=V$5&amp;T$5&amp;U$5,T9&amp;U9&amp;V9=V$5&amp;U$5&amp;T$5),2,0),IF(AND(T9=T$5,U$6&gt;=$D$129),1,0),IF(AND(U9=T$5,U$6&gt;=$D$129),1,0),IF(AND(V9=T$5,U$6&gt;=$D$129),1,0),IF(T9&amp;W9=W$5,4,0),IF(AND(T9=T$5,U$6&lt;=$D$104),-0.5,0),IF(AND(U9=T$5,U$6&lt;=$D$104),-0.5,0),IF(AND(V9=T$5,U$6&lt;=$D$104),-0.5,0))</f>
        <v/>
      </c>
      <c r="Y9" s="145" t="n">
        <v>5</v>
      </c>
      <c r="Z9" s="147" t="n"/>
      <c r="AA9" s="147" t="n"/>
      <c r="AB9" s="147" t="inlineStr">
        <is>
          <t>SF</t>
        </is>
      </c>
      <c r="AC9" s="602">
        <f>SUM(IF(Y9=Y$5,4,0),IF(Y9&amp;Z9=Y$5&amp;Z$5,1,0),
IF(AND(Y9=Y$5,Z$6&gt;=$D$115),1,0),
IF(AND(Z9=Y$5,Z$6&gt;=$D$115),1,0),
IF(AND(AA9=Y$5,Z$6&gt;=$D$115),1,0),
IF(Y9&amp;AB9=AC$5,1,0),
IF(Z9=Y$5,2,0),
IF(AA9=Y$5,1,0),
IF(OR(Y9&amp;Z9&amp;AA9=Y$5&amp;Z$5&amp;AA$5,Y9&amp;Z9&amp;AA9=Y$5&amp;AA$5&amp;Z$5,Y9&amp;Z9&amp;AA9=Z$5&amp;Y$5&amp;AA$5,Y9&amp;Z9&amp;AA9=Z$5&amp;AA$5&amp;Y$5,Y9&amp;Z9&amp;AA9=AA$5&amp;Y$5&amp;Z$5,Y9&amp;Z9&amp;AA9=AA$5&amp;Z$5&amp;Y$5),2,0),IF(AND(Y9=Y$5,Z$6&gt;=$D$129),1,0),IF(AND(Z9=Y$5,Z$6&gt;=$D$129),1,0),IF(AND(AA9=Y$5,Z$6&gt;=$D$129),1,0),IF(Y9&amp;AB9=AB$5,4,0),IF(AND(Y9=Y$5,Z$6&lt;=$D$104),-0.5,0),IF(AND(Z9=Y$5,Z$6&lt;=$D$104),-0.5,0),IF(AND(AA9=Y$5,Z$6&lt;=$D$104),-0.5,0))</f>
        <v/>
      </c>
      <c r="AD9" s="145" t="n">
        <v>7</v>
      </c>
      <c r="AE9" s="147" t="n">
        <v>2</v>
      </c>
      <c r="AF9" s="147" t="n">
        <v>5</v>
      </c>
      <c r="AG9" s="147" t="n"/>
      <c r="AH9" s="602">
        <f>SUM(IF(AD9=AD$5,4,0),IF(AD9&amp;AE9=AD$5&amp;AE$5,1,0),
IF(AND(AD9=AD$5,AE$6&gt;=$D$115),1,0),
IF(AND(AE9=AD$5,AE$6&gt;=$D$115),1,0),
IF(AND(AF9=AD$5,AE$6&gt;=$D$115),1,0),
IF(AD9&amp;AG9=AH$5,1,0),
IF(AE9=AD$5,2,0),
IF(AF9=AD$5,1,0),
IF(OR(AD9&amp;AE9&amp;AF9=AD$5&amp;AE$5&amp;AF$5,AD9&amp;AE9&amp;AF9=AD$5&amp;AF$5&amp;AE$5,AD9&amp;AE9&amp;AF9=AE$5&amp;AD$5&amp;AF$5,AD9&amp;AE9&amp;AF9=AE$5&amp;AF$5&amp;AD$5,AD9&amp;AE9&amp;AF9=AF$5&amp;AD$5&amp;AE$5,AD9&amp;AE9&amp;AF9=AF$5&amp;AE$5&amp;AD$5),2,0),IF(AND(AD9=AD$5,AE$6&gt;=$D$129),1,0),IF(AND(AE9=AD$5,AE$6&gt;=$D$129),1,0),IF(AND(AF9=AD$5,AE$6&gt;=$D$129),1,0),IF(AD9&amp;AG9=AG$5,4,0),IF(AND(AD9=AD$5,AE$6&lt;=$D$104),-0.5,0),IF(AND(AE9=AD$5,AE$6&lt;=$D$104),-0.5,0),IF(AND(AF9=AD$5,AE$6&lt;=$D$104),-0.5,0))</f>
        <v/>
      </c>
      <c r="AI9" s="145" t="n">
        <v>3</v>
      </c>
      <c r="AJ9" s="147" t="n">
        <v>7</v>
      </c>
      <c r="AK9" s="147" t="n">
        <v>4</v>
      </c>
      <c r="AL9" s="147" t="n"/>
      <c r="AM9" s="602">
        <f>SUM(IF(AI9=AI$5,4,0),IF(AI9&amp;AJ9=AI$5&amp;AJ$5,1,0),
IF(AND(AI9=AI$5,AJ$6&gt;=$D$115),1,0),
IF(AND(AJ9=AI$5,AJ$6&gt;=$D$115),1,0),
IF(AND(AK9=AI$5,AJ$6&gt;=$D$115),1,0),
IF(AI9&amp;AL9=AM$5,1,0),
IF(AJ9=AI$5,2,0),
IF(AK9=AI$5,1,0),
IF(OR(AI9&amp;AJ9&amp;AK9=AI$5&amp;AJ$5&amp;AK$5,AI9&amp;AJ9&amp;AK9=AI$5&amp;AK$5&amp;AJ$5,AI9&amp;AJ9&amp;AK9=AJ$5&amp;AI$5&amp;AK$5,AI9&amp;AJ9&amp;AK9=AJ$5&amp;AK$5&amp;AI$5,AI9&amp;AJ9&amp;AK9=AK$5&amp;AI$5&amp;AJ$5,AI9&amp;AJ9&amp;AK9=AK$5&amp;AJ$5&amp;AI$5),2,0),IF(AND(AI9=AI$5,AJ$6&gt;=$D$129),1,0),IF(AND(AJ9=AI$5,AJ$6&gt;=$D$129),1,0),IF(AND(AK9=AI$5,AJ$6&gt;=$D$129),1,0),IF(AI9&amp;AL9=AL$5,4,0),IF(AND(AI9=AI$5,AJ$6&lt;=$D$104),-0.5,0),IF(AND(AJ9=AI$5,AJ$6&lt;=$D$104),-0.5,0),IF(AND(AK9=AI$5,AJ$6&lt;=$D$104),-0.5,0))</f>
        <v/>
      </c>
      <c r="AN9" s="145" t="n">
        <v>9</v>
      </c>
      <c r="AO9" s="147" t="n">
        <v>11</v>
      </c>
      <c r="AP9" s="147" t="n">
        <v>12</v>
      </c>
      <c r="AQ9" s="147" t="n"/>
      <c r="AR9" s="602">
        <f>SUM(IF(AN9=AN$5,4,0),IF(AN9&amp;AO9=AN$5&amp;AO$5,1,0),
IF(AND(AN9=AN$5,AO$6&gt;=$D$115),1,0),
IF(AND(AO9=AN$5,AO$6&gt;=$D$115),1,0),
IF(AND(AP9=AN$5,AO$6&gt;=$D$115),1,0),
IF(AN9&amp;AQ9=AR$5,1,0),
IF(AO9=AN$5,2,0),
IF(AP9=AN$5,1,0),
IF(OR(AN9&amp;AO9&amp;AP9=AN$5&amp;AO$5&amp;AP$5,AN9&amp;AO9&amp;AP9=AN$5&amp;AP$5&amp;AO$5,AN9&amp;AO9&amp;AP9=AO$5&amp;AN$5&amp;AP$5,AN9&amp;AO9&amp;AP9=AO$5&amp;AP$5&amp;AN$5,AN9&amp;AO9&amp;AP9=AP$5&amp;AN$5&amp;AO$5,AN9&amp;AO9&amp;AP9=AP$5&amp;AO$5&amp;AN$5),2,0),IF(AND(AN9=AN$5,AO$6&gt;=$D$129),1,0),IF(AND(AO9=AN$5,AO$6&gt;=$D$129),1,0),IF(AND(AP9=AN$5,AO$6&gt;=$D$129),1,0),IF(AN9&amp;AQ9=AQ$5,4,0),IF(AND(AN9=AN$5,AO$6&lt;=$D$104),-0.5,0),IF(AND(AO9=AN$5,AO$6&lt;=$D$104),-0.5,0),IF(AND(AP9=AN$5,AO$6&lt;=$D$104),-0.5,0))</f>
        <v/>
      </c>
      <c r="AS9" s="145" t="n">
        <v>6</v>
      </c>
      <c r="AT9" s="147" t="n">
        <v>1</v>
      </c>
      <c r="AU9" s="147" t="n">
        <v>7</v>
      </c>
      <c r="AV9" s="147" t="n"/>
      <c r="AW9" s="602">
        <f>SUM(IF(AS9=AS$5,4,0),IF(AS9&amp;AT9=AS$5&amp;AT$5,1,0),
IF(AND(AS9=AS$5,AT$6&gt;=$D$115),1,0),
IF(AND(AT9=AS$5,AT$6&gt;=$D$115),1,0),
IF(AND(AU9=AS$5,AT$6&gt;=$D$115),1,0),
IF(AS9&amp;AV9=AW$5,1,0),
IF(AT9=AS$5,2,0),
IF(AU9=AS$5,1,0),
IF(OR(AS9&amp;AT9&amp;AU9=AS$5&amp;AT$5&amp;AU$5,AS9&amp;AT9&amp;AU9=AS$5&amp;AU$5&amp;AT$5,AS9&amp;AT9&amp;AU9=AT$5&amp;AS$5&amp;AU$5,AS9&amp;AT9&amp;AU9=AT$5&amp;AU$5&amp;AS$5,AS9&amp;AT9&amp;AU9=AU$5&amp;AS$5&amp;AT$5,AS9&amp;AT9&amp;AU9=AU$5&amp;AT$5&amp;AS$5),2,0),IF(AND(AS9=AS$5,AT$6&gt;=$D$129),1,0),IF(AND(AT9=AS$5,AT$6&gt;=$D$129),1,0),IF(AND(AU9=AS$5,AT$6&gt;=$D$129),1,0),IF(AS9&amp;AV9=AV$5,4,0),IF(AND(AS9=AS$5,AT$6&lt;=$D$104),-0.5,0),IF(AND(AT9=AS$5,AT$6&lt;=$D$104),-0.5,0),IF(AND(AU9=AS$5,AT$6&lt;=$D$104),-0.5,0))</f>
        <v/>
      </c>
      <c r="AX9" s="145" t="n">
        <v>8</v>
      </c>
      <c r="AY9" s="147" t="n">
        <v>9</v>
      </c>
      <c r="AZ9" s="147" t="n">
        <v>1</v>
      </c>
      <c r="BA9" s="147" t="n"/>
      <c r="BB9" s="602">
        <f>SUM(IF(AX9=AX$5,4,0),IF(AX9&amp;AY9=AX$5&amp;AY$5,1,0),
IF(AND(AX9=AX$5,AY$6&gt;=$D$115),1,0),
IF(AND(AY9=AX$5,AY$6&gt;=$D$115),1,0),
IF(AND(AZ9=AX$5,AY$6&gt;=$D$115),1,0),
IF(AX9&amp;BA9=BB$5,1,0),
IF(AY9=AX$5,2,0),
IF(AZ9=AX$5,1,0),
IF(OR(AX9&amp;AY9&amp;AZ9=AX$5&amp;AY$5&amp;AZ$5,AX9&amp;AY9&amp;AZ9=AX$5&amp;AZ$5&amp;AY$5,AX9&amp;AY9&amp;AZ9=AY$5&amp;AX$5&amp;AZ$5,AX9&amp;AY9&amp;AZ9=AY$5&amp;AZ$5&amp;AX$5,AX9&amp;AY9&amp;AZ9=AZ$5&amp;AX$5&amp;AY$5,AX9&amp;AY9&amp;AZ9=AZ$5&amp;AY$5&amp;AX$5),2,0),IF(AND(AX9=AX$5,AY$6&gt;=$D$129),1,0),IF(AND(AY9=AX$5,AY$6&gt;=$D$129),1,0),IF(AND(AZ9=AX$5,AY$6&gt;=$D$129),1,0),IF(AX9&amp;BA9=BA$5,4,0),IF(AND(AX9=AX$5,AY$6&lt;=$D$104),-0.5,0),IF(AND(AY9=AX$5,AY$6&lt;=$D$104),-0.5,0),IF(AND(AZ9=AX$5,AY$6&lt;=$D$104),-0.5,0))</f>
        <v/>
      </c>
      <c r="BC9" s="145" t="n">
        <v>4</v>
      </c>
      <c r="BD9" s="147" t="n">
        <v>2</v>
      </c>
      <c r="BE9" s="147" t="n">
        <v>8</v>
      </c>
      <c r="BF9" s="147" t="n"/>
      <c r="BG9" s="602">
        <f>SUM(IF(BC9=BC$5,4,0),IF(BC9&amp;BD9=BC$5&amp;BD$5,1,0),
IF(AND(BC9=BC$5,BD$6&gt;=$D$115),1,0),
IF(AND(BD9=BC$5,BD$6&gt;=$D$115),1,0),
IF(AND(BE9=BC$5,BD$6&gt;=$D$115),1,0),
IF(BC9&amp;BF9=BG$5,1,0),
IF(BD9=BC$5,2,0),
IF(BE9=BC$5,1,0),
IF(OR(BC9&amp;BD9&amp;BE9=BC$5&amp;BD$5&amp;BE$5,BC9&amp;BD9&amp;BE9=BC$5&amp;BE$5&amp;BD$5,BC9&amp;BD9&amp;BE9=BD$5&amp;BC$5&amp;BE$5,BC9&amp;BD9&amp;BE9=BD$5&amp;BE$5&amp;BC$5,BC9&amp;BD9&amp;BE9=BE$5&amp;BC$5&amp;BD$5,BC9&amp;BD9&amp;BE9=BE$5&amp;BD$5&amp;BC$5),2,0),IF(AND(BC9=BC$5,BD$6&gt;=$D$129),1,0),IF(AND(BD9=BC$5,BD$6&gt;=$D$129),1,0),IF(AND(BE9=BC$5,BD$6&gt;=$D$129),1,0),IF(BC9&amp;BF9=BF$5,4,0),IF(AND(BC9=BC$5,BD$6&lt;=$D$104),-0.5,0),IF(AND(BD9=BC$5,BD$6&lt;=$D$104),-0.5,0),IF(AND(BE9=BC$5,BD$6&lt;=$D$104),-0.5,0))</f>
        <v/>
      </c>
      <c r="BH9" s="145" t="n">
        <v>1</v>
      </c>
      <c r="BI9" s="147" t="n">
        <v>6</v>
      </c>
      <c r="BJ9" s="147" t="n">
        <v>5</v>
      </c>
      <c r="BK9" s="147" t="n"/>
      <c r="BL9" s="602">
        <f>SUM(IF(BH9=BH$5,4,0),IF(BH9&amp;BI9=BH$5&amp;BI$5,1,0),
IF(AND(BH9=BH$5,BI$6&gt;=$D$115),1,0),
IF(AND(BI9=BH$5,BI$6&gt;=$D$115),1,0),
IF(AND(BJ9=BH$5,BI$6&gt;=$D$115),1,0),
IF(BH9&amp;BK9=BL$5,1,0),
IF(BI9=BH$5,2,0),
IF(BJ9=BH$5,1,0),
IF(OR(BH9&amp;BI9&amp;BJ9=BH$5&amp;BI$5&amp;BJ$5,BH9&amp;BI9&amp;BJ9=BH$5&amp;BJ$5&amp;BI$5,BH9&amp;BI9&amp;BJ9=BI$5&amp;BH$5&amp;BJ$5,BH9&amp;BI9&amp;BJ9=BI$5&amp;BJ$5&amp;BH$5,BH9&amp;BI9&amp;BJ9=BJ$5&amp;BH$5&amp;BI$5,BH9&amp;BI9&amp;BJ9=BJ$5&amp;BI$5&amp;BH$5),2,0),IF(AND(BH9=BH$5,BI$6&gt;=$D$129),1,0),IF(AND(BI9=BH$5,BI$6&gt;=$D$129),1,0),IF(AND(BJ9=BH$5,BI$6&gt;=$D$129),1,0),IF(BH9&amp;BK9=BK$5,4,0),IF(AND(BH9=BH$5,BI$6&lt;=$D$104),-0.5,0),IF(AND(BI9=BH$5,BI$6&lt;=$D$104),-0.5,0),IF(AND(BJ9=BH$5,BI$6&lt;=$D$104),-0.5,0))</f>
        <v/>
      </c>
      <c r="BM9" s="145" t="n">
        <v>1</v>
      </c>
      <c r="BN9" s="147" t="n">
        <v>12</v>
      </c>
      <c r="BO9" s="147" t="n">
        <v>2</v>
      </c>
      <c r="BP9" s="147" t="inlineStr">
        <is>
          <t>F</t>
        </is>
      </c>
      <c r="BQ9" s="602">
        <f>SUM(IF(BM9=BM$5,4,0),IF(BM9&amp;BN9=BM$5&amp;BN$5,1,0),
IF(AND(BM9=BM$5,BN$6&gt;=$D$115),1,0),
IF(AND(BN9=BM$5,BN$6&gt;=$D$115),1,0),
IF(AND(BO9=BM$5,BN$6&gt;=$D$115),1,0),
IF(BM9&amp;BP9=BQ$5,1,0),
IF(BN9=BM$5,2,0),
IF(BO9=BM$5,1,0),
IF(OR(BM9&amp;BN9&amp;BO9=BM$5&amp;BN$5&amp;BO$5,BM9&amp;BN9&amp;BO9=BM$5&amp;BO$5&amp;BN$5,BM9&amp;BN9&amp;BO9=BN$5&amp;BM$5&amp;BO$5,BM9&amp;BN9&amp;BO9=BN$5&amp;BO$5&amp;BM$5,BM9&amp;BN9&amp;BO9=BO$5&amp;BM$5&amp;BN$5,BM9&amp;BN9&amp;BO9=BO$5&amp;BN$5&amp;BM$5),2,0),IF(AND(BM9=BM$5,BN$6&gt;=$D$129),1,0),IF(AND(BN9=BM$5,BN$6&gt;=$D$129),1,0),IF(AND(BO9=BM$5,BN$6&gt;=$D$129),1,0),IF(BM9&amp;BP9=BP$5,4,0),IF(AND(BM9=BM$5,BN$6&lt;=$D$104),-0.5,0),IF(AND(BN9=BM$5,BN$6&lt;=$D$104),-0.5,0),IF(AND(BO9=BM$5,BN$6&lt;=$D$104),-0.5,0))</f>
        <v/>
      </c>
      <c r="BR9" s="145" t="n"/>
      <c r="BS9" s="147" t="n"/>
      <c r="BT9" s="147" t="n"/>
      <c r="BU9" s="147" t="n"/>
      <c r="BV9" s="602">
        <f>SUM(IF(BR9=BR$5,4,0),IF(BR9&amp;BS9=BR$5&amp;BS$5,1,0),
IF(AND(BR9=BR$5,BS$6&gt;=$D$115),1,0),
IF(AND(BS9=BR$5,BS$6&gt;=$D$115),1,0),
IF(AND(BT9=BR$5,BS$6&gt;=$D$115),1,0),
IF(BR9&amp;BU9=BV$5,1,0),
IF(BS9=BR$5,2,0),
IF(BT9=BR$5,1,0),
IF(OR(BR9&amp;BS9&amp;BT9=BR$5&amp;BS$5&amp;BT$5,BR9&amp;BS9&amp;BT9=BR$5&amp;BT$5&amp;BS$5,BR9&amp;BS9&amp;BT9=BS$5&amp;BR$5&amp;BT$5,BR9&amp;BS9&amp;BT9=BS$5&amp;BT$5&amp;BR$5,BR9&amp;BS9&amp;BT9=BT$5&amp;BR$5&amp;BS$5,BR9&amp;BS9&amp;BT9=BT$5&amp;BS$5&amp;BR$5),2,0),IF(AND(BR9=BR$5,BS$6&gt;=$D$129),1,0),IF(AND(BS9=BR$5,BS$6&gt;=$D$129),1,0),IF(AND(BT9=BR$5,BS$6&gt;=$D$129),1,0),IF(BR9&amp;BU9=BU$5,4,0),IF(AND(BR9=BR$5,BS$6&lt;=$D$104),-0.5,0),IF(AND(BS9=BR$5,BS$6&lt;=$D$104),-0.5,0),IF(AND(BT9=BR$5,BS$6&lt;=$D$104),-0.5,0))</f>
        <v/>
      </c>
      <c r="BW9" s="145" t="n"/>
      <c r="BX9" s="147" t="n"/>
      <c r="BY9" s="147" t="n"/>
      <c r="BZ9" s="147" t="n"/>
      <c r="CA9" s="602">
        <f>SUM(IF(BW9=BW$5,4,0),IF(BW9&amp;BX9=BW$5&amp;BX$5,1,0),
IF(AND(BW9=BW$5,BX$6&gt;=$D$115),1,0),
IF(AND(BX9=BW$5,BX$6&gt;=$D$115),1,0),
IF(AND(BY9=BW$5,BX$6&gt;=$D$115),1,0),
IF(BW9&amp;BZ9=CA$5,1,0),
IF(BX9=BW$5,2,0),
IF(BY9=BW$5,1,0),
IF(OR(BW9&amp;BX9&amp;BY9=BW$5&amp;BX$5&amp;BY$5,BW9&amp;BX9&amp;BY9=BW$5&amp;BY$5&amp;BX$5,BW9&amp;BX9&amp;BY9=BX$5&amp;BW$5&amp;BY$5,BW9&amp;BX9&amp;BY9=BX$5&amp;BY$5&amp;BW$5,BW9&amp;BX9&amp;BY9=BY$5&amp;BW$5&amp;BX$5,BW9&amp;BX9&amp;BY9=BY$5&amp;BX$5&amp;BW$5),2,0),IF(AND(BW9=BW$5,BX$6&gt;=$D$129),1,0),IF(AND(BX9=BW$5,BX$6&gt;=$D$129),1,0),IF(AND(BY9=BW$5,BX$6&gt;=$D$129),1,0),IF(BW9&amp;BZ9=BZ$5,4,0),IF(AND(BW9=BW$5,BX$6&lt;=$D$104),-0.5,0),IF(AND(BX9=BW$5,BX$6&lt;=$D$104),-0.5,0),IF(AND(BY9=BW$5,BX$6&lt;=$D$104),-0.5,0))</f>
        <v/>
      </c>
      <c r="CB9" s="145" t="n"/>
      <c r="CC9" s="147" t="n"/>
      <c r="CD9" s="147" t="n"/>
      <c r="CE9" s="147" t="n"/>
      <c r="CF9" s="602">
        <f>SUM(IF(CB9=CB$5,4,0),IF(CB9&amp;CC9=CB$5&amp;CC$5,1,0),
IF(AND(CB9=CB$5,CC$6&gt;=$D$115),1,0),
IF(AND(CC9=CB$5,CC$6&gt;=$D$115),1,0),
IF(AND(CD9=CB$5,CC$6&gt;=$D$115),1,0),
IF(CB9&amp;CE9=CF$5,1,0),
IF(CC9=CB$5,2,0),
IF(CD9=CB$5,1,0),
IF(OR(CB9&amp;CC9&amp;CD9=CB$5&amp;CC$5&amp;CD$5,CB9&amp;CC9&amp;CD9=CB$5&amp;CD$5&amp;CC$5,CB9&amp;CC9&amp;CD9=CC$5&amp;CB$5&amp;CD$5,CB9&amp;CC9&amp;CD9=CC$5&amp;CD$5&amp;CB$5,CB9&amp;CC9&amp;CD9=CD$5&amp;CB$5&amp;CC$5,CB9&amp;CC9&amp;CD9=CD$5&amp;CC$5&amp;CB$5),2,0),IF(AND(CB9=CB$5,CC$6&gt;=$D$129),1,0),IF(AND(CC9=CB$5,CC$6&gt;=$D$129),1,0),IF(AND(CD9=CB$5,CC$6&gt;=$D$129),1,0),IF(CB9&amp;CE9=CE$5,4,0),IF(AND(CB9=CB$5,CC$6&lt;=$D$104),-0.5,0),IF(AND(CC9=CB$5,CC$6&lt;=$D$104),-0.5,0),IF(AND(CD9=CB$5,CC$6&lt;=$D$104),-0.5,0))</f>
        <v/>
      </c>
      <c r="CG9" s="164">
        <f>IF(BASE01[[#This Row],[1]]="",0,$B$4)</f>
        <v/>
      </c>
      <c r="CH9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9" s="166">
        <f>IF(BASE01[[#This Row],[Columna14]]=0,0,(CH9/CG9))</f>
        <v/>
      </c>
      <c r="CJ9" s="165">
        <f>IF(BASE01[[#This Row],[1]]="",0,$B$4)</f>
        <v/>
      </c>
      <c r="CK9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9" s="166">
        <f>IF(BASE01[[#This Row],[Columna14]]=0,0,(CK9/CJ9))</f>
        <v/>
      </c>
      <c r="CM9" s="164">
        <f>IF(BASE01[[#This Row],[1]]="",0,$B$4)</f>
        <v/>
      </c>
      <c r="CN9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9" s="166">
        <f>IF(BASE01[[#This Row],[Columna14]]=0,0,(CN9/CM9))</f>
        <v/>
      </c>
      <c r="CP9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9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Row],[Columna25]],$AX$5,BA9,"SF")+COUNTIFS(BASE01[[#This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9" s="166">
        <f>IF(BASE01[[#This Row],[Columna14]]=0,0,(CQ9/CP9))</f>
        <v/>
      </c>
      <c r="CS9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9" s="95" t="n"/>
      <c r="CU9" s="604">
        <f>SUM(CS9,CT9)</f>
        <v/>
      </c>
      <c r="CV9" s="96">
        <f>IF(BASE01[[#This Row],[TIPO]]="PREMIO",$O$3,"0,00")</f>
        <v/>
      </c>
      <c r="CW9" s="576" t="n"/>
      <c r="CY9" s="393" t="n">
        <v>2</v>
      </c>
      <c r="CZ9" s="354">
        <f>K$6</f>
        <v/>
      </c>
      <c r="DB9" s="605">
        <f>BASE01[[#This Row],[COD]]</f>
        <v/>
      </c>
      <c r="DC9" s="395">
        <f t="array" ref="DC9">IFERROR(IF(AND(INDEX($E$8:$CE$57, MATCH($C9, $C$8:$C$57, 0), (COLUMNS($DC9:DC9)-1)*5 + 1) = INDEX($E$5:$CE$5, 1, (COLUMNS($DC9:DC9)-1)*5 + 1), INDEX($E$8:$CE$57, MATCH($C9, $C$8:$C$57, 0), (COLUMNS($DC9:DC9)-1)*5 + 4) = "F"), INDEX($CZ$8:$CZ$23, COLUMNS($DC9:DC9)), "0"), "")</f>
        <v/>
      </c>
      <c r="DD9" s="395">
        <f t="array" ref="DD9">IFERROR(IF(AND(INDEX($E$8:$CE$57, MATCH($C9, $C$8:$C$57, 0), (COLUMNS($DC9:DD9)-1)*5 + 1) = INDEX($E$5:$CE$5, 1, (COLUMNS($DC9:DD9)-1)*5 + 1), INDEX($E$8:$CE$57, MATCH($C9, $C$8:$C$57, 0), (COLUMNS($DC9:DD9)-1)*5 + 4) = "F"), INDEX($CZ$8:$CZ$23, COLUMNS($DC9:DD9)), "0"), "")</f>
        <v/>
      </c>
      <c r="DE9" s="395">
        <f t="array" ref="DE9">IFERROR(IF(AND(INDEX($E$8:$CE$57, MATCH($C9, $C$8:$C$57, 0), (COLUMNS($DC9:DE9)-1)*5 + 1) = INDEX($E$5:$CE$5, 1, (COLUMNS($DC9:DE9)-1)*5 + 1), INDEX($E$8:$CE$57, MATCH($C9, $C$8:$C$57, 0), (COLUMNS($DC9:DE9)-1)*5 + 4) = "F"), INDEX($CZ$8:$CZ$23, COLUMNS($DC9:DE9)), "0"), "")</f>
        <v/>
      </c>
      <c r="DF9" s="395">
        <f t="array" ref="DF9">IFERROR(IF(AND(INDEX($E$8:$CE$57, MATCH($C9, $C$8:$C$57, 0), (COLUMNS($DC9:DF9)-1)*5 + 1) = INDEX($E$5:$CE$5, 1, (COLUMNS($DC9:DF9)-1)*5 + 1), INDEX($E$8:$CE$57, MATCH($C9, $C$8:$C$57, 0), (COLUMNS($DC9:DF9)-1)*5 + 4) = "F"), INDEX($CZ$8:$CZ$23, COLUMNS($DC9:DF9)), "0"), "")</f>
        <v/>
      </c>
      <c r="DG9" s="395">
        <f t="array" ref="DG9">IFERROR(IF(AND(INDEX($E$8:$CE$57, MATCH($C9, $C$8:$C$57, 0), (COLUMNS($DC9:DG9)-1)*5 + 1) = INDEX($E$5:$CE$5, 1, (COLUMNS($DC9:DG9)-1)*5 + 1), INDEX($E$8:$CE$57, MATCH($C9, $C$8:$C$57, 0), (COLUMNS($DC9:DG9)-1)*5 + 4) = "F"), INDEX($CZ$8:$CZ$23, COLUMNS($DC9:DG9)), "0"), "")</f>
        <v/>
      </c>
      <c r="DH9" s="395">
        <f t="array" ref="DH9">IFERROR(IF(AND(INDEX($E$8:$CE$57, MATCH($C9, $C$8:$C$57, 0), (COLUMNS($DC9:DH9)-1)*5 + 1) = INDEX($E$5:$CE$5, 1, (COLUMNS($DC9:DH9)-1)*5 + 1), INDEX($E$8:$CE$57, MATCH($C9, $C$8:$C$57, 0), (COLUMNS($DC9:DH9)-1)*5 + 4) = "F"), INDEX($CZ$8:$CZ$23, COLUMNS($DC9:DH9)), "0"), "")</f>
        <v/>
      </c>
      <c r="DI9" s="395">
        <f t="array" ref="DI9">IFERROR(IF(AND(INDEX($E$8:$CE$57, MATCH($C9, $C$8:$C$57, 0), (COLUMNS($DC9:DI9)-1)*5 + 1) = INDEX($E$5:$CE$5, 1, (COLUMNS($DC9:DI9)-1)*5 + 1), INDEX($E$8:$CE$57, MATCH($C9, $C$8:$C$57, 0), (COLUMNS($DC9:DI9)-1)*5 + 4) = "F"), INDEX($CZ$8:$CZ$23, COLUMNS($DC9:DI9)), "0"), "")</f>
        <v/>
      </c>
      <c r="DJ9" s="395">
        <f t="array" ref="DJ9">IFERROR(IF(AND(INDEX($E$8:$CE$57, MATCH($C9, $C$8:$C$57, 0), (COLUMNS($DC9:DJ9)-1)*5 + 1) = INDEX($E$5:$CE$5, 1, (COLUMNS($DC9:DJ9)-1)*5 + 1), INDEX($E$8:$CE$57, MATCH($C9, $C$8:$C$57, 0), (COLUMNS($DC9:DJ9)-1)*5 + 4) = "F"), INDEX($CZ$8:$CZ$23, COLUMNS($DC9:DJ9)), "0"), "")</f>
        <v/>
      </c>
      <c r="DK9" s="395">
        <f t="array" ref="DK9">IFERROR(IF(AND(INDEX($E$8:$CE$57, MATCH($C9, $C$8:$C$57, 0), (COLUMNS($DC9:DK9)-1)*5 + 1) = INDEX($E$5:$CE$5, 1, (COLUMNS($DC9:DK9)-1)*5 + 1), INDEX($E$8:$CE$57, MATCH($C9, $C$8:$C$57, 0), (COLUMNS($DC9:DK9)-1)*5 + 4) = "F"), INDEX($CZ$8:$CZ$23, COLUMNS($DC9:DK9)), "0"), "")</f>
        <v/>
      </c>
      <c r="DL9" s="395">
        <f t="array" ref="DL9">IFERROR(IF(AND(INDEX($E$8:$CE$57, MATCH($C9, $C$8:$C$57, 0), (COLUMNS($DC9:DL9)-1)*5 + 1) = INDEX($E$5:$CE$5, 1, (COLUMNS($DC9:DL9)-1)*5 + 1), INDEX($E$8:$CE$57, MATCH($C9, $C$8:$C$57, 0), (COLUMNS($DC9:DL9)-1)*5 + 4) = "F"), INDEX($CZ$8:$CZ$23, COLUMNS($DC9:DL9)), "0"), "")</f>
        <v/>
      </c>
      <c r="DM9" s="395">
        <f t="array" ref="DM9">IFERROR(IF(AND(INDEX($E$8:$CE$57, MATCH($C9, $C$8:$C$57, 0), (COLUMNS($DC9:DM9)-1)*5 + 1) = INDEX($E$5:$CE$5, 1, (COLUMNS($DC9:DM9)-1)*5 + 1), INDEX($E$8:$CE$57, MATCH($C9, $C$8:$C$57, 0), (COLUMNS($DC9:DM9)-1)*5 + 4) = "F"), INDEX($CZ$8:$CZ$23, COLUMNS($DC9:DM9)), "0"), "")</f>
        <v/>
      </c>
      <c r="DN9" s="395">
        <f t="array" ref="DN9">IFERROR(IF(AND(INDEX($E$8:$CE$57, MATCH($C9, $C$8:$C$57, 0), (COLUMNS($DC9:DN9)-1)*5 + 1) = INDEX($E$5:$CE$5, 1, (COLUMNS($DC9:DN9)-1)*5 + 1), INDEX($E$8:$CE$57, MATCH($C9, $C$8:$C$57, 0), (COLUMNS($DC9:DN9)-1)*5 + 4) = "F"), INDEX($CZ$8:$CZ$23, COLUMNS($DC9:DN9)), "0"), "")</f>
        <v/>
      </c>
      <c r="DO9" s="395">
        <f t="array" ref="DO9">IFERROR(IF(AND(INDEX($E$8:$CE$57, MATCH($C9, $C$8:$C$57, 0), (COLUMNS($DC9:DO9)-1)*5 + 1) = INDEX($E$5:$CE$5, 1, (COLUMNS($DC9:DO9)-1)*5 + 1), INDEX($E$8:$CE$57, MATCH($C9, $C$8:$C$57, 0), (COLUMNS($DC9:DO9)-1)*5 + 4) = "F"), INDEX($CZ$8:$CZ$23, COLUMNS($DC9:DO9)), "0"), "")</f>
        <v/>
      </c>
      <c r="DP9" s="395">
        <f t="array" ref="DP9">IFERROR(IF(AND(INDEX($E$8:$CE$57, MATCH($C9, $C$8:$C$57, 0), (COLUMNS($DC9:DP9)-1)*5 + 1) = INDEX($E$5:$CE$5, 1, (COLUMNS($DC9:DP9)-1)*5 + 1), INDEX($E$8:$CE$57, MATCH($C9, $C$8:$C$57, 0), (COLUMNS($DC9:DP9)-1)*5 + 4) = "F"), INDEX($CZ$8:$CZ$23, COLUMNS($DC9:DP9)), "0"), "")</f>
        <v/>
      </c>
      <c r="DQ9" s="395">
        <f t="array" ref="DQ9">IFERROR(IF(AND(INDEX($E$8:$CE$57, MATCH($C9, $C$8:$C$57, 0), (COLUMNS($DC9:DQ9)-1)*5 + 1) = INDEX($E$5:$CE$5, 1, (COLUMNS($DC9:DQ9)-1)*5 + 1), INDEX($E$8:$CE$57, MATCH($C9, $C$8:$C$57, 0), (COLUMNS($DC9:DQ9)-1)*5 + 4) = "F"), INDEX($CZ$8:$CZ$23, COLUMNS($DC9:DQ9)), "0"), "")</f>
        <v/>
      </c>
      <c r="DR9" s="395">
        <f t="array" ref="DR9">IFERROR(IF(AND(INDEX($E$8:$CE$57, MATCH($C9, $C$8:$C$57, 0), (COLUMNS($DC9:DR9)-1)*5 + 1) = INDEX($E$5:$CE$5, 1, (COLUMNS($DC9:DR9)-1)*5 + 1), INDEX($E$8:$CE$57, MATCH($C9, $C$8:$C$57, 0), (COLUMNS($DC9:DR9)-1)*5 + 4) = "F"), INDEX($CZ$8:$CZ$23, COLUMNS($DC9:DR9)), "0"), "")</f>
        <v/>
      </c>
      <c r="DT9" s="605">
        <f>BASE01[[#This Row],[COD]]</f>
        <v/>
      </c>
      <c r="DU9" s="395">
        <f t="array" ref="DU9">IFERROR(IF(AND(INDEX($E$8:$CE$57, MATCH($C9, $C$8:$C$57, 0), (COLUMNS($DU9:DU9)-1)*5 + 1) = INDEX($E$5:$CE$5, 1, (COLUMNS($DU9:DU9)-1)*5 + 1), INDEX($E$8:$CE$57, MATCH($C9, $C$8:$C$57, 0), (COLUMNS($DU9:DU9)-1)*5 + 4) = "SF"), INDEX($CZ$8:$CZ$23, COLUMNS($DU9:DU9)), "0"), "")</f>
        <v/>
      </c>
      <c r="DV9" s="395">
        <f t="array" ref="DV9">IFERROR(IF(AND(INDEX($E$8:$CE$57, MATCH($C9, $C$8:$C$57, 0), (COLUMNS($DU9:DV9)-1)*5 + 1) = INDEX($E$5:$CE$5, 1, (COLUMNS($DU9:DV9)-1)*5 + 1), INDEX($E$8:$CE$57, MATCH($C9, $C$8:$C$57, 0), (COLUMNS($DU9:DV9)-1)*5 + 4) = "SF"), INDEX($CZ$8:$CZ$23, COLUMNS($DU9:DV9)), "0"), "")</f>
        <v/>
      </c>
      <c r="DW9" s="395">
        <f t="array" ref="DW9">IFERROR(IF(AND(INDEX($E$8:$CE$57, MATCH($C9, $C$8:$C$57, 0), (COLUMNS($DU9:DW9)-1)*5 + 1) = INDEX($E$5:$CE$5, 1, (COLUMNS($DU9:DW9)-1)*5 + 1), INDEX($E$8:$CE$57, MATCH($C9, $C$8:$C$57, 0), (COLUMNS($DU9:DW9)-1)*5 + 4) = "SF"), INDEX($CZ$8:$CZ$23, COLUMNS($DU9:DW9)), "0"), "")</f>
        <v/>
      </c>
      <c r="DX9" s="395">
        <f t="array" ref="DX9">IFERROR(IF(AND(INDEX($E$8:$CE$57, MATCH($C9, $C$8:$C$57, 0), (COLUMNS($DU9:DX9)-1)*5 + 1) = INDEX($E$5:$CE$5, 1, (COLUMNS($DU9:DX9)-1)*5 + 1), INDEX($E$8:$CE$57, MATCH($C9, $C$8:$C$57, 0), (COLUMNS($DU9:DX9)-1)*5 + 4) = "SF"), INDEX($CZ$8:$CZ$23, COLUMNS($DU9:DX9)), "0"), "")</f>
        <v/>
      </c>
      <c r="DY9" s="395">
        <f t="array" ref="DY9">IFERROR(IF(AND(INDEX($E$8:$CE$57, MATCH($C9, $C$8:$C$57, 0), (COLUMNS($DU9:DY9)-1)*5 + 1) = INDEX($E$5:$CE$5, 1, (COLUMNS($DU9:DY9)-1)*5 + 1), INDEX($E$8:$CE$57, MATCH($C9, $C$8:$C$57, 0), (COLUMNS($DU9:DY9)-1)*5 + 4) = "SF"), INDEX($CZ$8:$CZ$23, COLUMNS($DU9:DY9)), "0"), "")</f>
        <v/>
      </c>
      <c r="DZ9" s="395">
        <f t="array" ref="DZ9">IFERROR(IF(AND(INDEX($E$8:$CE$57, MATCH($C9, $C$8:$C$57, 0), (COLUMNS($DU9:DZ9)-1)*5 + 1) = INDEX($E$5:$CE$5, 1, (COLUMNS($DU9:DZ9)-1)*5 + 1), INDEX($E$8:$CE$57, MATCH($C9, $C$8:$C$57, 0), (COLUMNS($DU9:DZ9)-1)*5 + 4) = "SF"), INDEX($CZ$8:$CZ$23, COLUMNS($DU9:DZ9)), "0"), "")</f>
        <v/>
      </c>
      <c r="EA9" s="395">
        <f t="array" ref="EA9">IFERROR(IF(AND(INDEX($E$8:$CE$57, MATCH($C9, $C$8:$C$57, 0), (COLUMNS($DU9:EA9)-1)*5 + 1) = INDEX($E$5:$CE$5, 1, (COLUMNS($DU9:EA9)-1)*5 + 1), INDEX($E$8:$CE$57, MATCH($C9, $C$8:$C$57, 0), (COLUMNS($DU9:EA9)-1)*5 + 4) = "SF"), INDEX($CZ$8:$CZ$23, COLUMNS($DU9:EA9)), "0"), "")</f>
        <v/>
      </c>
      <c r="EB9" s="395">
        <f t="array" ref="EB9">IFERROR(IF(AND(INDEX($E$8:$CE$57, MATCH($C9, $C$8:$C$57, 0), (COLUMNS($DU9:EB9)-1)*5 + 1) = INDEX($E$5:$CE$5, 1, (COLUMNS($DU9:EB9)-1)*5 + 1), INDEX($E$8:$CE$57, MATCH($C9, $C$8:$C$57, 0), (COLUMNS($DU9:EB9)-1)*5 + 4) = "SF"), INDEX($CZ$8:$CZ$23, COLUMNS($DU9:EB9)), "0"), "")</f>
        <v/>
      </c>
      <c r="EC9" s="395">
        <f t="array" ref="EC9">IFERROR(IF(AND(INDEX($E$8:$CE$57, MATCH($C9, $C$8:$C$57, 0), (COLUMNS($DU9:EC9)-1)*5 + 1) = INDEX($E$5:$CE$5, 1, (COLUMNS($DU9:EC9)-1)*5 + 1), INDEX($E$8:$CE$57, MATCH($C9, $C$8:$C$57, 0), (COLUMNS($DU9:EC9)-1)*5 + 4) = "SF"), INDEX($CZ$8:$CZ$23, COLUMNS($DU9:EC9)), "0"), "")</f>
        <v/>
      </c>
      <c r="ED9" s="395">
        <f t="array" ref="ED9">IFERROR(IF(AND(INDEX($E$8:$CE$57, MATCH($C9, $C$8:$C$57, 0), (COLUMNS($DU9:ED9)-1)*5 + 1) = INDEX($E$5:$CE$5, 1, (COLUMNS($DU9:ED9)-1)*5 + 1), INDEX($E$8:$CE$57, MATCH($C9, $C$8:$C$57, 0), (COLUMNS($DU9:ED9)-1)*5 + 4) = "SF"), INDEX($CZ$8:$CZ$23, COLUMNS($DU9:ED9)), "0"), "")</f>
        <v/>
      </c>
      <c r="EE9" s="395">
        <f t="array" ref="EE9">IFERROR(IF(AND(INDEX($E$8:$CE$57, MATCH($C9, $C$8:$C$57, 0), (COLUMNS($DU9:EE9)-1)*5 + 1) = INDEX($E$5:$CE$5, 1, (COLUMNS($DU9:EE9)-1)*5 + 1), INDEX($E$8:$CE$57, MATCH($C9, $C$8:$C$57, 0), (COLUMNS($DU9:EE9)-1)*5 + 4) = "SF"), INDEX($CZ$8:$CZ$23, COLUMNS($DU9:EE9)), "0"), "")</f>
        <v/>
      </c>
      <c r="EF9" s="395">
        <f t="array" ref="EF9">IFERROR(IF(AND(INDEX($E$8:$CE$57, MATCH($C9, $C$8:$C$57, 0), (COLUMNS($DU9:EF9)-1)*5 + 1) = INDEX($E$5:$CE$5, 1, (COLUMNS($DU9:EF9)-1)*5 + 1), INDEX($E$8:$CE$57, MATCH($C9, $C$8:$C$57, 0), (COLUMNS($DU9:EF9)-1)*5 + 4) = "SF"), INDEX($CZ$8:$CZ$23, COLUMNS($DU9:EF9)), "0"), "")</f>
        <v/>
      </c>
      <c r="EG9" s="395">
        <f t="array" ref="EG9">IFERROR(IF(AND(INDEX($E$8:$CE$57, MATCH($C9, $C$8:$C$57, 0), (COLUMNS($DU9:EG9)-1)*5 + 1) = INDEX($E$5:$CE$5, 1, (COLUMNS($DU9:EG9)-1)*5 + 1), INDEX($E$8:$CE$57, MATCH($C9, $C$8:$C$57, 0), (COLUMNS($DU9:EG9)-1)*5 + 4) = "SF"), INDEX($CZ$8:$CZ$23, COLUMNS($DU9:EG9)), "0"), "")</f>
        <v/>
      </c>
      <c r="EH9" s="395">
        <f t="array" ref="EH9">IFERROR(IF(AND(INDEX($E$8:$CE$57, MATCH($C9, $C$8:$C$57, 0), (COLUMNS($DU9:EH9)-1)*5 + 1) = INDEX($E$5:$CE$5, 1, (COLUMNS($DU9:EH9)-1)*5 + 1), INDEX($E$8:$CE$57, MATCH($C9, $C$8:$C$57, 0), (COLUMNS($DU9:EH9)-1)*5 + 4) = "SF"), INDEX($CZ$8:$CZ$23, COLUMNS($DU9:EH9)), "0"), "")</f>
        <v/>
      </c>
      <c r="EI9" s="395">
        <f t="array" ref="EI9">IFERROR(IF(AND(INDEX($E$8:$CE$57, MATCH($C9, $C$8:$C$57, 0), (COLUMNS($DU9:EI9)-1)*5 + 1) = INDEX($E$5:$CE$5, 1, (COLUMNS($DU9:EI9)-1)*5 + 1), INDEX($E$8:$CE$57, MATCH($C9, $C$8:$C$57, 0), (COLUMNS($DU9:EI9)-1)*5 + 4) = "SF"), INDEX($CZ$8:$CZ$23, COLUMNS($DU9:EI9)), "0"), "")</f>
        <v/>
      </c>
      <c r="EJ9" s="395">
        <f t="array" ref="EJ9">IFERROR(IF(AND(INDEX($E$8:$CE$57, MATCH($C9, $C$8:$C$57, 0), (COLUMNS($DU9:EJ9)-1)*5 + 1) = INDEX($E$5:$CE$5, 1, (COLUMNS($DU9:EJ9)-1)*5 + 1), INDEX($E$8:$CE$57, MATCH($C9, $C$8:$C$57, 0), (COLUMNS($DU9:EJ9)-1)*5 + 4) = "SF"), INDEX($CZ$8:$CZ$23, COLUMNS($DU9:EJ9)), "0"), "")</f>
        <v/>
      </c>
    </row>
    <row r="10" ht="20.1" customHeight="1" s="568">
      <c r="A10" s="576" t="n"/>
      <c r="B10" s="92">
        <f>IF(BASE01[[#This Row],[COD]]&lt;&gt;"",B9+1,"")</f>
        <v/>
      </c>
      <c r="C10" s="601" t="inlineStr">
        <is>
          <t>COD 03</t>
        </is>
      </c>
      <c r="D10" s="93">
        <f t="array" ref="D10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0" s="145" t="n">
        <v>6</v>
      </c>
      <c r="F10" s="146" t="n">
        <v>1</v>
      </c>
      <c r="G10" s="146" t="n">
        <v>8</v>
      </c>
      <c r="H10" s="146" t="n"/>
      <c r="I10" s="602">
        <f>SUM(IF(E10=E$5,4,0),IF(E10&amp;F10=E$5&amp;F$5,1,0),
IF(AND(E10=E$5,F$6&gt;=$D$115),1,0),
IF(AND(F10=E$5,F$6&gt;=$D$115),1,0),
IF(AND(G10=E$5,F$6&gt;=$D$115),1,0),
IF(E10&amp;H10=I$5,1,0),
IF(F10=E$5,2,0),
IF(G10=E$5,1,0),
IF(OR(E10&amp;F10&amp;G10=E$5&amp;F$5&amp;G$5,E10&amp;F10&amp;G10=E$5&amp;G$5&amp;F$5,E10&amp;F10&amp;G10=F$5&amp;E$5&amp;G$5,E10&amp;F10&amp;G10=F$5&amp;G$5&amp;E$5,E10&amp;F10&amp;G10=G$5&amp;E$5&amp;F$5,E10&amp;F10&amp;G10=G$5&amp;F$5&amp;E$5),2,0),IF(AND(E10=E$5,F$6&gt;=$D$129),1,0),IF(AND(F10=E$5,F$6&gt;=$D$129),1,0),IF(AND(G10=E$5,F$6&gt;=$D$129),1,0),IF(E10&amp;H10=H$5,4,0),IF(AND(E10=E$5,F$6&lt;=$D$104),-0.5,0),IF(AND(F10=E$5,F$6&lt;=$D$104),-0.5,0),IF(AND(G10=E$5,F$6&lt;=$D$104),-0.5,0))</f>
        <v/>
      </c>
      <c r="J10" s="145" t="n">
        <v>7</v>
      </c>
      <c r="K10" s="146" t="n">
        <v>8</v>
      </c>
      <c r="L10" s="146" t="n">
        <v>3</v>
      </c>
      <c r="M10" s="146" t="n"/>
      <c r="N10" s="602">
        <f>SUM(IF(J10=J$5,4,0),IF(J10&amp;K10=J$5&amp;K$5,1,0),
IF(AND(J10=J$5,K$6&gt;=$D$115),1,0),
IF(AND(K10=J$5,K$6&gt;=$D$115),1,0),
IF(AND(L10=J$5,K$6&gt;=$D$115),1,0),
IF(J10&amp;M10=N$5,1,0),
IF(K10=J$5,2,0),
IF(L10=J$5,1,0),
IF(OR(J10&amp;K10&amp;L10=J$5&amp;K$5&amp;L$5,J10&amp;K10&amp;L10=J$5&amp;L$5&amp;K$5,J10&amp;K10&amp;L10=K$5&amp;J$5&amp;L$5,J10&amp;K10&amp;L10=K$5&amp;L$5&amp;J$5,J10&amp;K10&amp;L10=L$5&amp;J$5&amp;K$5,J10&amp;K10&amp;L10=L$5&amp;K$5&amp;J$5),2,0),IF(AND(J10=J$5,K$6&gt;=$D$129),1,0),IF(AND(K10=J$5,K$6&gt;=$D$129),1,0),IF(AND(L10=J$5,K$6&gt;=$D$129),1,0),IF(J10&amp;M10=M$5,4,0),IF(AND(J10=J$5,K$6&lt;=$D$104),-0.5,0),IF(AND(K10=J$5,K$6&lt;=$D$104),-0.5,0),IF(AND(L10=J$5,K$6&lt;=$D$104),-0.5,0))</f>
        <v/>
      </c>
      <c r="O10" s="145" t="n">
        <v>8</v>
      </c>
      <c r="P10" s="146" t="n">
        <v>6</v>
      </c>
      <c r="Q10" s="146" t="n">
        <v>3</v>
      </c>
      <c r="R10" s="146" t="n"/>
      <c r="S10" s="602">
        <f>SUM(IF(O10=O$5,4,0),IF(O10&amp;P10=O$5&amp;P$5,1,0),
IF(AND(O10=O$5,P$6&gt;=$D$115),1,0),
IF(AND(P10=O$5,P$6&gt;=$D$115),1,0),
IF(AND(Q10=O$5,P$6&gt;=$D$115),1,0),
IF(O10&amp;R10=S$5,1,0),
IF(P10=O$5,2,0),
IF(Q10=O$5,1,0),
IF(OR(O10&amp;P10&amp;Q10=O$5&amp;P$5&amp;Q$5,O10&amp;P10&amp;Q10=O$5&amp;Q$5&amp;P$5,O10&amp;P10&amp;Q10=P$5&amp;O$5&amp;Q$5,O10&amp;P10&amp;Q10=P$5&amp;Q$5&amp;O$5,O10&amp;P10&amp;Q10=Q$5&amp;O$5&amp;P$5,O10&amp;P10&amp;Q10=Q$5&amp;P$5&amp;O$5),2,0),IF(AND(O10=O$5,P$6&gt;=$D$129),1,0),IF(AND(P10=O$5,P$6&gt;=$D$129),1,0),IF(AND(Q10=O$5,P$6&gt;=$D$129),1,0),IF(O10&amp;R10=R$5,4,0),IF(AND(O10=O$5,P$6&lt;=$D$104),-0.5,0),IF(AND(P10=O$5,P$6&lt;=$D$104),-0.5,0),IF(AND(Q10=O$5,P$6&lt;=$D$104),-0.5,0))</f>
        <v/>
      </c>
      <c r="T10" s="145" t="n">
        <v>6</v>
      </c>
      <c r="U10" s="146" t="n">
        <v>7</v>
      </c>
      <c r="V10" s="146" t="n">
        <v>4</v>
      </c>
      <c r="W10" s="146" t="n"/>
      <c r="X10" s="602">
        <f>SUM(IF(T10=T$5,4,0),IF(T10&amp;U10=T$5&amp;U$5,1,0),
IF(AND(T10=T$5,U$6&gt;=$D$115),1,0),
IF(AND(U10=T$5,U$6&gt;=$D$115),1,0),
IF(AND(V10=T$5,U$6&gt;=$D$115),1,0),
IF(T10&amp;W10=X$5,1,0),
IF(U10=T$5,2,0),
IF(V10=T$5,1,0),
IF(OR(T10&amp;U10&amp;V10=T$5&amp;U$5&amp;V$5,T10&amp;U10&amp;V10=T$5&amp;V$5&amp;U$5,T10&amp;U10&amp;V10=U$5&amp;T$5&amp;V$5,T10&amp;U10&amp;V10=U$5&amp;V$5&amp;T$5,T10&amp;U10&amp;V10=V$5&amp;T$5&amp;U$5,T10&amp;U10&amp;V10=V$5&amp;U$5&amp;T$5),2,0),IF(AND(T10=T$5,U$6&gt;=$D$129),1,0),IF(AND(U10=T$5,U$6&gt;=$D$129),1,0),IF(AND(V10=T$5,U$6&gt;=$D$129),1,0),IF(T10&amp;W10=W$5,4,0),IF(AND(T10=T$5,U$6&lt;=$D$104),-0.5,0),IF(AND(U10=T$5,U$6&lt;=$D$104),-0.5,0),IF(AND(V10=T$5,U$6&lt;=$D$104),-0.5,0))</f>
        <v/>
      </c>
      <c r="Y10" s="145" t="n">
        <v>5</v>
      </c>
      <c r="Z10" s="146" t="n"/>
      <c r="AA10" s="146" t="n"/>
      <c r="AB10" s="146" t="inlineStr">
        <is>
          <t>SF</t>
        </is>
      </c>
      <c r="AC10" s="602">
        <f>SUM(IF(Y10=Y$5,4,0),IF(Y10&amp;Z10=Y$5&amp;Z$5,1,0),
IF(AND(Y10=Y$5,Z$6&gt;=$D$115),1,0),
IF(AND(Z10=Y$5,Z$6&gt;=$D$115),1,0),
IF(AND(AA10=Y$5,Z$6&gt;=$D$115),1,0),
IF(Y10&amp;AB10=AC$5,1,0),
IF(Z10=Y$5,2,0),
IF(AA10=Y$5,1,0),
IF(OR(Y10&amp;Z10&amp;AA10=Y$5&amp;Z$5&amp;AA$5,Y10&amp;Z10&amp;AA10=Y$5&amp;AA$5&amp;Z$5,Y10&amp;Z10&amp;AA10=Z$5&amp;Y$5&amp;AA$5,Y10&amp;Z10&amp;AA10=Z$5&amp;AA$5&amp;Y$5,Y10&amp;Z10&amp;AA10=AA$5&amp;Y$5&amp;Z$5,Y10&amp;Z10&amp;AA10=AA$5&amp;Z$5&amp;Y$5),2,0),IF(AND(Y10=Y$5,Z$6&gt;=$D$129),1,0),IF(AND(Z10=Y$5,Z$6&gt;=$D$129),1,0),IF(AND(AA10=Y$5,Z$6&gt;=$D$129),1,0),IF(Y10&amp;AB10=AB$5,4,0),IF(AND(Y10=Y$5,Z$6&lt;=$D$104),-0.5,0),IF(AND(Z10=Y$5,Z$6&lt;=$D$104),-0.5,0),IF(AND(AA10=Y$5,Z$6&lt;=$D$104),-0.5,0))</f>
        <v/>
      </c>
      <c r="AD10" s="145" t="n">
        <v>2</v>
      </c>
      <c r="AE10" s="146" t="n">
        <v>5</v>
      </c>
      <c r="AF10" s="146" t="n">
        <v>4</v>
      </c>
      <c r="AG10" s="146" t="n"/>
      <c r="AH10" s="602">
        <f>SUM(IF(AD10=AD$5,4,0),IF(AD10&amp;AE10=AD$5&amp;AE$5,1,0),
IF(AND(AD10=AD$5,AE$6&gt;=$D$115),1,0),
IF(AND(AE10=AD$5,AE$6&gt;=$D$115),1,0),
IF(AND(AF10=AD$5,AE$6&gt;=$D$115),1,0),
IF(AD10&amp;AG10=AH$5,1,0),
IF(AE10=AD$5,2,0),
IF(AF10=AD$5,1,0),
IF(OR(AD10&amp;AE10&amp;AF10=AD$5&amp;AE$5&amp;AF$5,AD10&amp;AE10&amp;AF10=AD$5&amp;AF$5&amp;AE$5,AD10&amp;AE10&amp;AF10=AE$5&amp;AD$5&amp;AF$5,AD10&amp;AE10&amp;AF10=AE$5&amp;AF$5&amp;AD$5,AD10&amp;AE10&amp;AF10=AF$5&amp;AD$5&amp;AE$5,AD10&amp;AE10&amp;AF10=AF$5&amp;AE$5&amp;AD$5),2,0),IF(AND(AD10=AD$5,AE$6&gt;=$D$129),1,0),IF(AND(AE10=AD$5,AE$6&gt;=$D$129),1,0),IF(AND(AF10=AD$5,AE$6&gt;=$D$129),1,0),IF(AD10&amp;AG10=AG$5,4,0),IF(AND(AD10=AD$5,AE$6&lt;=$D$104),-0.5,0),IF(AND(AE10=AD$5,AE$6&lt;=$D$104),-0.5,0),IF(AND(AF10=AD$5,AE$6&lt;=$D$104),-0.5,0))</f>
        <v/>
      </c>
      <c r="AI10" s="145" t="n">
        <v>7</v>
      </c>
      <c r="AJ10" s="146" t="n">
        <v>4</v>
      </c>
      <c r="AK10" s="146" t="n">
        <v>3</v>
      </c>
      <c r="AL10" s="146" t="inlineStr">
        <is>
          <t>F</t>
        </is>
      </c>
      <c r="AM10" s="602">
        <f>SUM(IF(AI10=AI$5,4,0),IF(AI10&amp;AJ10=AI$5&amp;AJ$5,1,0),
IF(AND(AI10=AI$5,AJ$6&gt;=$D$115),1,0),
IF(AND(AJ10=AI$5,AJ$6&gt;=$D$115),1,0),
IF(AND(AK10=AI$5,AJ$6&gt;=$D$115),1,0),
IF(AI10&amp;AL10=AM$5,1,0),
IF(AJ10=AI$5,2,0),
IF(AK10=AI$5,1,0),
IF(OR(AI10&amp;AJ10&amp;AK10=AI$5&amp;AJ$5&amp;AK$5,AI10&amp;AJ10&amp;AK10=AI$5&amp;AK$5&amp;AJ$5,AI10&amp;AJ10&amp;AK10=AJ$5&amp;AI$5&amp;AK$5,AI10&amp;AJ10&amp;AK10=AJ$5&amp;AK$5&amp;AI$5,AI10&amp;AJ10&amp;AK10=AK$5&amp;AI$5&amp;AJ$5,AI10&amp;AJ10&amp;AK10=AK$5&amp;AJ$5&amp;AI$5),2,0),IF(AND(AI10=AI$5,AJ$6&gt;=$D$129),1,0),IF(AND(AJ10=AI$5,AJ$6&gt;=$D$129),1,0),IF(AND(AK10=AI$5,AJ$6&gt;=$D$129),1,0),IF(AI10&amp;AL10=AL$5,4,0),IF(AND(AI10=AI$5,AJ$6&lt;=$D$104),-0.5,0),IF(AND(AJ10=AI$5,AJ$6&lt;=$D$104),-0.5,0),IF(AND(AK10=AI$5,AJ$6&lt;=$D$104),-0.5,0))</f>
        <v/>
      </c>
      <c r="AN10" s="145" t="n">
        <v>11</v>
      </c>
      <c r="AO10" s="146" t="n">
        <v>8</v>
      </c>
      <c r="AP10" s="146" t="n">
        <v>5</v>
      </c>
      <c r="AQ10" s="146" t="n"/>
      <c r="AR10" s="602">
        <f>SUM(IF(AN10=AN$5,4,0),IF(AN10&amp;AO10=AN$5&amp;AO$5,1,0),
IF(AND(AN10=AN$5,AO$6&gt;=$D$115),1,0),
IF(AND(AO10=AN$5,AO$6&gt;=$D$115),1,0),
IF(AND(AP10=AN$5,AO$6&gt;=$D$115),1,0),
IF(AN10&amp;AQ10=AR$5,1,0),
IF(AO10=AN$5,2,0),
IF(AP10=AN$5,1,0),
IF(OR(AN10&amp;AO10&amp;AP10=AN$5&amp;AO$5&amp;AP$5,AN10&amp;AO10&amp;AP10=AN$5&amp;AP$5&amp;AO$5,AN10&amp;AO10&amp;AP10=AO$5&amp;AN$5&amp;AP$5,AN10&amp;AO10&amp;AP10=AO$5&amp;AP$5&amp;AN$5,AN10&amp;AO10&amp;AP10=AP$5&amp;AN$5&amp;AO$5,AN10&amp;AO10&amp;AP10=AP$5&amp;AO$5&amp;AN$5),2,0),IF(AND(AN10=AN$5,AO$6&gt;=$D$129),1,0),IF(AND(AO10=AN$5,AO$6&gt;=$D$129),1,0),IF(AND(AP10=AN$5,AO$6&gt;=$D$129),1,0),IF(AN10&amp;AQ10=AQ$5,4,0),IF(AND(AN10=AN$5,AO$6&lt;=$D$104),-0.5,0),IF(AND(AO10=AN$5,AO$6&lt;=$D$104),-0.5,0),IF(AND(AP10=AN$5,AO$6&lt;=$D$104),-0.5,0))</f>
        <v/>
      </c>
      <c r="AS10" s="145" t="n">
        <v>1</v>
      </c>
      <c r="AT10" s="146" t="n">
        <v>2</v>
      </c>
      <c r="AU10" s="146" t="n">
        <v>3</v>
      </c>
      <c r="AV10" s="146" t="n"/>
      <c r="AW10" s="602">
        <f>SUM(IF(AS10=AS$5,4,0),IF(AS10&amp;AT10=AS$5&amp;AT$5,1,0),
IF(AND(AS10=AS$5,AT$6&gt;=$D$115),1,0),
IF(AND(AT10=AS$5,AT$6&gt;=$D$115),1,0),
IF(AND(AU10=AS$5,AT$6&gt;=$D$115),1,0),
IF(AS10&amp;AV10=AW$5,1,0),
IF(AT10=AS$5,2,0),
IF(AU10=AS$5,1,0),
IF(OR(AS10&amp;AT10&amp;AU10=AS$5&amp;AT$5&amp;AU$5,AS10&amp;AT10&amp;AU10=AS$5&amp;AU$5&amp;AT$5,AS10&amp;AT10&amp;AU10=AT$5&amp;AS$5&amp;AU$5,AS10&amp;AT10&amp;AU10=AT$5&amp;AU$5&amp;AS$5,AS10&amp;AT10&amp;AU10=AU$5&amp;AS$5&amp;AT$5,AS10&amp;AT10&amp;AU10=AU$5&amp;AT$5&amp;AS$5),2,0),IF(AND(AS10=AS$5,AT$6&gt;=$D$129),1,0),IF(AND(AT10=AS$5,AT$6&gt;=$D$129),1,0),IF(AND(AU10=AS$5,AT$6&gt;=$D$129),1,0),IF(AS10&amp;AV10=AV$5,4,0),IF(AND(AS10=AS$5,AT$6&lt;=$D$104),-0.5,0),IF(AND(AT10=AS$5,AT$6&lt;=$D$104),-0.5,0),IF(AND(AU10=AS$5,AT$6&lt;=$D$104),-0.5,0))</f>
        <v/>
      </c>
      <c r="AX10" s="145" t="n">
        <v>9</v>
      </c>
      <c r="AY10" s="146" t="n">
        <v>3</v>
      </c>
      <c r="AZ10" s="146" t="n">
        <v>1</v>
      </c>
      <c r="BA10" s="146" t="n"/>
      <c r="BB10" s="602">
        <f>SUM(IF(AX10=AX$5,4,0),IF(AX10&amp;AY10=AX$5&amp;AY$5,1,0),
IF(AND(AX10=AX$5,AY$6&gt;=$D$115),1,0),
IF(AND(AY10=AX$5,AY$6&gt;=$D$115),1,0),
IF(AND(AZ10=AX$5,AY$6&gt;=$D$115),1,0),
IF(AX10&amp;BA10=BB$5,1,0),
IF(AY10=AX$5,2,0),
IF(AZ10=AX$5,1,0),
IF(OR(AX10&amp;AY10&amp;AZ10=AX$5&amp;AY$5&amp;AZ$5,AX10&amp;AY10&amp;AZ10=AX$5&amp;AZ$5&amp;AY$5,AX10&amp;AY10&amp;AZ10=AY$5&amp;AX$5&amp;AZ$5,AX10&amp;AY10&amp;AZ10=AY$5&amp;AZ$5&amp;AX$5,AX10&amp;AY10&amp;AZ10=AZ$5&amp;AX$5&amp;AY$5,AX10&amp;AY10&amp;AZ10=AZ$5&amp;AY$5&amp;AX$5),2,0),IF(AND(AX10=AX$5,AY$6&gt;=$D$129),1,0),IF(AND(AY10=AX$5,AY$6&gt;=$D$129),1,0),IF(AND(AZ10=AX$5,AY$6&gt;=$D$129),1,0),IF(AX10&amp;BA10=BA$5,4,0),IF(AND(AX10=AX$5,AY$6&lt;=$D$104),-0.5,0),IF(AND(AY10=AX$5,AY$6&lt;=$D$104),-0.5,0),IF(AND(AZ10=AX$5,AY$6&lt;=$D$104),-0.5,0))</f>
        <v/>
      </c>
      <c r="BC10" s="145" t="n">
        <v>4</v>
      </c>
      <c r="BD10" s="146" t="n">
        <v>8</v>
      </c>
      <c r="BE10" s="146" t="n">
        <v>2</v>
      </c>
      <c r="BF10" s="146" t="inlineStr">
        <is>
          <t>F</t>
        </is>
      </c>
      <c r="BG10" s="602">
        <f>SUM(IF(BC10=BC$5,4,0),IF(BC10&amp;BD10=BC$5&amp;BD$5,1,0),
IF(AND(BC10=BC$5,BD$6&gt;=$D$115),1,0),
IF(AND(BD10=BC$5,BD$6&gt;=$D$115),1,0),
IF(AND(BE10=BC$5,BD$6&gt;=$D$115),1,0),
IF(BC10&amp;BF10=BG$5,1,0),
IF(BD10=BC$5,2,0),
IF(BE10=BC$5,1,0),
IF(OR(BC10&amp;BD10&amp;BE10=BC$5&amp;BD$5&amp;BE$5,BC10&amp;BD10&amp;BE10=BC$5&amp;BE$5&amp;BD$5,BC10&amp;BD10&amp;BE10=BD$5&amp;BC$5&amp;BE$5,BC10&amp;BD10&amp;BE10=BD$5&amp;BE$5&amp;BC$5,BC10&amp;BD10&amp;BE10=BE$5&amp;BC$5&amp;BD$5,BC10&amp;BD10&amp;BE10=BE$5&amp;BD$5&amp;BC$5),2,0),IF(AND(BC10=BC$5,BD$6&gt;=$D$129),1,0),IF(AND(BD10=BC$5,BD$6&gt;=$D$129),1,0),IF(AND(BE10=BC$5,BD$6&gt;=$D$129),1,0),IF(BC10&amp;BF10=BF$5,4,0),IF(AND(BC10=BC$5,BD$6&lt;=$D$104),-0.5,0),IF(AND(BD10=BC$5,BD$6&lt;=$D$104),-0.5,0),IF(AND(BE10=BC$5,BD$6&lt;=$D$104),-0.5,0))</f>
        <v/>
      </c>
      <c r="BH10" s="145" t="n">
        <v>5</v>
      </c>
      <c r="BI10" s="146" t="n">
        <v>6</v>
      </c>
      <c r="BJ10" s="146" t="n">
        <v>1</v>
      </c>
      <c r="BK10" s="146" t="n"/>
      <c r="BL10" s="602">
        <f>SUM(IF(BH10=BH$5,4,0),IF(BH10&amp;BI10=BH$5&amp;BI$5,1,0),
IF(AND(BH10=BH$5,BI$6&gt;=$D$115),1,0),
IF(AND(BI10=BH$5,BI$6&gt;=$D$115),1,0),
IF(AND(BJ10=BH$5,BI$6&gt;=$D$115),1,0),
IF(BH10&amp;BK10=BL$5,1,0),
IF(BI10=BH$5,2,0),
IF(BJ10=BH$5,1,0),
IF(OR(BH10&amp;BI10&amp;BJ10=BH$5&amp;BI$5&amp;BJ$5,BH10&amp;BI10&amp;BJ10=BH$5&amp;BJ$5&amp;BI$5,BH10&amp;BI10&amp;BJ10=BI$5&amp;BH$5&amp;BJ$5,BH10&amp;BI10&amp;BJ10=BI$5&amp;BJ$5&amp;BH$5,BH10&amp;BI10&amp;BJ10=BJ$5&amp;BH$5&amp;BI$5,BH10&amp;BI10&amp;BJ10=BJ$5&amp;BI$5&amp;BH$5),2,0),IF(AND(BH10=BH$5,BI$6&gt;=$D$129),1,0),IF(AND(BI10=BH$5,BI$6&gt;=$D$129),1,0),IF(AND(BJ10=BH$5,BI$6&gt;=$D$129),1,0),IF(BH10&amp;BK10=BK$5,4,0),IF(AND(BH10=BH$5,BI$6&lt;=$D$104),-0.5,0),IF(AND(BI10=BH$5,BI$6&lt;=$D$104),-0.5,0),IF(AND(BJ10=BH$5,BI$6&lt;=$D$104),-0.5,0))</f>
        <v/>
      </c>
      <c r="BM10" s="145" t="n">
        <v>1</v>
      </c>
      <c r="BN10" s="146" t="n">
        <v>12</v>
      </c>
      <c r="BO10" s="146" t="n">
        <v>4</v>
      </c>
      <c r="BP10" s="146" t="n"/>
      <c r="BQ10" s="602">
        <f>SUM(IF(BM10=BM$5,4,0),IF(BM10&amp;BN10=BM$5&amp;BN$5,1,0),
IF(AND(BM10=BM$5,BN$6&gt;=$D$115),1,0),
IF(AND(BN10=BM$5,BN$6&gt;=$D$115),1,0),
IF(AND(BO10=BM$5,BN$6&gt;=$D$115),1,0),
IF(BM10&amp;BP10=BQ$5,1,0),
IF(BN10=BM$5,2,0),
IF(BO10=BM$5,1,0),
IF(OR(BM10&amp;BN10&amp;BO10=BM$5&amp;BN$5&amp;BO$5,BM10&amp;BN10&amp;BO10=BM$5&amp;BO$5&amp;BN$5,BM10&amp;BN10&amp;BO10=BN$5&amp;BM$5&amp;BO$5,BM10&amp;BN10&amp;BO10=BN$5&amp;BO$5&amp;BM$5,BM10&amp;BN10&amp;BO10=BO$5&amp;BM$5&amp;BN$5,BM10&amp;BN10&amp;BO10=BO$5&amp;BN$5&amp;BM$5),2,0),IF(AND(BM10=BM$5,BN$6&gt;=$D$129),1,0),IF(AND(BN10=BM$5,BN$6&gt;=$D$129),1,0),IF(AND(BO10=BM$5,BN$6&gt;=$D$129),1,0),IF(BM10&amp;BP10=BP$5,4,0),IF(AND(BM10=BM$5,BN$6&lt;=$D$104),-0.5,0),IF(AND(BN10=BM$5,BN$6&lt;=$D$104),-0.5,0),IF(AND(BO10=BM$5,BN$6&lt;=$D$104),-0.5,0))</f>
        <v/>
      </c>
      <c r="BR10" s="145" t="n"/>
      <c r="BS10" s="146" t="n"/>
      <c r="BT10" s="146" t="n"/>
      <c r="BU10" s="146" t="n"/>
      <c r="BV10" s="602">
        <f>SUM(IF(BR10=BR$5,4,0),IF(BR10&amp;BS10=BR$5&amp;BS$5,1,0),
IF(AND(BR10=BR$5,BS$6&gt;=$D$115),1,0),
IF(AND(BS10=BR$5,BS$6&gt;=$D$115),1,0),
IF(AND(BT10=BR$5,BS$6&gt;=$D$115),1,0),
IF(BR10&amp;BU10=BV$5,1,0),
IF(BS10=BR$5,2,0),
IF(BT10=BR$5,1,0),
IF(OR(BR10&amp;BS10&amp;BT10=BR$5&amp;BS$5&amp;BT$5,BR10&amp;BS10&amp;BT10=BR$5&amp;BT$5&amp;BS$5,BR10&amp;BS10&amp;BT10=BS$5&amp;BR$5&amp;BT$5,BR10&amp;BS10&amp;BT10=BS$5&amp;BT$5&amp;BR$5,BR10&amp;BS10&amp;BT10=BT$5&amp;BR$5&amp;BS$5,BR10&amp;BS10&amp;BT10=BT$5&amp;BS$5&amp;BR$5),2,0),IF(AND(BR10=BR$5,BS$6&gt;=$D$129),1,0),IF(AND(BS10=BR$5,BS$6&gt;=$D$129),1,0),IF(AND(BT10=BR$5,BS$6&gt;=$D$129),1,0),IF(BR10&amp;BU10=BU$5,4,0),IF(AND(BR10=BR$5,BS$6&lt;=$D$104),-0.5,0),IF(AND(BS10=BR$5,BS$6&lt;=$D$104),-0.5,0),IF(AND(BT10=BR$5,BS$6&lt;=$D$104),-0.5,0))</f>
        <v/>
      </c>
      <c r="BW10" s="145" t="n"/>
      <c r="BX10" s="146" t="n"/>
      <c r="BY10" s="146" t="n"/>
      <c r="BZ10" s="146" t="n"/>
      <c r="CA10" s="602">
        <f>SUM(IF(BW10=BW$5,4,0),IF(BW10&amp;BX10=BW$5&amp;BX$5,1,0),
IF(AND(BW10=BW$5,BX$6&gt;=$D$115),1,0),
IF(AND(BX10=BW$5,BX$6&gt;=$D$115),1,0),
IF(AND(BY10=BW$5,BX$6&gt;=$D$115),1,0),
IF(BW10&amp;BZ10=CA$5,1,0),
IF(BX10=BW$5,2,0),
IF(BY10=BW$5,1,0),
IF(OR(BW10&amp;BX10&amp;BY10=BW$5&amp;BX$5&amp;BY$5,BW10&amp;BX10&amp;BY10=BW$5&amp;BY$5&amp;BX$5,BW10&amp;BX10&amp;BY10=BX$5&amp;BW$5&amp;BY$5,BW10&amp;BX10&amp;BY10=BX$5&amp;BY$5&amp;BW$5,BW10&amp;BX10&amp;BY10=BY$5&amp;BW$5&amp;BX$5,BW10&amp;BX10&amp;BY10=BY$5&amp;BX$5&amp;BW$5),2,0),IF(AND(BW10=BW$5,BX$6&gt;=$D$129),1,0),IF(AND(BX10=BW$5,BX$6&gt;=$D$129),1,0),IF(AND(BY10=BW$5,BX$6&gt;=$D$129),1,0),IF(BW10&amp;BZ10=BZ$5,4,0),IF(AND(BW10=BW$5,BX$6&lt;=$D$104),-0.5,0),IF(AND(BX10=BW$5,BX$6&lt;=$D$104),-0.5,0),IF(AND(BY10=BW$5,BX$6&lt;=$D$104),-0.5,0))</f>
        <v/>
      </c>
      <c r="CB10" s="145" t="n"/>
      <c r="CC10" s="146" t="n"/>
      <c r="CD10" s="146" t="n"/>
      <c r="CE10" s="146" t="n"/>
      <c r="CF10" s="602">
        <f>SUM(IF(CB10=CB$5,4,0),IF(CB10&amp;CC10=CB$5&amp;CC$5,1,0),
IF(AND(CB10=CB$5,CC$6&gt;=$D$115),1,0),
IF(AND(CC10=CB$5,CC$6&gt;=$D$115),1,0),
IF(AND(CD10=CB$5,CC$6&gt;=$D$115),1,0),
IF(CB10&amp;CE10=CF$5,1,0),
IF(CC10=CB$5,2,0),
IF(CD10=CB$5,1,0),
IF(OR(CB10&amp;CC10&amp;CD10=CB$5&amp;CC$5&amp;CD$5,CB10&amp;CC10&amp;CD10=CB$5&amp;CD$5&amp;CC$5,CB10&amp;CC10&amp;CD10=CC$5&amp;CB$5&amp;CD$5,CB10&amp;CC10&amp;CD10=CC$5&amp;CD$5&amp;CB$5,CB10&amp;CC10&amp;CD10=CD$5&amp;CB$5&amp;CC$5,CB10&amp;CC10&amp;CD10=CD$5&amp;CC$5&amp;CB$5),2,0),IF(AND(CB10=CB$5,CC$6&gt;=$D$129),1,0),IF(AND(CC10=CB$5,CC$6&gt;=$D$129),1,0),IF(AND(CD10=CB$5,CC$6&gt;=$D$129),1,0),IF(CB10&amp;CE10=CE$5,4,0),IF(AND(CB10=CB$5,CC$6&lt;=$D$104),-0.5,0),IF(AND(CC10=CB$5,CC$6&lt;=$D$104),-0.5,0),IF(AND(CD10=CB$5,CC$6&lt;=$D$104),-0.5,0))</f>
        <v/>
      </c>
      <c r="CG10" s="164">
        <f>IF(BASE01[[#This Row],[1]]="",0,$B$4)</f>
        <v/>
      </c>
      <c r="CH10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0" s="166">
        <f>IF(BASE01[[#This Row],[Columna14]]=0,0,(CH10/CG10))</f>
        <v/>
      </c>
      <c r="CJ10" s="165">
        <f>IF(BASE01[[#This Row],[1]]="",0,$B$4)</f>
        <v/>
      </c>
      <c r="CK10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0" s="166">
        <f>IF(BASE01[[#This Row],[Columna14]]=0,0,(CK10/CJ10))</f>
        <v/>
      </c>
      <c r="CM10" s="164">
        <f>IF(BASE01[[#This Row],[1]]="",0,$B$4)</f>
        <v/>
      </c>
      <c r="CN10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0" s="166">
        <f>IF(BASE01[[#This Row],[Columna14]]=0,0,(CN10/CM10))</f>
        <v/>
      </c>
      <c r="CP10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0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Row],[Columna25]],$AX$5,BA10,"SF")+COUNTIFS(BASE01[[#This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0" s="166">
        <f>IF(BASE01[[#This Row],[Columna14]]=0,0,(CQ10/CP10))</f>
        <v/>
      </c>
      <c r="CS10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0" s="95" t="n"/>
      <c r="CU10" s="604">
        <f>SUM(CS10,CT10)</f>
        <v/>
      </c>
      <c r="CV10" s="96">
        <f>IF(BASE01[[#This Row],[TIPO]]="PREMIO",$O$3,"0,00")</f>
        <v/>
      </c>
      <c r="CW10" s="576" t="n"/>
      <c r="CY10" s="393" t="n">
        <v>3</v>
      </c>
      <c r="CZ10" s="354">
        <f>P$6</f>
        <v/>
      </c>
      <c r="DB10" s="605">
        <f>BASE01[[#This Row],[COD]]</f>
        <v/>
      </c>
      <c r="DC10" s="395">
        <f t="array" ref="DC10">IFERROR(IF(AND(INDEX($E$8:$CE$57, MATCH($C10, $C$8:$C$57, 0), (COLUMNS($DC10:DC10)-1)*5 + 1) = INDEX($E$5:$CE$5, 1, (COLUMNS($DC10:DC10)-1)*5 + 1), INDEX($E$8:$CE$57, MATCH($C10, $C$8:$C$57, 0), (COLUMNS($DC10:DC10)-1)*5 + 4) = "F"), INDEX($CZ$8:$CZ$23, COLUMNS($DC10:DC10)), "0"), "")</f>
        <v/>
      </c>
      <c r="DD10" s="395">
        <f t="array" ref="DD10">IFERROR(IF(AND(INDEX($E$8:$CE$57, MATCH($C10, $C$8:$C$57, 0), (COLUMNS($DC10:DD10)-1)*5 + 1) = INDEX($E$5:$CE$5, 1, (COLUMNS($DC10:DD10)-1)*5 + 1), INDEX($E$8:$CE$57, MATCH($C10, $C$8:$C$57, 0), (COLUMNS($DC10:DD10)-1)*5 + 4) = "F"), INDEX($CZ$8:$CZ$23, COLUMNS($DC10:DD10)), "0"), "")</f>
        <v/>
      </c>
      <c r="DE10" s="395">
        <f t="array" ref="DE10">IFERROR(IF(AND(INDEX($E$8:$CE$57, MATCH($C10, $C$8:$C$57, 0), (COLUMNS($DC10:DE10)-1)*5 + 1) = INDEX($E$5:$CE$5, 1, (COLUMNS($DC10:DE10)-1)*5 + 1), INDEX($E$8:$CE$57, MATCH($C10, $C$8:$C$57, 0), (COLUMNS($DC10:DE10)-1)*5 + 4) = "F"), INDEX($CZ$8:$CZ$23, COLUMNS($DC10:DE10)), "0"), "")</f>
        <v/>
      </c>
      <c r="DF10" s="395">
        <f t="array" ref="DF10">IFERROR(IF(AND(INDEX($E$8:$CE$57, MATCH($C10, $C$8:$C$57, 0), (COLUMNS($DC10:DF10)-1)*5 + 1) = INDEX($E$5:$CE$5, 1, (COLUMNS($DC10:DF10)-1)*5 + 1), INDEX($E$8:$CE$57, MATCH($C10, $C$8:$C$57, 0), (COLUMNS($DC10:DF10)-1)*5 + 4) = "F"), INDEX($CZ$8:$CZ$23, COLUMNS($DC10:DF10)), "0"), "")</f>
        <v/>
      </c>
      <c r="DG10" s="395">
        <f t="array" ref="DG10">IFERROR(IF(AND(INDEX($E$8:$CE$57, MATCH($C10, $C$8:$C$57, 0), (COLUMNS($DC10:DG10)-1)*5 + 1) = INDEX($E$5:$CE$5, 1, (COLUMNS($DC10:DG10)-1)*5 + 1), INDEX($E$8:$CE$57, MATCH($C10, $C$8:$C$57, 0), (COLUMNS($DC10:DG10)-1)*5 + 4) = "F"), INDEX($CZ$8:$CZ$23, COLUMNS($DC10:DG10)), "0"), "")</f>
        <v/>
      </c>
      <c r="DH10" s="395">
        <f t="array" ref="DH10">IFERROR(IF(AND(INDEX($E$8:$CE$57, MATCH($C10, $C$8:$C$57, 0), (COLUMNS($DC10:DH10)-1)*5 + 1) = INDEX($E$5:$CE$5, 1, (COLUMNS($DC10:DH10)-1)*5 + 1), INDEX($E$8:$CE$57, MATCH($C10, $C$8:$C$57, 0), (COLUMNS($DC10:DH10)-1)*5 + 4) = "F"), INDEX($CZ$8:$CZ$23, COLUMNS($DC10:DH10)), "0"), "")</f>
        <v/>
      </c>
      <c r="DI10" s="395">
        <f t="array" ref="DI10">IFERROR(IF(AND(INDEX($E$8:$CE$57, MATCH($C10, $C$8:$C$57, 0), (COLUMNS($DC10:DI10)-1)*5 + 1) = INDEX($E$5:$CE$5, 1, (COLUMNS($DC10:DI10)-1)*5 + 1), INDEX($E$8:$CE$57, MATCH($C10, $C$8:$C$57, 0), (COLUMNS($DC10:DI10)-1)*5 + 4) = "F"), INDEX($CZ$8:$CZ$23, COLUMNS($DC10:DI10)), "0"), "")</f>
        <v/>
      </c>
      <c r="DJ10" s="395">
        <f t="array" ref="DJ10">IFERROR(IF(AND(INDEX($E$8:$CE$57, MATCH($C10, $C$8:$C$57, 0), (COLUMNS($DC10:DJ10)-1)*5 + 1) = INDEX($E$5:$CE$5, 1, (COLUMNS($DC10:DJ10)-1)*5 + 1), INDEX($E$8:$CE$57, MATCH($C10, $C$8:$C$57, 0), (COLUMNS($DC10:DJ10)-1)*5 + 4) = "F"), INDEX($CZ$8:$CZ$23, COLUMNS($DC10:DJ10)), "0"), "")</f>
        <v/>
      </c>
      <c r="DK10" s="395">
        <f t="array" ref="DK10">IFERROR(IF(AND(INDEX($E$8:$CE$57, MATCH($C10, $C$8:$C$57, 0), (COLUMNS($DC10:DK10)-1)*5 + 1) = INDEX($E$5:$CE$5, 1, (COLUMNS($DC10:DK10)-1)*5 + 1), INDEX($E$8:$CE$57, MATCH($C10, $C$8:$C$57, 0), (COLUMNS($DC10:DK10)-1)*5 + 4) = "F"), INDEX($CZ$8:$CZ$23, COLUMNS($DC10:DK10)), "0"), "")</f>
        <v/>
      </c>
      <c r="DL10" s="395">
        <f t="array" ref="DL10">IFERROR(IF(AND(INDEX($E$8:$CE$57, MATCH($C10, $C$8:$C$57, 0), (COLUMNS($DC10:DL10)-1)*5 + 1) = INDEX($E$5:$CE$5, 1, (COLUMNS($DC10:DL10)-1)*5 + 1), INDEX($E$8:$CE$57, MATCH($C10, $C$8:$C$57, 0), (COLUMNS($DC10:DL10)-1)*5 + 4) = "F"), INDEX($CZ$8:$CZ$23, COLUMNS($DC10:DL10)), "0"), "")</f>
        <v/>
      </c>
      <c r="DM10" s="395">
        <f t="array" ref="DM10">IFERROR(IF(AND(INDEX($E$8:$CE$57, MATCH($C10, $C$8:$C$57, 0), (COLUMNS($DC10:DM10)-1)*5 + 1) = INDEX($E$5:$CE$5, 1, (COLUMNS($DC10:DM10)-1)*5 + 1), INDEX($E$8:$CE$57, MATCH($C10, $C$8:$C$57, 0), (COLUMNS($DC10:DM10)-1)*5 + 4) = "F"), INDEX($CZ$8:$CZ$23, COLUMNS($DC10:DM10)), "0"), "")</f>
        <v/>
      </c>
      <c r="DN10" s="395">
        <f t="array" ref="DN10">IFERROR(IF(AND(INDEX($E$8:$CE$57, MATCH($C10, $C$8:$C$57, 0), (COLUMNS($DC10:DN10)-1)*5 + 1) = INDEX($E$5:$CE$5, 1, (COLUMNS($DC10:DN10)-1)*5 + 1), INDEX($E$8:$CE$57, MATCH($C10, $C$8:$C$57, 0), (COLUMNS($DC10:DN10)-1)*5 + 4) = "F"), INDEX($CZ$8:$CZ$23, COLUMNS($DC10:DN10)), "0"), "")</f>
        <v/>
      </c>
      <c r="DO10" s="395">
        <f t="array" ref="DO10">IFERROR(IF(AND(INDEX($E$8:$CE$57, MATCH($C10, $C$8:$C$57, 0), (COLUMNS($DC10:DO10)-1)*5 + 1) = INDEX($E$5:$CE$5, 1, (COLUMNS($DC10:DO10)-1)*5 + 1), INDEX($E$8:$CE$57, MATCH($C10, $C$8:$C$57, 0), (COLUMNS($DC10:DO10)-1)*5 + 4) = "F"), INDEX($CZ$8:$CZ$23, COLUMNS($DC10:DO10)), "0"), "")</f>
        <v/>
      </c>
      <c r="DP10" s="395">
        <f t="array" ref="DP10">IFERROR(IF(AND(INDEX($E$8:$CE$57, MATCH($C10, $C$8:$C$57, 0), (COLUMNS($DC10:DP10)-1)*5 + 1) = INDEX($E$5:$CE$5, 1, (COLUMNS($DC10:DP10)-1)*5 + 1), INDEX($E$8:$CE$57, MATCH($C10, $C$8:$C$57, 0), (COLUMNS($DC10:DP10)-1)*5 + 4) = "F"), INDEX($CZ$8:$CZ$23, COLUMNS($DC10:DP10)), "0"), "")</f>
        <v/>
      </c>
      <c r="DQ10" s="395">
        <f t="array" ref="DQ10">IFERROR(IF(AND(INDEX($E$8:$CE$57, MATCH($C10, $C$8:$C$57, 0), (COLUMNS($DC10:DQ10)-1)*5 + 1) = INDEX($E$5:$CE$5, 1, (COLUMNS($DC10:DQ10)-1)*5 + 1), INDEX($E$8:$CE$57, MATCH($C10, $C$8:$C$57, 0), (COLUMNS($DC10:DQ10)-1)*5 + 4) = "F"), INDEX($CZ$8:$CZ$23, COLUMNS($DC10:DQ10)), "0"), "")</f>
        <v/>
      </c>
      <c r="DR10" s="395">
        <f t="array" ref="DR10">IFERROR(IF(AND(INDEX($E$8:$CE$57, MATCH($C10, $C$8:$C$57, 0), (COLUMNS($DC10:DR10)-1)*5 + 1) = INDEX($E$5:$CE$5, 1, (COLUMNS($DC10:DR10)-1)*5 + 1), INDEX($E$8:$CE$57, MATCH($C10, $C$8:$C$57, 0), (COLUMNS($DC10:DR10)-1)*5 + 4) = "F"), INDEX($CZ$8:$CZ$23, COLUMNS($DC10:DR10)), "0"), "")</f>
        <v/>
      </c>
      <c r="DT10" s="605">
        <f>BASE01[[#This Row],[COD]]</f>
        <v/>
      </c>
      <c r="DU10" s="395">
        <f t="array" ref="DU10">IFERROR(IF(AND(INDEX($E$8:$CE$57, MATCH($C10, $C$8:$C$57, 0), (COLUMNS($DU10:DU10)-1)*5 + 1) = INDEX($E$5:$CE$5, 1, (COLUMNS($DU10:DU10)-1)*5 + 1), INDEX($E$8:$CE$57, MATCH($C10, $C$8:$C$57, 0), (COLUMNS($DU10:DU10)-1)*5 + 4) = "SF"), INDEX($CZ$8:$CZ$23, COLUMNS($DU10:DU10)), "0"), "")</f>
        <v/>
      </c>
      <c r="DV10" s="395">
        <f t="array" ref="DV10">IFERROR(IF(AND(INDEX($E$8:$CE$57, MATCH($C10, $C$8:$C$57, 0), (COLUMNS($DU10:DV10)-1)*5 + 1) = INDEX($E$5:$CE$5, 1, (COLUMNS($DU10:DV10)-1)*5 + 1), INDEX($E$8:$CE$57, MATCH($C10, $C$8:$C$57, 0), (COLUMNS($DU10:DV10)-1)*5 + 4) = "SF"), INDEX($CZ$8:$CZ$23, COLUMNS($DU10:DV10)), "0"), "")</f>
        <v/>
      </c>
      <c r="DW10" s="395">
        <f t="array" ref="DW10">IFERROR(IF(AND(INDEX($E$8:$CE$57, MATCH($C10, $C$8:$C$57, 0), (COLUMNS($DU10:DW10)-1)*5 + 1) = INDEX($E$5:$CE$5, 1, (COLUMNS($DU10:DW10)-1)*5 + 1), INDEX($E$8:$CE$57, MATCH($C10, $C$8:$C$57, 0), (COLUMNS($DU10:DW10)-1)*5 + 4) = "SF"), INDEX($CZ$8:$CZ$23, COLUMNS($DU10:DW10)), "0"), "")</f>
        <v/>
      </c>
      <c r="DX10" s="395">
        <f t="array" ref="DX10">IFERROR(IF(AND(INDEX($E$8:$CE$57, MATCH($C10, $C$8:$C$57, 0), (COLUMNS($DU10:DX10)-1)*5 + 1) = INDEX($E$5:$CE$5, 1, (COLUMNS($DU10:DX10)-1)*5 + 1), INDEX($E$8:$CE$57, MATCH($C10, $C$8:$C$57, 0), (COLUMNS($DU10:DX10)-1)*5 + 4) = "SF"), INDEX($CZ$8:$CZ$23, COLUMNS($DU10:DX10)), "0"), "")</f>
        <v/>
      </c>
      <c r="DY10" s="395">
        <f t="array" ref="DY10">IFERROR(IF(AND(INDEX($E$8:$CE$57, MATCH($C10, $C$8:$C$57, 0), (COLUMNS($DU10:DY10)-1)*5 + 1) = INDEX($E$5:$CE$5, 1, (COLUMNS($DU10:DY10)-1)*5 + 1), INDEX($E$8:$CE$57, MATCH($C10, $C$8:$C$57, 0), (COLUMNS($DU10:DY10)-1)*5 + 4) = "SF"), INDEX($CZ$8:$CZ$23, COLUMNS($DU10:DY10)), "0"), "")</f>
        <v/>
      </c>
      <c r="DZ10" s="395">
        <f t="array" ref="DZ10">IFERROR(IF(AND(INDEX($E$8:$CE$57, MATCH($C10, $C$8:$C$57, 0), (COLUMNS($DU10:DZ10)-1)*5 + 1) = INDEX($E$5:$CE$5, 1, (COLUMNS($DU10:DZ10)-1)*5 + 1), INDEX($E$8:$CE$57, MATCH($C10, $C$8:$C$57, 0), (COLUMNS($DU10:DZ10)-1)*5 + 4) = "SF"), INDEX($CZ$8:$CZ$23, COLUMNS($DU10:DZ10)), "0"), "")</f>
        <v/>
      </c>
      <c r="EA10" s="395">
        <f t="array" ref="EA10">IFERROR(IF(AND(INDEX($E$8:$CE$57, MATCH($C10, $C$8:$C$57, 0), (COLUMNS($DU10:EA10)-1)*5 + 1) = INDEX($E$5:$CE$5, 1, (COLUMNS($DU10:EA10)-1)*5 + 1), INDEX($E$8:$CE$57, MATCH($C10, $C$8:$C$57, 0), (COLUMNS($DU10:EA10)-1)*5 + 4) = "SF"), INDEX($CZ$8:$CZ$23, COLUMNS($DU10:EA10)), "0"), "")</f>
        <v/>
      </c>
      <c r="EB10" s="395">
        <f t="array" ref="EB10">IFERROR(IF(AND(INDEX($E$8:$CE$57, MATCH($C10, $C$8:$C$57, 0), (COLUMNS($DU10:EB10)-1)*5 + 1) = INDEX($E$5:$CE$5, 1, (COLUMNS($DU10:EB10)-1)*5 + 1), INDEX($E$8:$CE$57, MATCH($C10, $C$8:$C$57, 0), (COLUMNS($DU10:EB10)-1)*5 + 4) = "SF"), INDEX($CZ$8:$CZ$23, COLUMNS($DU10:EB10)), "0"), "")</f>
        <v/>
      </c>
      <c r="EC10" s="395">
        <f t="array" ref="EC10">IFERROR(IF(AND(INDEX($E$8:$CE$57, MATCH($C10, $C$8:$C$57, 0), (COLUMNS($DU10:EC10)-1)*5 + 1) = INDEX($E$5:$CE$5, 1, (COLUMNS($DU10:EC10)-1)*5 + 1), INDEX($E$8:$CE$57, MATCH($C10, $C$8:$C$57, 0), (COLUMNS($DU10:EC10)-1)*5 + 4) = "SF"), INDEX($CZ$8:$CZ$23, COLUMNS($DU10:EC10)), "0"), "")</f>
        <v/>
      </c>
      <c r="ED10" s="395">
        <f t="array" ref="ED10">IFERROR(IF(AND(INDEX($E$8:$CE$57, MATCH($C10, $C$8:$C$57, 0), (COLUMNS($DU10:ED10)-1)*5 + 1) = INDEX($E$5:$CE$5, 1, (COLUMNS($DU10:ED10)-1)*5 + 1), INDEX($E$8:$CE$57, MATCH($C10, $C$8:$C$57, 0), (COLUMNS($DU10:ED10)-1)*5 + 4) = "SF"), INDEX($CZ$8:$CZ$23, COLUMNS($DU10:ED10)), "0"), "")</f>
        <v/>
      </c>
      <c r="EE10" s="395">
        <f t="array" ref="EE10">IFERROR(IF(AND(INDEX($E$8:$CE$57, MATCH($C10, $C$8:$C$57, 0), (COLUMNS($DU10:EE10)-1)*5 + 1) = INDEX($E$5:$CE$5, 1, (COLUMNS($DU10:EE10)-1)*5 + 1), INDEX($E$8:$CE$57, MATCH($C10, $C$8:$C$57, 0), (COLUMNS($DU10:EE10)-1)*5 + 4) = "SF"), INDEX($CZ$8:$CZ$23, COLUMNS($DU10:EE10)), "0"), "")</f>
        <v/>
      </c>
      <c r="EF10" s="395">
        <f t="array" ref="EF10">IFERROR(IF(AND(INDEX($E$8:$CE$57, MATCH($C10, $C$8:$C$57, 0), (COLUMNS($DU10:EF10)-1)*5 + 1) = INDEX($E$5:$CE$5, 1, (COLUMNS($DU10:EF10)-1)*5 + 1), INDEX($E$8:$CE$57, MATCH($C10, $C$8:$C$57, 0), (COLUMNS($DU10:EF10)-1)*5 + 4) = "SF"), INDEX($CZ$8:$CZ$23, COLUMNS($DU10:EF10)), "0"), "")</f>
        <v/>
      </c>
      <c r="EG10" s="395">
        <f t="array" ref="EG10">IFERROR(IF(AND(INDEX($E$8:$CE$57, MATCH($C10, $C$8:$C$57, 0), (COLUMNS($DU10:EG10)-1)*5 + 1) = INDEX($E$5:$CE$5, 1, (COLUMNS($DU10:EG10)-1)*5 + 1), INDEX($E$8:$CE$57, MATCH($C10, $C$8:$C$57, 0), (COLUMNS($DU10:EG10)-1)*5 + 4) = "SF"), INDEX($CZ$8:$CZ$23, COLUMNS($DU10:EG10)), "0"), "")</f>
        <v/>
      </c>
      <c r="EH10" s="395">
        <f t="array" ref="EH10">IFERROR(IF(AND(INDEX($E$8:$CE$57, MATCH($C10, $C$8:$C$57, 0), (COLUMNS($DU10:EH10)-1)*5 + 1) = INDEX($E$5:$CE$5, 1, (COLUMNS($DU10:EH10)-1)*5 + 1), INDEX($E$8:$CE$57, MATCH($C10, $C$8:$C$57, 0), (COLUMNS($DU10:EH10)-1)*5 + 4) = "SF"), INDEX($CZ$8:$CZ$23, COLUMNS($DU10:EH10)), "0"), "")</f>
        <v/>
      </c>
      <c r="EI10" s="395">
        <f t="array" ref="EI10">IFERROR(IF(AND(INDEX($E$8:$CE$57, MATCH($C10, $C$8:$C$57, 0), (COLUMNS($DU10:EI10)-1)*5 + 1) = INDEX($E$5:$CE$5, 1, (COLUMNS($DU10:EI10)-1)*5 + 1), INDEX($E$8:$CE$57, MATCH($C10, $C$8:$C$57, 0), (COLUMNS($DU10:EI10)-1)*5 + 4) = "SF"), INDEX($CZ$8:$CZ$23, COLUMNS($DU10:EI10)), "0"), "")</f>
        <v/>
      </c>
      <c r="EJ10" s="395">
        <f t="array" ref="EJ10">IFERROR(IF(AND(INDEX($E$8:$CE$57, MATCH($C10, $C$8:$C$57, 0), (COLUMNS($DU10:EJ10)-1)*5 + 1) = INDEX($E$5:$CE$5, 1, (COLUMNS($DU10:EJ10)-1)*5 + 1), INDEX($E$8:$CE$57, MATCH($C10, $C$8:$C$57, 0), (COLUMNS($DU10:EJ10)-1)*5 + 4) = "SF"), INDEX($CZ$8:$CZ$23, COLUMNS($DU10:EJ10)), "0"), "")</f>
        <v/>
      </c>
    </row>
    <row r="11" ht="20.1" customHeight="1" s="568">
      <c r="A11" s="576" t="n"/>
      <c r="B11" s="92">
        <f>IF(BASE01[[#This Row],[COD]]&lt;&gt;"",B10+1,"")</f>
        <v/>
      </c>
      <c r="C11" s="601" t="inlineStr">
        <is>
          <t>COD 04</t>
        </is>
      </c>
      <c r="D11" s="93">
        <f t="array" ref="D1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1" s="145" t="n">
        <v>1</v>
      </c>
      <c r="F11" s="147" t="n">
        <v>6</v>
      </c>
      <c r="G11" s="147" t="n">
        <v>2</v>
      </c>
      <c r="H11" s="147" t="inlineStr">
        <is>
          <t>F</t>
        </is>
      </c>
      <c r="I11" s="602">
        <f>SUM(IF(E11=E$5,4,0),IF(E11&amp;F11=E$5&amp;F$5,1,0),
IF(AND(E11=E$5,F$6&gt;=$D$115),1,0),
IF(AND(F11=E$5,F$6&gt;=$D$115),1,0),
IF(AND(G11=E$5,F$6&gt;=$D$115),1,0),
IF(E11&amp;H11=I$5,1,0),
IF(F11=E$5,2,0),
IF(G11=E$5,1,0),
IF(OR(E11&amp;F11&amp;G11=E$5&amp;F$5&amp;G$5,E11&amp;F11&amp;G11=E$5&amp;G$5&amp;F$5,E11&amp;F11&amp;G11=F$5&amp;E$5&amp;G$5,E11&amp;F11&amp;G11=F$5&amp;G$5&amp;E$5,E11&amp;F11&amp;G11=G$5&amp;E$5&amp;F$5,E11&amp;F11&amp;G11=G$5&amp;F$5&amp;E$5),2,0),IF(AND(E11=E$5,F$6&gt;=$D$129),1,0),IF(AND(F11=E$5,F$6&gt;=$D$129),1,0),IF(AND(G11=E$5,F$6&gt;=$D$129),1,0),IF(E11&amp;H11=H$5,4,0),IF(AND(E11=E$5,F$6&lt;=$D$104),-0.5,0),IF(AND(F11=E$5,F$6&lt;=$D$104),-0.5,0),IF(AND(G11=E$5,F$6&lt;=$D$104),-0.5,0))</f>
        <v/>
      </c>
      <c r="J11" s="145" t="n">
        <v>3</v>
      </c>
      <c r="K11" s="147" t="n">
        <v>1</v>
      </c>
      <c r="L11" s="147" t="n">
        <v>8</v>
      </c>
      <c r="M11" s="147" t="n"/>
      <c r="N11" s="602">
        <f>SUM(IF(J11=J$5,4,0),IF(J11&amp;K11=J$5&amp;K$5,1,0),
IF(AND(J11=J$5,K$6&gt;=$D$115),1,0),
IF(AND(K11=J$5,K$6&gt;=$D$115),1,0),
IF(AND(L11=J$5,K$6&gt;=$D$115),1,0),
IF(J11&amp;M11=N$5,1,0),
IF(K11=J$5,2,0),
IF(L11=J$5,1,0),
IF(OR(J11&amp;K11&amp;L11=J$5&amp;K$5&amp;L$5,J11&amp;K11&amp;L11=J$5&amp;L$5&amp;K$5,J11&amp;K11&amp;L11=K$5&amp;J$5&amp;L$5,J11&amp;K11&amp;L11=K$5&amp;L$5&amp;J$5,J11&amp;K11&amp;L11=L$5&amp;J$5&amp;K$5,J11&amp;K11&amp;L11=L$5&amp;K$5&amp;J$5),2,0),IF(AND(J11=J$5,K$6&gt;=$D$129),1,0),IF(AND(K11=J$5,K$6&gt;=$D$129),1,0),IF(AND(L11=J$5,K$6&gt;=$D$129),1,0),IF(J11&amp;M11=M$5,4,0),IF(AND(J11=J$5,K$6&lt;=$D$104),-0.5,0),IF(AND(K11=J$5,K$6&lt;=$D$104),-0.5,0),IF(AND(L11=J$5,K$6&lt;=$D$104),-0.5,0))</f>
        <v/>
      </c>
      <c r="O11" s="145" t="n">
        <v>3</v>
      </c>
      <c r="P11" s="147" t="n">
        <v>8</v>
      </c>
      <c r="Q11" s="147" t="n">
        <v>2</v>
      </c>
      <c r="R11" s="147" t="n"/>
      <c r="S11" s="602">
        <f>SUM(IF(O11=O$5,4,0),IF(O11&amp;P11=O$5&amp;P$5,1,0),
IF(AND(O11=O$5,P$6&gt;=$D$115),1,0),
IF(AND(P11=O$5,P$6&gt;=$D$115),1,0),
IF(AND(Q11=O$5,P$6&gt;=$D$115),1,0),
IF(O11&amp;R11=S$5,1,0),
IF(P11=O$5,2,0),
IF(Q11=O$5,1,0),
IF(OR(O11&amp;P11&amp;Q11=O$5&amp;P$5&amp;Q$5,O11&amp;P11&amp;Q11=O$5&amp;Q$5&amp;P$5,O11&amp;P11&amp;Q11=P$5&amp;O$5&amp;Q$5,O11&amp;P11&amp;Q11=P$5&amp;Q$5&amp;O$5,O11&amp;P11&amp;Q11=Q$5&amp;O$5&amp;P$5,O11&amp;P11&amp;Q11=Q$5&amp;P$5&amp;O$5),2,0),IF(AND(O11=O$5,P$6&gt;=$D$129),1,0),IF(AND(P11=O$5,P$6&gt;=$D$129),1,0),IF(AND(Q11=O$5,P$6&gt;=$D$129),1,0),IF(O11&amp;R11=R$5,4,0),IF(AND(O11=O$5,P$6&lt;=$D$104),-0.5,0),IF(AND(P11=O$5,P$6&lt;=$D$104),-0.5,0),IF(AND(Q11=O$5,P$6&lt;=$D$104),-0.5,0))</f>
        <v/>
      </c>
      <c r="T11" s="145" t="n">
        <v>6</v>
      </c>
      <c r="U11" s="147" t="n">
        <v>9</v>
      </c>
      <c r="V11" s="147" t="n">
        <v>4</v>
      </c>
      <c r="W11" s="147" t="n"/>
      <c r="X11" s="602">
        <f>SUM(IF(T11=T$5,4,0),IF(T11&amp;U11=T$5&amp;U$5,1,0),
IF(AND(T11=T$5,U$6&gt;=$D$115),1,0),
IF(AND(U11=T$5,U$6&gt;=$D$115),1,0),
IF(AND(V11=T$5,U$6&gt;=$D$115),1,0),
IF(T11&amp;W11=X$5,1,0),
IF(U11=T$5,2,0),
IF(V11=T$5,1,0),
IF(OR(T11&amp;U11&amp;V11=T$5&amp;U$5&amp;V$5,T11&amp;U11&amp;V11=T$5&amp;V$5&amp;U$5,T11&amp;U11&amp;V11=U$5&amp;T$5&amp;V$5,T11&amp;U11&amp;V11=U$5&amp;V$5&amp;T$5,T11&amp;U11&amp;V11=V$5&amp;T$5&amp;U$5,T11&amp;U11&amp;V11=V$5&amp;U$5&amp;T$5),2,0),IF(AND(T11=T$5,U$6&gt;=$D$129),1,0),IF(AND(U11=T$5,U$6&gt;=$D$129),1,0),IF(AND(V11=T$5,U$6&gt;=$D$129),1,0),IF(T11&amp;W11=W$5,4,0),IF(AND(T11=T$5,U$6&lt;=$D$104),-0.5,0),IF(AND(U11=T$5,U$6&lt;=$D$104),-0.5,0),IF(AND(V11=T$5,U$6&lt;=$D$104),-0.5,0))</f>
        <v/>
      </c>
      <c r="Y11" s="145" t="n">
        <v>5</v>
      </c>
      <c r="Z11" s="147" t="n"/>
      <c r="AA11" s="147" t="n"/>
      <c r="AB11" s="147" t="inlineStr">
        <is>
          <t>SF</t>
        </is>
      </c>
      <c r="AC11" s="602">
        <f>SUM(IF(Y11=Y$5,4,0),IF(Y11&amp;Z11=Y$5&amp;Z$5,1,0),
IF(AND(Y11=Y$5,Z$6&gt;=$D$115),1,0),
IF(AND(Z11=Y$5,Z$6&gt;=$D$115),1,0),
IF(AND(AA11=Y$5,Z$6&gt;=$D$115),1,0),
IF(Y11&amp;AB11=AC$5,1,0),
IF(Z11=Y$5,2,0),
IF(AA11=Y$5,1,0),
IF(OR(Y11&amp;Z11&amp;AA11=Y$5&amp;Z$5&amp;AA$5,Y11&amp;Z11&amp;AA11=Y$5&amp;AA$5&amp;Z$5,Y11&amp;Z11&amp;AA11=Z$5&amp;Y$5&amp;AA$5,Y11&amp;Z11&amp;AA11=Z$5&amp;AA$5&amp;Y$5,Y11&amp;Z11&amp;AA11=AA$5&amp;Y$5&amp;Z$5,Y11&amp;Z11&amp;AA11=AA$5&amp;Z$5&amp;Y$5),2,0),IF(AND(Y11=Y$5,Z$6&gt;=$D$129),1,0),IF(AND(Z11=Y$5,Z$6&gt;=$D$129),1,0),IF(AND(AA11=Y$5,Z$6&gt;=$D$129),1,0),IF(Y11&amp;AB11=AB$5,4,0),IF(AND(Y11=Y$5,Z$6&lt;=$D$104),-0.5,0),IF(AND(Z11=Y$5,Z$6&lt;=$D$104),-0.5,0),IF(AND(AA11=Y$5,Z$6&lt;=$D$104),-0.5,0))</f>
        <v/>
      </c>
      <c r="AD11" s="145" t="n">
        <v>7</v>
      </c>
      <c r="AE11" s="147" t="n">
        <v>5</v>
      </c>
      <c r="AF11" s="147" t="n">
        <v>9</v>
      </c>
      <c r="AG11" s="147" t="n"/>
      <c r="AH11" s="602">
        <f>SUM(IF(AD11=AD$5,4,0),IF(AD11&amp;AE11=AD$5&amp;AE$5,1,0),
IF(AND(AD11=AD$5,AE$6&gt;=$D$115),1,0),
IF(AND(AE11=AD$5,AE$6&gt;=$D$115),1,0),
IF(AND(AF11=AD$5,AE$6&gt;=$D$115),1,0),
IF(AD11&amp;AG11=AH$5,1,0),
IF(AE11=AD$5,2,0),
IF(AF11=AD$5,1,0),
IF(OR(AD11&amp;AE11&amp;AF11=AD$5&amp;AE$5&amp;AF$5,AD11&amp;AE11&amp;AF11=AD$5&amp;AF$5&amp;AE$5,AD11&amp;AE11&amp;AF11=AE$5&amp;AD$5&amp;AF$5,AD11&amp;AE11&amp;AF11=AE$5&amp;AF$5&amp;AD$5,AD11&amp;AE11&amp;AF11=AF$5&amp;AD$5&amp;AE$5,AD11&amp;AE11&amp;AF11=AF$5&amp;AE$5&amp;AD$5),2,0),IF(AND(AD11=AD$5,AE$6&gt;=$D$129),1,0),IF(AND(AE11=AD$5,AE$6&gt;=$D$129),1,0),IF(AND(AF11=AD$5,AE$6&gt;=$D$129),1,0),IF(AD11&amp;AG11=AG$5,4,0),IF(AND(AD11=AD$5,AE$6&lt;=$D$104),-0.5,0),IF(AND(AE11=AD$5,AE$6&lt;=$D$104),-0.5,0),IF(AND(AF11=AD$5,AE$6&lt;=$D$104),-0.5,0))</f>
        <v/>
      </c>
      <c r="AI11" s="145" t="n">
        <v>4</v>
      </c>
      <c r="AJ11" s="147" t="n">
        <v>3</v>
      </c>
      <c r="AK11" s="147" t="n">
        <v>7</v>
      </c>
      <c r="AL11" s="147" t="n"/>
      <c r="AM11" s="602">
        <f>SUM(IF(AI11=AI$5,4,0),IF(AI11&amp;AJ11=AI$5&amp;AJ$5,1,0),
IF(AND(AI11=AI$5,AJ$6&gt;=$D$115),1,0),
IF(AND(AJ11=AI$5,AJ$6&gt;=$D$115),1,0),
IF(AND(AK11=AI$5,AJ$6&gt;=$D$115),1,0),
IF(AI11&amp;AL11=AM$5,1,0),
IF(AJ11=AI$5,2,0),
IF(AK11=AI$5,1,0),
IF(OR(AI11&amp;AJ11&amp;AK11=AI$5&amp;AJ$5&amp;AK$5,AI11&amp;AJ11&amp;AK11=AI$5&amp;AK$5&amp;AJ$5,AI11&amp;AJ11&amp;AK11=AJ$5&amp;AI$5&amp;AK$5,AI11&amp;AJ11&amp;AK11=AJ$5&amp;AK$5&amp;AI$5,AI11&amp;AJ11&amp;AK11=AK$5&amp;AI$5&amp;AJ$5,AI11&amp;AJ11&amp;AK11=AK$5&amp;AJ$5&amp;AI$5),2,0),IF(AND(AI11=AI$5,AJ$6&gt;=$D$129),1,0),IF(AND(AJ11=AI$5,AJ$6&gt;=$D$129),1,0),IF(AND(AK11=AI$5,AJ$6&gt;=$D$129),1,0),IF(AI11&amp;AL11=AL$5,4,0),IF(AND(AI11=AI$5,AJ$6&lt;=$D$104),-0.5,0),IF(AND(AJ11=AI$5,AJ$6&lt;=$D$104),-0.5,0),IF(AND(AK11=AI$5,AJ$6&lt;=$D$104),-0.5,0))</f>
        <v/>
      </c>
      <c r="AN11" s="145" t="n">
        <v>8</v>
      </c>
      <c r="AO11" s="147" t="n">
        <v>9</v>
      </c>
      <c r="AP11" s="147" t="n">
        <v>7</v>
      </c>
      <c r="AQ11" s="147" t="n"/>
      <c r="AR11" s="602">
        <f>SUM(IF(AN11=AN$5,4,0),IF(AN11&amp;AO11=AN$5&amp;AO$5,1,0),
IF(AND(AN11=AN$5,AO$6&gt;=$D$115),1,0),
IF(AND(AO11=AN$5,AO$6&gt;=$D$115),1,0),
IF(AND(AP11=AN$5,AO$6&gt;=$D$115),1,0),
IF(AN11&amp;AQ11=AR$5,1,0),
IF(AO11=AN$5,2,0),
IF(AP11=AN$5,1,0),
IF(OR(AN11&amp;AO11&amp;AP11=AN$5&amp;AO$5&amp;AP$5,AN11&amp;AO11&amp;AP11=AN$5&amp;AP$5&amp;AO$5,AN11&amp;AO11&amp;AP11=AO$5&amp;AN$5&amp;AP$5,AN11&amp;AO11&amp;AP11=AO$5&amp;AP$5&amp;AN$5,AN11&amp;AO11&amp;AP11=AP$5&amp;AN$5&amp;AO$5,AN11&amp;AO11&amp;AP11=AP$5&amp;AO$5&amp;AN$5),2,0),IF(AND(AN11=AN$5,AO$6&gt;=$D$129),1,0),IF(AND(AO11=AN$5,AO$6&gt;=$D$129),1,0),IF(AND(AP11=AN$5,AO$6&gt;=$D$129),1,0),IF(AN11&amp;AQ11=AQ$5,4,0),IF(AND(AN11=AN$5,AO$6&lt;=$D$104),-0.5,0),IF(AND(AO11=AN$5,AO$6&lt;=$D$104),-0.5,0),IF(AND(AP11=AN$5,AO$6&lt;=$D$104),-0.5,0))</f>
        <v/>
      </c>
      <c r="AS11" s="145" t="n">
        <v>7</v>
      </c>
      <c r="AT11" s="147" t="n">
        <v>2</v>
      </c>
      <c r="AU11" s="147" t="n">
        <v>1</v>
      </c>
      <c r="AV11" s="147" t="n"/>
      <c r="AW11" s="602">
        <f>SUM(IF(AS11=AS$5,4,0),IF(AS11&amp;AT11=AS$5&amp;AT$5,1,0),
IF(AND(AS11=AS$5,AT$6&gt;=$D$115),1,0),
IF(AND(AT11=AS$5,AT$6&gt;=$D$115),1,0),
IF(AND(AU11=AS$5,AT$6&gt;=$D$115),1,0),
IF(AS11&amp;AV11=AW$5,1,0),
IF(AT11=AS$5,2,0),
IF(AU11=AS$5,1,0),
IF(OR(AS11&amp;AT11&amp;AU11=AS$5&amp;AT$5&amp;AU$5,AS11&amp;AT11&amp;AU11=AS$5&amp;AU$5&amp;AT$5,AS11&amp;AT11&amp;AU11=AT$5&amp;AS$5&amp;AU$5,AS11&amp;AT11&amp;AU11=AT$5&amp;AU$5&amp;AS$5,AS11&amp;AT11&amp;AU11=AU$5&amp;AS$5&amp;AT$5,AS11&amp;AT11&amp;AU11=AU$5&amp;AT$5&amp;AS$5),2,0),IF(AND(AS11=AS$5,AT$6&gt;=$D$129),1,0),IF(AND(AT11=AS$5,AT$6&gt;=$D$129),1,0),IF(AND(AU11=AS$5,AT$6&gt;=$D$129),1,0),IF(AS11&amp;AV11=AV$5,4,0),IF(AND(AS11=AS$5,AT$6&lt;=$D$104),-0.5,0),IF(AND(AT11=AS$5,AT$6&lt;=$D$104),-0.5,0),IF(AND(AU11=AS$5,AT$6&lt;=$D$104),-0.5,0))</f>
        <v/>
      </c>
      <c r="AX11" s="145" t="n">
        <v>9</v>
      </c>
      <c r="AY11" s="147" t="n">
        <v>4</v>
      </c>
      <c r="AZ11" s="147" t="n">
        <v>1</v>
      </c>
      <c r="BA11" s="147" t="inlineStr">
        <is>
          <t>F</t>
        </is>
      </c>
      <c r="BB11" s="602">
        <f>SUM(IF(AX11=AX$5,4,0),IF(AX11&amp;AY11=AX$5&amp;AY$5,1,0),
IF(AND(AX11=AX$5,AY$6&gt;=$D$115),1,0),
IF(AND(AY11=AX$5,AY$6&gt;=$D$115),1,0),
IF(AND(AZ11=AX$5,AY$6&gt;=$D$115),1,0),
IF(AX11&amp;BA11=BB$5,1,0),
IF(AY11=AX$5,2,0),
IF(AZ11=AX$5,1,0),
IF(OR(AX11&amp;AY11&amp;AZ11=AX$5&amp;AY$5&amp;AZ$5,AX11&amp;AY11&amp;AZ11=AX$5&amp;AZ$5&amp;AY$5,AX11&amp;AY11&amp;AZ11=AY$5&amp;AX$5&amp;AZ$5,AX11&amp;AY11&amp;AZ11=AY$5&amp;AZ$5&amp;AX$5,AX11&amp;AY11&amp;AZ11=AZ$5&amp;AX$5&amp;AY$5,AX11&amp;AY11&amp;AZ11=AZ$5&amp;AY$5&amp;AX$5),2,0),IF(AND(AX11=AX$5,AY$6&gt;=$D$129),1,0),IF(AND(AY11=AX$5,AY$6&gt;=$D$129),1,0),IF(AND(AZ11=AX$5,AY$6&gt;=$D$129),1,0),IF(AX11&amp;BA11=BA$5,4,0),IF(AND(AX11=AX$5,AY$6&lt;=$D$104),-0.5,0),IF(AND(AY11=AX$5,AY$6&lt;=$D$104),-0.5,0),IF(AND(AZ11=AX$5,AY$6&lt;=$D$104),-0.5,0))</f>
        <v/>
      </c>
      <c r="BC11" s="145" t="n">
        <v>4</v>
      </c>
      <c r="BD11" s="147" t="n">
        <v>2</v>
      </c>
      <c r="BE11" s="147" t="n">
        <v>3</v>
      </c>
      <c r="BF11" s="147" t="n"/>
      <c r="BG11" s="602">
        <f>SUM(IF(BC11=BC$5,4,0),IF(BC11&amp;BD11=BC$5&amp;BD$5,1,0),
IF(AND(BC11=BC$5,BD$6&gt;=$D$115),1,0),
IF(AND(BD11=BC$5,BD$6&gt;=$D$115),1,0),
IF(AND(BE11=BC$5,BD$6&gt;=$D$115),1,0),
IF(BC11&amp;BF11=BG$5,1,0),
IF(BD11=BC$5,2,0),
IF(BE11=BC$5,1,0),
IF(OR(BC11&amp;BD11&amp;BE11=BC$5&amp;BD$5&amp;BE$5,BC11&amp;BD11&amp;BE11=BC$5&amp;BE$5&amp;BD$5,BC11&amp;BD11&amp;BE11=BD$5&amp;BC$5&amp;BE$5,BC11&amp;BD11&amp;BE11=BD$5&amp;BE$5&amp;BC$5,BC11&amp;BD11&amp;BE11=BE$5&amp;BC$5&amp;BD$5,BC11&amp;BD11&amp;BE11=BE$5&amp;BD$5&amp;BC$5),2,0),IF(AND(BC11=BC$5,BD$6&gt;=$D$129),1,0),IF(AND(BD11=BC$5,BD$6&gt;=$D$129),1,0),IF(AND(BE11=BC$5,BD$6&gt;=$D$129),1,0),IF(BC11&amp;BF11=BF$5,4,0),IF(AND(BC11=BC$5,BD$6&lt;=$D$104),-0.5,0),IF(AND(BD11=BC$5,BD$6&lt;=$D$104),-0.5,0),IF(AND(BE11=BC$5,BD$6&lt;=$D$104),-0.5,0))</f>
        <v/>
      </c>
      <c r="BH11" s="145" t="n">
        <v>5</v>
      </c>
      <c r="BI11" s="147" t="n">
        <v>1</v>
      </c>
      <c r="BJ11" s="147" t="n">
        <v>6</v>
      </c>
      <c r="BK11" s="147" t="n"/>
      <c r="BL11" s="602">
        <f>SUM(IF(BH11=BH$5,4,0),IF(BH11&amp;BI11=BH$5&amp;BI$5,1,0),
IF(AND(BH11=BH$5,BI$6&gt;=$D$115),1,0),
IF(AND(BI11=BH$5,BI$6&gt;=$D$115),1,0),
IF(AND(BJ11=BH$5,BI$6&gt;=$D$115),1,0),
IF(BH11&amp;BK11=BL$5,1,0),
IF(BI11=BH$5,2,0),
IF(BJ11=BH$5,1,0),
IF(OR(BH11&amp;BI11&amp;BJ11=BH$5&amp;BI$5&amp;BJ$5,BH11&amp;BI11&amp;BJ11=BH$5&amp;BJ$5&amp;BI$5,BH11&amp;BI11&amp;BJ11=BI$5&amp;BH$5&amp;BJ$5,BH11&amp;BI11&amp;BJ11=BI$5&amp;BJ$5&amp;BH$5,BH11&amp;BI11&amp;BJ11=BJ$5&amp;BH$5&amp;BI$5,BH11&amp;BI11&amp;BJ11=BJ$5&amp;BI$5&amp;BH$5),2,0),IF(AND(BH11=BH$5,BI$6&gt;=$D$129),1,0),IF(AND(BI11=BH$5,BI$6&gt;=$D$129),1,0),IF(AND(BJ11=BH$5,BI$6&gt;=$D$129),1,0),IF(BH11&amp;BK11=BK$5,4,0),IF(AND(BH11=BH$5,BI$6&lt;=$D$104),-0.5,0),IF(AND(BI11=BH$5,BI$6&lt;=$D$104),-0.5,0),IF(AND(BJ11=BH$5,BI$6&lt;=$D$104),-0.5,0))</f>
        <v/>
      </c>
      <c r="BM11" s="145" t="n">
        <v>12</v>
      </c>
      <c r="BN11" s="147" t="n">
        <v>9</v>
      </c>
      <c r="BO11" s="147" t="n">
        <v>5</v>
      </c>
      <c r="BP11" s="147" t="n"/>
      <c r="BQ11" s="602">
        <f>SUM(IF(BM11=BM$5,4,0),IF(BM11&amp;BN11=BM$5&amp;BN$5,1,0),
IF(AND(BM11=BM$5,BN$6&gt;=$D$115),1,0),
IF(AND(BN11=BM$5,BN$6&gt;=$D$115),1,0),
IF(AND(BO11=BM$5,BN$6&gt;=$D$115),1,0),
IF(BM11&amp;BP11=BQ$5,1,0),
IF(BN11=BM$5,2,0),
IF(BO11=BM$5,1,0),
IF(OR(BM11&amp;BN11&amp;BO11=BM$5&amp;BN$5&amp;BO$5,BM11&amp;BN11&amp;BO11=BM$5&amp;BO$5&amp;BN$5,BM11&amp;BN11&amp;BO11=BN$5&amp;BM$5&amp;BO$5,BM11&amp;BN11&amp;BO11=BN$5&amp;BO$5&amp;BM$5,BM11&amp;BN11&amp;BO11=BO$5&amp;BM$5&amp;BN$5,BM11&amp;BN11&amp;BO11=BO$5&amp;BN$5&amp;BM$5),2,0),IF(AND(BM11=BM$5,BN$6&gt;=$D$129),1,0),IF(AND(BN11=BM$5,BN$6&gt;=$D$129),1,0),IF(AND(BO11=BM$5,BN$6&gt;=$D$129),1,0),IF(BM11&amp;BP11=BP$5,4,0),IF(AND(BM11=BM$5,BN$6&lt;=$D$104),-0.5,0),IF(AND(BN11=BM$5,BN$6&lt;=$D$104),-0.5,0),IF(AND(BO11=BM$5,BN$6&lt;=$D$104),-0.5,0))</f>
        <v/>
      </c>
      <c r="BR11" s="145" t="n"/>
      <c r="BS11" s="147" t="n"/>
      <c r="BT11" s="147" t="n"/>
      <c r="BU11" s="147" t="n"/>
      <c r="BV11" s="602">
        <f>SUM(IF(BR11=BR$5,4,0),IF(BR11&amp;BS11=BR$5&amp;BS$5,1,0),
IF(AND(BR11=BR$5,BS$6&gt;=$D$115),1,0),
IF(AND(BS11=BR$5,BS$6&gt;=$D$115),1,0),
IF(AND(BT11=BR$5,BS$6&gt;=$D$115),1,0),
IF(BR11&amp;BU11=BV$5,1,0),
IF(BS11=BR$5,2,0),
IF(BT11=BR$5,1,0),
IF(OR(BR11&amp;BS11&amp;BT11=BR$5&amp;BS$5&amp;BT$5,BR11&amp;BS11&amp;BT11=BR$5&amp;BT$5&amp;BS$5,BR11&amp;BS11&amp;BT11=BS$5&amp;BR$5&amp;BT$5,BR11&amp;BS11&amp;BT11=BS$5&amp;BT$5&amp;BR$5,BR11&amp;BS11&amp;BT11=BT$5&amp;BR$5&amp;BS$5,BR11&amp;BS11&amp;BT11=BT$5&amp;BS$5&amp;BR$5),2,0),IF(AND(BR11=BR$5,BS$6&gt;=$D$129),1,0),IF(AND(BS11=BR$5,BS$6&gt;=$D$129),1,0),IF(AND(BT11=BR$5,BS$6&gt;=$D$129),1,0),IF(BR11&amp;BU11=BU$5,4,0),IF(AND(BR11=BR$5,BS$6&lt;=$D$104),-0.5,0),IF(AND(BS11=BR$5,BS$6&lt;=$D$104),-0.5,0),IF(AND(BT11=BR$5,BS$6&lt;=$D$104),-0.5,0))</f>
        <v/>
      </c>
      <c r="BW11" s="145" t="n"/>
      <c r="BX11" s="147" t="n"/>
      <c r="BY11" s="147" t="n"/>
      <c r="BZ11" s="147" t="n"/>
      <c r="CA11" s="602">
        <f>SUM(IF(BW11=BW$5,4,0),IF(BW11&amp;BX11=BW$5&amp;BX$5,1,0),
IF(AND(BW11=BW$5,BX$6&gt;=$D$115),1,0),
IF(AND(BX11=BW$5,BX$6&gt;=$D$115),1,0),
IF(AND(BY11=BW$5,BX$6&gt;=$D$115),1,0),
IF(BW11&amp;BZ11=CA$5,1,0),
IF(BX11=BW$5,2,0),
IF(BY11=BW$5,1,0),
IF(OR(BW11&amp;BX11&amp;BY11=BW$5&amp;BX$5&amp;BY$5,BW11&amp;BX11&amp;BY11=BW$5&amp;BY$5&amp;BX$5,BW11&amp;BX11&amp;BY11=BX$5&amp;BW$5&amp;BY$5,BW11&amp;BX11&amp;BY11=BX$5&amp;BY$5&amp;BW$5,BW11&amp;BX11&amp;BY11=BY$5&amp;BW$5&amp;BX$5,BW11&amp;BX11&amp;BY11=BY$5&amp;BX$5&amp;BW$5),2,0),IF(AND(BW11=BW$5,BX$6&gt;=$D$129),1,0),IF(AND(BX11=BW$5,BX$6&gt;=$D$129),1,0),IF(AND(BY11=BW$5,BX$6&gt;=$D$129),1,0),IF(BW11&amp;BZ11=BZ$5,4,0),IF(AND(BW11=BW$5,BX$6&lt;=$D$104),-0.5,0),IF(AND(BX11=BW$5,BX$6&lt;=$D$104),-0.5,0),IF(AND(BY11=BW$5,BX$6&lt;=$D$104),-0.5,0))</f>
        <v/>
      </c>
      <c r="CB11" s="145" t="n"/>
      <c r="CC11" s="147" t="n"/>
      <c r="CD11" s="147" t="n"/>
      <c r="CE11" s="147" t="n"/>
      <c r="CF11" s="602">
        <f>SUM(IF(CB11=CB$5,4,0),IF(CB11&amp;CC11=CB$5&amp;CC$5,1,0),
IF(AND(CB11=CB$5,CC$6&gt;=$D$115),1,0),
IF(AND(CC11=CB$5,CC$6&gt;=$D$115),1,0),
IF(AND(CD11=CB$5,CC$6&gt;=$D$115),1,0),
IF(CB11&amp;CE11=CF$5,1,0),
IF(CC11=CB$5,2,0),
IF(CD11=CB$5,1,0),
IF(OR(CB11&amp;CC11&amp;CD11=CB$5&amp;CC$5&amp;CD$5,CB11&amp;CC11&amp;CD11=CB$5&amp;CD$5&amp;CC$5,CB11&amp;CC11&amp;CD11=CC$5&amp;CB$5&amp;CD$5,CB11&amp;CC11&amp;CD11=CC$5&amp;CD$5&amp;CB$5,CB11&amp;CC11&amp;CD11=CD$5&amp;CB$5&amp;CC$5,CB11&amp;CC11&amp;CD11=CD$5&amp;CC$5&amp;CB$5),2,0),IF(AND(CB11=CB$5,CC$6&gt;=$D$129),1,0),IF(AND(CC11=CB$5,CC$6&gt;=$D$129),1,0),IF(AND(CD11=CB$5,CC$6&gt;=$D$129),1,0),IF(CB11&amp;CE11=CE$5,4,0),IF(AND(CB11=CB$5,CC$6&lt;=$D$104),-0.5,0),IF(AND(CC11=CB$5,CC$6&lt;=$D$104),-0.5,0),IF(AND(CD11=CB$5,CC$6&lt;=$D$104),-0.5,0))</f>
        <v/>
      </c>
      <c r="CG11" s="164">
        <f>IF(BASE01[[#This Row],[1]]="",0,$B$4)</f>
        <v/>
      </c>
      <c r="CH11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1" s="166">
        <f>IF(BASE01[[#This Row],[Columna14]]=0,0,(CH11/CG11))</f>
        <v/>
      </c>
      <c r="CJ11" s="165">
        <f>IF(BASE01[[#This Row],[1]]="",0,$B$4)</f>
        <v/>
      </c>
      <c r="CK11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1" s="166">
        <f>IF(BASE01[[#This Row],[Columna14]]=0,0,(CK11/CJ11))</f>
        <v/>
      </c>
      <c r="CM11" s="164">
        <f>IF(BASE01[[#This Row],[1]]="",0,$B$4)</f>
        <v/>
      </c>
      <c r="CN11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1" s="166">
        <f>IF(BASE01[[#This Row],[Columna14]]=0,0,(CN11/CM11))</f>
        <v/>
      </c>
      <c r="CP11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1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Row],[Columna25]],$AX$5,BA11,"SF")+COUNTIFS(BASE01[[#This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1" s="166">
        <f>IF(BASE01[[#This Row],[Columna14]]=0,0,(CQ11/CP11))</f>
        <v/>
      </c>
      <c r="CS11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1" s="95" t="n"/>
      <c r="CU11" s="604">
        <f>SUM(CS11,CT11)</f>
        <v/>
      </c>
      <c r="CV11" s="96">
        <f>IF(BASE01[[#This Row],[TIPO]]="PREMIO",$O$3,"0,00")</f>
        <v/>
      </c>
      <c r="CW11" s="576" t="n"/>
      <c r="CY11" s="393" t="n">
        <v>4</v>
      </c>
      <c r="CZ11" s="354">
        <f>U$6</f>
        <v/>
      </c>
      <c r="DB11" s="605">
        <f>BASE01[[#This Row],[COD]]</f>
        <v/>
      </c>
      <c r="DC11" s="395">
        <f t="array" ref="DC11">IFERROR(IF(AND(INDEX($E$8:$CE$57, MATCH($C11, $C$8:$C$57, 0), (COLUMNS($DC11:DC11)-1)*5 + 1) = INDEX($E$5:$CE$5, 1, (COLUMNS($DC11:DC11)-1)*5 + 1), INDEX($E$8:$CE$57, MATCH($C11, $C$8:$C$57, 0), (COLUMNS($DC11:DC11)-1)*5 + 4) = "F"), INDEX($CZ$8:$CZ$23, COLUMNS($DC11:DC11)), "0"), "")</f>
        <v/>
      </c>
      <c r="DD11" s="395">
        <f t="array" ref="DD11">IFERROR(IF(AND(INDEX($E$8:$CE$57, MATCH($C11, $C$8:$C$57, 0), (COLUMNS($DC11:DD11)-1)*5 + 1) = INDEX($E$5:$CE$5, 1, (COLUMNS($DC11:DD11)-1)*5 + 1), INDEX($E$8:$CE$57, MATCH($C11, $C$8:$C$57, 0), (COLUMNS($DC11:DD11)-1)*5 + 4) = "F"), INDEX($CZ$8:$CZ$23, COLUMNS($DC11:DD11)), "0"), "")</f>
        <v/>
      </c>
      <c r="DE11" s="395">
        <f t="array" ref="DE11">IFERROR(IF(AND(INDEX($E$8:$CE$57, MATCH($C11, $C$8:$C$57, 0), (COLUMNS($DC11:DE11)-1)*5 + 1) = INDEX($E$5:$CE$5, 1, (COLUMNS($DC11:DE11)-1)*5 + 1), INDEX($E$8:$CE$57, MATCH($C11, $C$8:$C$57, 0), (COLUMNS($DC11:DE11)-1)*5 + 4) = "F"), INDEX($CZ$8:$CZ$23, COLUMNS($DC11:DE11)), "0"), "")</f>
        <v/>
      </c>
      <c r="DF11" s="395">
        <f t="array" ref="DF11">IFERROR(IF(AND(INDEX($E$8:$CE$57, MATCH($C11, $C$8:$C$57, 0), (COLUMNS($DC11:DF11)-1)*5 + 1) = INDEX($E$5:$CE$5, 1, (COLUMNS($DC11:DF11)-1)*5 + 1), INDEX($E$8:$CE$57, MATCH($C11, $C$8:$C$57, 0), (COLUMNS($DC11:DF11)-1)*5 + 4) = "F"), INDEX($CZ$8:$CZ$23, COLUMNS($DC11:DF11)), "0"), "")</f>
        <v/>
      </c>
      <c r="DG11" s="395">
        <f t="array" ref="DG11">IFERROR(IF(AND(INDEX($E$8:$CE$57, MATCH($C11, $C$8:$C$57, 0), (COLUMNS($DC11:DG11)-1)*5 + 1) = INDEX($E$5:$CE$5, 1, (COLUMNS($DC11:DG11)-1)*5 + 1), INDEX($E$8:$CE$57, MATCH($C11, $C$8:$C$57, 0), (COLUMNS($DC11:DG11)-1)*5 + 4) = "F"), INDEX($CZ$8:$CZ$23, COLUMNS($DC11:DG11)), "0"), "")</f>
        <v/>
      </c>
      <c r="DH11" s="395">
        <f t="array" ref="DH11">IFERROR(IF(AND(INDEX($E$8:$CE$57, MATCH($C11, $C$8:$C$57, 0), (COLUMNS($DC11:DH11)-1)*5 + 1) = INDEX($E$5:$CE$5, 1, (COLUMNS($DC11:DH11)-1)*5 + 1), INDEX($E$8:$CE$57, MATCH($C11, $C$8:$C$57, 0), (COLUMNS($DC11:DH11)-1)*5 + 4) = "F"), INDEX($CZ$8:$CZ$23, COLUMNS($DC11:DH11)), "0"), "")</f>
        <v/>
      </c>
      <c r="DI11" s="395">
        <f t="array" ref="DI11">IFERROR(IF(AND(INDEX($E$8:$CE$57, MATCH($C11, $C$8:$C$57, 0), (COLUMNS($DC11:DI11)-1)*5 + 1) = INDEX($E$5:$CE$5, 1, (COLUMNS($DC11:DI11)-1)*5 + 1), INDEX($E$8:$CE$57, MATCH($C11, $C$8:$C$57, 0), (COLUMNS($DC11:DI11)-1)*5 + 4) = "F"), INDEX($CZ$8:$CZ$23, COLUMNS($DC11:DI11)), "0"), "")</f>
        <v/>
      </c>
      <c r="DJ11" s="395">
        <f t="array" ref="DJ11">IFERROR(IF(AND(INDEX($E$8:$CE$57, MATCH($C11, $C$8:$C$57, 0), (COLUMNS($DC11:DJ11)-1)*5 + 1) = INDEX($E$5:$CE$5, 1, (COLUMNS($DC11:DJ11)-1)*5 + 1), INDEX($E$8:$CE$57, MATCH($C11, $C$8:$C$57, 0), (COLUMNS($DC11:DJ11)-1)*5 + 4) = "F"), INDEX($CZ$8:$CZ$23, COLUMNS($DC11:DJ11)), "0"), "")</f>
        <v/>
      </c>
      <c r="DK11" s="395">
        <f t="array" ref="DK11">IFERROR(IF(AND(INDEX($E$8:$CE$57, MATCH($C11, $C$8:$C$57, 0), (COLUMNS($DC11:DK11)-1)*5 + 1) = INDEX($E$5:$CE$5, 1, (COLUMNS($DC11:DK11)-1)*5 + 1), INDEX($E$8:$CE$57, MATCH($C11, $C$8:$C$57, 0), (COLUMNS($DC11:DK11)-1)*5 + 4) = "F"), INDEX($CZ$8:$CZ$23, COLUMNS($DC11:DK11)), "0"), "")</f>
        <v/>
      </c>
      <c r="DL11" s="395">
        <f t="array" ref="DL11">IFERROR(IF(AND(INDEX($E$8:$CE$57, MATCH($C11, $C$8:$C$57, 0), (COLUMNS($DC11:DL11)-1)*5 + 1) = INDEX($E$5:$CE$5, 1, (COLUMNS($DC11:DL11)-1)*5 + 1), INDEX($E$8:$CE$57, MATCH($C11, $C$8:$C$57, 0), (COLUMNS($DC11:DL11)-1)*5 + 4) = "F"), INDEX($CZ$8:$CZ$23, COLUMNS($DC11:DL11)), "0"), "")</f>
        <v/>
      </c>
      <c r="DM11" s="395">
        <f t="array" ref="DM11">IFERROR(IF(AND(INDEX($E$8:$CE$57, MATCH($C11, $C$8:$C$57, 0), (COLUMNS($DC11:DM11)-1)*5 + 1) = INDEX($E$5:$CE$5, 1, (COLUMNS($DC11:DM11)-1)*5 + 1), INDEX($E$8:$CE$57, MATCH($C11, $C$8:$C$57, 0), (COLUMNS($DC11:DM11)-1)*5 + 4) = "F"), INDEX($CZ$8:$CZ$23, COLUMNS($DC11:DM11)), "0"), "")</f>
        <v/>
      </c>
      <c r="DN11" s="395">
        <f t="array" ref="DN11">IFERROR(IF(AND(INDEX($E$8:$CE$57, MATCH($C11, $C$8:$C$57, 0), (COLUMNS($DC11:DN11)-1)*5 + 1) = INDEX($E$5:$CE$5, 1, (COLUMNS($DC11:DN11)-1)*5 + 1), INDEX($E$8:$CE$57, MATCH($C11, $C$8:$C$57, 0), (COLUMNS($DC11:DN11)-1)*5 + 4) = "F"), INDEX($CZ$8:$CZ$23, COLUMNS($DC11:DN11)), "0"), "")</f>
        <v/>
      </c>
      <c r="DO11" s="395">
        <f t="array" ref="DO11">IFERROR(IF(AND(INDEX($E$8:$CE$57, MATCH($C11, $C$8:$C$57, 0), (COLUMNS($DC11:DO11)-1)*5 + 1) = INDEX($E$5:$CE$5, 1, (COLUMNS($DC11:DO11)-1)*5 + 1), INDEX($E$8:$CE$57, MATCH($C11, $C$8:$C$57, 0), (COLUMNS($DC11:DO11)-1)*5 + 4) = "F"), INDEX($CZ$8:$CZ$23, COLUMNS($DC11:DO11)), "0"), "")</f>
        <v/>
      </c>
      <c r="DP11" s="395">
        <f t="array" ref="DP11">IFERROR(IF(AND(INDEX($E$8:$CE$57, MATCH($C11, $C$8:$C$57, 0), (COLUMNS($DC11:DP11)-1)*5 + 1) = INDEX($E$5:$CE$5, 1, (COLUMNS($DC11:DP11)-1)*5 + 1), INDEX($E$8:$CE$57, MATCH($C11, $C$8:$C$57, 0), (COLUMNS($DC11:DP11)-1)*5 + 4) = "F"), INDEX($CZ$8:$CZ$23, COLUMNS($DC11:DP11)), "0"), "")</f>
        <v/>
      </c>
      <c r="DQ11" s="395">
        <f t="array" ref="DQ11">IFERROR(IF(AND(INDEX($E$8:$CE$57, MATCH($C11, $C$8:$C$57, 0), (COLUMNS($DC11:DQ11)-1)*5 + 1) = INDEX($E$5:$CE$5, 1, (COLUMNS($DC11:DQ11)-1)*5 + 1), INDEX($E$8:$CE$57, MATCH($C11, $C$8:$C$57, 0), (COLUMNS($DC11:DQ11)-1)*5 + 4) = "F"), INDEX($CZ$8:$CZ$23, COLUMNS($DC11:DQ11)), "0"), "")</f>
        <v/>
      </c>
      <c r="DR11" s="395">
        <f t="array" ref="DR11">IFERROR(IF(AND(INDEX($E$8:$CE$57, MATCH($C11, $C$8:$C$57, 0), (COLUMNS($DC11:DR11)-1)*5 + 1) = INDEX($E$5:$CE$5, 1, (COLUMNS($DC11:DR11)-1)*5 + 1), INDEX($E$8:$CE$57, MATCH($C11, $C$8:$C$57, 0), (COLUMNS($DC11:DR11)-1)*5 + 4) = "F"), INDEX($CZ$8:$CZ$23, COLUMNS($DC11:DR11)), "0"), "")</f>
        <v/>
      </c>
      <c r="DT11" s="605">
        <f>BASE01[[#This Row],[COD]]</f>
        <v/>
      </c>
      <c r="DU11" s="395">
        <f t="array" ref="DU11">IFERROR(IF(AND(INDEX($E$8:$CE$57, MATCH($C11, $C$8:$C$57, 0), (COLUMNS($DU11:DU11)-1)*5 + 1) = INDEX($E$5:$CE$5, 1, (COLUMNS($DU11:DU11)-1)*5 + 1), INDEX($E$8:$CE$57, MATCH($C11, $C$8:$C$57, 0), (COLUMNS($DU11:DU11)-1)*5 + 4) = "SF"), INDEX($CZ$8:$CZ$23, COLUMNS($DU11:DU11)), "0"), "")</f>
        <v/>
      </c>
      <c r="DV11" s="395">
        <f t="array" ref="DV11">IFERROR(IF(AND(INDEX($E$8:$CE$57, MATCH($C11, $C$8:$C$57, 0), (COLUMNS($DU11:DV11)-1)*5 + 1) = INDEX($E$5:$CE$5, 1, (COLUMNS($DU11:DV11)-1)*5 + 1), INDEX($E$8:$CE$57, MATCH($C11, $C$8:$C$57, 0), (COLUMNS($DU11:DV11)-1)*5 + 4) = "SF"), INDEX($CZ$8:$CZ$23, COLUMNS($DU11:DV11)), "0"), "")</f>
        <v/>
      </c>
      <c r="DW11" s="395">
        <f t="array" ref="DW11">IFERROR(IF(AND(INDEX($E$8:$CE$57, MATCH($C11, $C$8:$C$57, 0), (COLUMNS($DU11:DW11)-1)*5 + 1) = INDEX($E$5:$CE$5, 1, (COLUMNS($DU11:DW11)-1)*5 + 1), INDEX($E$8:$CE$57, MATCH($C11, $C$8:$C$57, 0), (COLUMNS($DU11:DW11)-1)*5 + 4) = "SF"), INDEX($CZ$8:$CZ$23, COLUMNS($DU11:DW11)), "0"), "")</f>
        <v/>
      </c>
      <c r="DX11" s="395">
        <f t="array" ref="DX11">IFERROR(IF(AND(INDEX($E$8:$CE$57, MATCH($C11, $C$8:$C$57, 0), (COLUMNS($DU11:DX11)-1)*5 + 1) = INDEX($E$5:$CE$5, 1, (COLUMNS($DU11:DX11)-1)*5 + 1), INDEX($E$8:$CE$57, MATCH($C11, $C$8:$C$57, 0), (COLUMNS($DU11:DX11)-1)*5 + 4) = "SF"), INDEX($CZ$8:$CZ$23, COLUMNS($DU11:DX11)), "0"), "")</f>
        <v/>
      </c>
      <c r="DY11" s="395">
        <f t="array" ref="DY11">IFERROR(IF(AND(INDEX($E$8:$CE$57, MATCH($C11, $C$8:$C$57, 0), (COLUMNS($DU11:DY11)-1)*5 + 1) = INDEX($E$5:$CE$5, 1, (COLUMNS($DU11:DY11)-1)*5 + 1), INDEX($E$8:$CE$57, MATCH($C11, $C$8:$C$57, 0), (COLUMNS($DU11:DY11)-1)*5 + 4) = "SF"), INDEX($CZ$8:$CZ$23, COLUMNS($DU11:DY11)), "0"), "")</f>
        <v/>
      </c>
      <c r="DZ11" s="395">
        <f t="array" ref="DZ11">IFERROR(IF(AND(INDEX($E$8:$CE$57, MATCH($C11, $C$8:$C$57, 0), (COLUMNS($DU11:DZ11)-1)*5 + 1) = INDEX($E$5:$CE$5, 1, (COLUMNS($DU11:DZ11)-1)*5 + 1), INDEX($E$8:$CE$57, MATCH($C11, $C$8:$C$57, 0), (COLUMNS($DU11:DZ11)-1)*5 + 4) = "SF"), INDEX($CZ$8:$CZ$23, COLUMNS($DU11:DZ11)), "0"), "")</f>
        <v/>
      </c>
      <c r="EA11" s="395">
        <f t="array" ref="EA11">IFERROR(IF(AND(INDEX($E$8:$CE$57, MATCH($C11, $C$8:$C$57, 0), (COLUMNS($DU11:EA11)-1)*5 + 1) = INDEX($E$5:$CE$5, 1, (COLUMNS($DU11:EA11)-1)*5 + 1), INDEX($E$8:$CE$57, MATCH($C11, $C$8:$C$57, 0), (COLUMNS($DU11:EA11)-1)*5 + 4) = "SF"), INDEX($CZ$8:$CZ$23, COLUMNS($DU11:EA11)), "0"), "")</f>
        <v/>
      </c>
      <c r="EB11" s="395">
        <f t="array" ref="EB11">IFERROR(IF(AND(INDEX($E$8:$CE$57, MATCH($C11, $C$8:$C$57, 0), (COLUMNS($DU11:EB11)-1)*5 + 1) = INDEX($E$5:$CE$5, 1, (COLUMNS($DU11:EB11)-1)*5 + 1), INDEX($E$8:$CE$57, MATCH($C11, $C$8:$C$57, 0), (COLUMNS($DU11:EB11)-1)*5 + 4) = "SF"), INDEX($CZ$8:$CZ$23, COLUMNS($DU11:EB11)), "0"), "")</f>
        <v/>
      </c>
      <c r="EC11" s="395">
        <f t="array" ref="EC11">IFERROR(IF(AND(INDEX($E$8:$CE$57, MATCH($C11, $C$8:$C$57, 0), (COLUMNS($DU11:EC11)-1)*5 + 1) = INDEX($E$5:$CE$5, 1, (COLUMNS($DU11:EC11)-1)*5 + 1), INDEX($E$8:$CE$57, MATCH($C11, $C$8:$C$57, 0), (COLUMNS($DU11:EC11)-1)*5 + 4) = "SF"), INDEX($CZ$8:$CZ$23, COLUMNS($DU11:EC11)), "0"), "")</f>
        <v/>
      </c>
      <c r="ED11" s="395">
        <f t="array" ref="ED11">IFERROR(IF(AND(INDEX($E$8:$CE$57, MATCH($C11, $C$8:$C$57, 0), (COLUMNS($DU11:ED11)-1)*5 + 1) = INDEX($E$5:$CE$5, 1, (COLUMNS($DU11:ED11)-1)*5 + 1), INDEX($E$8:$CE$57, MATCH($C11, $C$8:$C$57, 0), (COLUMNS($DU11:ED11)-1)*5 + 4) = "SF"), INDEX($CZ$8:$CZ$23, COLUMNS($DU11:ED11)), "0"), "")</f>
        <v/>
      </c>
      <c r="EE11" s="395">
        <f t="array" ref="EE11">IFERROR(IF(AND(INDEX($E$8:$CE$57, MATCH($C11, $C$8:$C$57, 0), (COLUMNS($DU11:EE11)-1)*5 + 1) = INDEX($E$5:$CE$5, 1, (COLUMNS($DU11:EE11)-1)*5 + 1), INDEX($E$8:$CE$57, MATCH($C11, $C$8:$C$57, 0), (COLUMNS($DU11:EE11)-1)*5 + 4) = "SF"), INDEX($CZ$8:$CZ$23, COLUMNS($DU11:EE11)), "0"), "")</f>
        <v/>
      </c>
      <c r="EF11" s="395">
        <f t="array" ref="EF11">IFERROR(IF(AND(INDEX($E$8:$CE$57, MATCH($C11, $C$8:$C$57, 0), (COLUMNS($DU11:EF11)-1)*5 + 1) = INDEX($E$5:$CE$5, 1, (COLUMNS($DU11:EF11)-1)*5 + 1), INDEX($E$8:$CE$57, MATCH($C11, $C$8:$C$57, 0), (COLUMNS($DU11:EF11)-1)*5 + 4) = "SF"), INDEX($CZ$8:$CZ$23, COLUMNS($DU11:EF11)), "0"), "")</f>
        <v/>
      </c>
      <c r="EG11" s="395">
        <f t="array" ref="EG11">IFERROR(IF(AND(INDEX($E$8:$CE$57, MATCH($C11, $C$8:$C$57, 0), (COLUMNS($DU11:EG11)-1)*5 + 1) = INDEX($E$5:$CE$5, 1, (COLUMNS($DU11:EG11)-1)*5 + 1), INDEX($E$8:$CE$57, MATCH($C11, $C$8:$C$57, 0), (COLUMNS($DU11:EG11)-1)*5 + 4) = "SF"), INDEX($CZ$8:$CZ$23, COLUMNS($DU11:EG11)), "0"), "")</f>
        <v/>
      </c>
      <c r="EH11" s="395">
        <f t="array" ref="EH11">IFERROR(IF(AND(INDEX($E$8:$CE$57, MATCH($C11, $C$8:$C$57, 0), (COLUMNS($DU11:EH11)-1)*5 + 1) = INDEX($E$5:$CE$5, 1, (COLUMNS($DU11:EH11)-1)*5 + 1), INDEX($E$8:$CE$57, MATCH($C11, $C$8:$C$57, 0), (COLUMNS($DU11:EH11)-1)*5 + 4) = "SF"), INDEX($CZ$8:$CZ$23, COLUMNS($DU11:EH11)), "0"), "")</f>
        <v/>
      </c>
      <c r="EI11" s="395">
        <f t="array" ref="EI11">IFERROR(IF(AND(INDEX($E$8:$CE$57, MATCH($C11, $C$8:$C$57, 0), (COLUMNS($DU11:EI11)-1)*5 + 1) = INDEX($E$5:$CE$5, 1, (COLUMNS($DU11:EI11)-1)*5 + 1), INDEX($E$8:$CE$57, MATCH($C11, $C$8:$C$57, 0), (COLUMNS($DU11:EI11)-1)*5 + 4) = "SF"), INDEX($CZ$8:$CZ$23, COLUMNS($DU11:EI11)), "0"), "")</f>
        <v/>
      </c>
      <c r="EJ11" s="395">
        <f t="array" ref="EJ11">IFERROR(IF(AND(INDEX($E$8:$CE$57, MATCH($C11, $C$8:$C$57, 0), (COLUMNS($DU11:EJ11)-1)*5 + 1) = INDEX($E$5:$CE$5, 1, (COLUMNS($DU11:EJ11)-1)*5 + 1), INDEX($E$8:$CE$57, MATCH($C11, $C$8:$C$57, 0), (COLUMNS($DU11:EJ11)-1)*5 + 4) = "SF"), INDEX($CZ$8:$CZ$23, COLUMNS($DU11:EJ11)), "0"), "")</f>
        <v/>
      </c>
    </row>
    <row r="12" ht="20.1" customHeight="1" s="568">
      <c r="A12" s="576" t="n"/>
      <c r="B12" s="92">
        <f>IF(BASE01[[#This Row],[COD]]&lt;&gt;"",B11+1,"")</f>
        <v/>
      </c>
      <c r="C12" s="601" t="inlineStr">
        <is>
          <t>COD 05</t>
        </is>
      </c>
      <c r="D12" s="93">
        <f t="array" ref="D12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2" s="145" t="n">
        <v>6</v>
      </c>
      <c r="F12" s="145" t="n">
        <v>1</v>
      </c>
      <c r="G12" s="145" t="n">
        <v>8</v>
      </c>
      <c r="H12" s="145" t="n"/>
      <c r="I12" s="602">
        <f>SUM(IF(E12=E$5,4,0),IF(E12&amp;F12=E$5&amp;F$5,1,0),
IF(AND(E12=E$5,F$6&gt;=$D$115),1,0),
IF(AND(F12=E$5,F$6&gt;=$D$115),1,0),
IF(AND(G12=E$5,F$6&gt;=$D$115),1,0),
IF(E12&amp;H12=I$5,1,0),
IF(F12=E$5,2,0),
IF(G12=E$5,1,0),
IF(OR(E12&amp;F12&amp;G12=E$5&amp;F$5&amp;G$5,E12&amp;F12&amp;G12=E$5&amp;G$5&amp;F$5,E12&amp;F12&amp;G12=F$5&amp;E$5&amp;G$5,E12&amp;F12&amp;G12=F$5&amp;G$5&amp;E$5,E12&amp;F12&amp;G12=G$5&amp;E$5&amp;F$5,E12&amp;F12&amp;G12=G$5&amp;F$5&amp;E$5),2,0),IF(AND(E12=E$5,F$6&gt;=$D$129),1,0),IF(AND(F12=E$5,F$6&gt;=$D$129),1,0),IF(AND(G12=E$5,F$6&gt;=$D$129),1,0),IF(E12&amp;H12=H$5,4,0),IF(AND(E12=E$5,F$6&lt;=$D$104),-0.5,0),IF(AND(F12=E$5,F$6&lt;=$D$104),-0.5,0),IF(AND(G12=E$5,F$6&lt;=$D$104),-0.5,0))</f>
        <v/>
      </c>
      <c r="J12" s="145" t="n">
        <v>8</v>
      </c>
      <c r="K12" s="145" t="n">
        <v>3</v>
      </c>
      <c r="L12" s="145" t="n">
        <v>1</v>
      </c>
      <c r="M12" s="145" t="n"/>
      <c r="N12" s="602">
        <f>SUM(IF(J12=J$5,4,0),IF(J12&amp;K12=J$5&amp;K$5,1,0),
IF(AND(J12=J$5,K$6&gt;=$D$115),1,0),
IF(AND(K12=J$5,K$6&gt;=$D$115),1,0),
IF(AND(L12=J$5,K$6&gt;=$D$115),1,0),
IF(J12&amp;M12=N$5,1,0),
IF(K12=J$5,2,0),
IF(L12=J$5,1,0),
IF(OR(J12&amp;K12&amp;L12=J$5&amp;K$5&amp;L$5,J12&amp;K12&amp;L12=J$5&amp;L$5&amp;K$5,J12&amp;K12&amp;L12=K$5&amp;J$5&amp;L$5,J12&amp;K12&amp;L12=K$5&amp;L$5&amp;J$5,J12&amp;K12&amp;L12=L$5&amp;J$5&amp;K$5,J12&amp;K12&amp;L12=L$5&amp;K$5&amp;J$5),2,0),IF(AND(J12=J$5,K$6&gt;=$D$129),1,0),IF(AND(K12=J$5,K$6&gt;=$D$129),1,0),IF(AND(L12=J$5,K$6&gt;=$D$129),1,0),IF(J12&amp;M12=M$5,4,0),IF(AND(J12=J$5,K$6&lt;=$D$104),-0.5,0),IF(AND(K12=J$5,K$6&lt;=$D$104),-0.5,0),IF(AND(L12=J$5,K$6&lt;=$D$104),-0.5,0))</f>
        <v/>
      </c>
      <c r="O12" s="145" t="n">
        <v>6</v>
      </c>
      <c r="P12" s="145" t="n">
        <v>3</v>
      </c>
      <c r="Q12" s="145" t="n">
        <v>2</v>
      </c>
      <c r="R12" s="145" t="n"/>
      <c r="S12" s="602">
        <f>SUM(IF(O12=O$5,4,0),IF(O12&amp;P12=O$5&amp;P$5,1,0),
IF(AND(O12=O$5,P$6&gt;=$D$115),1,0),
IF(AND(P12=O$5,P$6&gt;=$D$115),1,0),
IF(AND(Q12=O$5,P$6&gt;=$D$115),1,0),
IF(O12&amp;R12=S$5,1,0),
IF(P12=O$5,2,0),
IF(Q12=O$5,1,0),
IF(OR(O12&amp;P12&amp;Q12=O$5&amp;P$5&amp;Q$5,O12&amp;P12&amp;Q12=O$5&amp;Q$5&amp;P$5,O12&amp;P12&amp;Q12=P$5&amp;O$5&amp;Q$5,O12&amp;P12&amp;Q12=P$5&amp;Q$5&amp;O$5,O12&amp;P12&amp;Q12=Q$5&amp;O$5&amp;P$5,O12&amp;P12&amp;Q12=Q$5&amp;P$5&amp;O$5),2,0),IF(AND(O12=O$5,P$6&gt;=$D$129),1,0),IF(AND(P12=O$5,P$6&gt;=$D$129),1,0),IF(AND(Q12=O$5,P$6&gt;=$D$129),1,0),IF(O12&amp;R12=R$5,4,0),IF(AND(O12=O$5,P$6&lt;=$D$104),-0.5,0),IF(AND(P12=O$5,P$6&lt;=$D$104),-0.5,0),IF(AND(Q12=O$5,P$6&lt;=$D$104),-0.5,0))</f>
        <v/>
      </c>
      <c r="T12" s="145" t="n">
        <v>6</v>
      </c>
      <c r="U12" s="145" t="n"/>
      <c r="V12" s="145" t="n"/>
      <c r="W12" s="145" t="inlineStr">
        <is>
          <t>SF</t>
        </is>
      </c>
      <c r="X12" s="602">
        <f>SUM(IF(T12=T$5,4,0),IF(T12&amp;U12=T$5&amp;U$5,1,0),
IF(AND(T12=T$5,U$6&gt;=$D$115),1,0),
IF(AND(U12=T$5,U$6&gt;=$D$115),1,0),
IF(AND(V12=T$5,U$6&gt;=$D$115),1,0),
IF(T12&amp;W12=X$5,1,0),
IF(U12=T$5,2,0),
IF(V12=T$5,1,0),
IF(OR(T12&amp;U12&amp;V12=T$5&amp;U$5&amp;V$5,T12&amp;U12&amp;V12=T$5&amp;V$5&amp;U$5,T12&amp;U12&amp;V12=U$5&amp;T$5&amp;V$5,T12&amp;U12&amp;V12=U$5&amp;V$5&amp;T$5,T12&amp;U12&amp;V12=V$5&amp;T$5&amp;U$5,T12&amp;U12&amp;V12=V$5&amp;U$5&amp;T$5),2,0),IF(AND(T12=T$5,U$6&gt;=$D$129),1,0),IF(AND(U12=T$5,U$6&gt;=$D$129),1,0),IF(AND(V12=T$5,U$6&gt;=$D$129),1,0),IF(T12&amp;W12=W$5,4,0),IF(AND(T12=T$5,U$6&lt;=$D$104),-0.5,0),IF(AND(U12=T$5,U$6&lt;=$D$104),-0.5,0),IF(AND(V12=T$5,U$6&lt;=$D$104),-0.5,0))</f>
        <v/>
      </c>
      <c r="Y12" s="145" t="n">
        <v>5</v>
      </c>
      <c r="Z12" s="145" t="n">
        <v>6</v>
      </c>
      <c r="AA12" s="145" t="n">
        <v>8</v>
      </c>
      <c r="AB12" s="145" t="inlineStr">
        <is>
          <t>F</t>
        </is>
      </c>
      <c r="AC12" s="602">
        <f>SUM(IF(Y12=Y$5,4,0),IF(Y12&amp;Z12=Y$5&amp;Z$5,1,0),
IF(AND(Y12=Y$5,Z$6&gt;=$D$115),1,0),
IF(AND(Z12=Y$5,Z$6&gt;=$D$115),1,0),
IF(AND(AA12=Y$5,Z$6&gt;=$D$115),1,0),
IF(Y12&amp;AB12=AC$5,1,0),
IF(Z12=Y$5,2,0),
IF(AA12=Y$5,1,0),
IF(OR(Y12&amp;Z12&amp;AA12=Y$5&amp;Z$5&amp;AA$5,Y12&amp;Z12&amp;AA12=Y$5&amp;AA$5&amp;Z$5,Y12&amp;Z12&amp;AA12=Z$5&amp;Y$5&amp;AA$5,Y12&amp;Z12&amp;AA12=Z$5&amp;AA$5&amp;Y$5,Y12&amp;Z12&amp;AA12=AA$5&amp;Y$5&amp;Z$5,Y12&amp;Z12&amp;AA12=AA$5&amp;Z$5&amp;Y$5),2,0),IF(AND(Y12=Y$5,Z$6&gt;=$D$129),1,0),IF(AND(Z12=Y$5,Z$6&gt;=$D$129),1,0),IF(AND(AA12=Y$5,Z$6&gt;=$D$129),1,0),IF(Y12&amp;AB12=AB$5,4,0),IF(AND(Y12=Y$5,Z$6&lt;=$D$104),-0.5,0),IF(AND(Z12=Y$5,Z$6&lt;=$D$104),-0.5,0),IF(AND(AA12=Y$5,Z$6&lt;=$D$104),-0.5,0))</f>
        <v/>
      </c>
      <c r="AD12" s="145" t="n">
        <v>2</v>
      </c>
      <c r="AE12" s="145" t="n">
        <v>7</v>
      </c>
      <c r="AF12" s="145" t="n">
        <v>5</v>
      </c>
      <c r="AG12" s="145" t="n"/>
      <c r="AH12" s="602">
        <f>SUM(IF(AD12=AD$5,4,0),IF(AD12&amp;AE12=AD$5&amp;AE$5,1,0),
IF(AND(AD12=AD$5,AE$6&gt;=$D$115),1,0),
IF(AND(AE12=AD$5,AE$6&gt;=$D$115),1,0),
IF(AND(AF12=AD$5,AE$6&gt;=$D$115),1,0),
IF(AD12&amp;AG12=AH$5,1,0),
IF(AE12=AD$5,2,0),
IF(AF12=AD$5,1,0),
IF(OR(AD12&amp;AE12&amp;AF12=AD$5&amp;AE$5&amp;AF$5,AD12&amp;AE12&amp;AF12=AD$5&amp;AF$5&amp;AE$5,AD12&amp;AE12&amp;AF12=AE$5&amp;AD$5&amp;AF$5,AD12&amp;AE12&amp;AF12=AE$5&amp;AF$5&amp;AD$5,AD12&amp;AE12&amp;AF12=AF$5&amp;AD$5&amp;AE$5,AD12&amp;AE12&amp;AF12=AF$5&amp;AE$5&amp;AD$5),2,0),IF(AND(AD12=AD$5,AE$6&gt;=$D$129),1,0),IF(AND(AE12=AD$5,AE$6&gt;=$D$129),1,0),IF(AND(AF12=AD$5,AE$6&gt;=$D$129),1,0),IF(AD12&amp;AG12=AG$5,4,0),IF(AND(AD12=AD$5,AE$6&lt;=$D$104),-0.5,0),IF(AND(AE12=AD$5,AE$6&lt;=$D$104),-0.5,0),IF(AND(AF12=AD$5,AE$6&lt;=$D$104),-0.5,0))</f>
        <v/>
      </c>
      <c r="AI12" s="145" t="n">
        <v>1</v>
      </c>
      <c r="AJ12" s="145" t="n">
        <v>7</v>
      </c>
      <c r="AK12" s="145" t="n">
        <v>4</v>
      </c>
      <c r="AL12" s="145" t="n"/>
      <c r="AM12" s="602">
        <f>SUM(IF(AI12=AI$5,4,0),IF(AI12&amp;AJ12=AI$5&amp;AJ$5,1,0),
IF(AND(AI12=AI$5,AJ$6&gt;=$D$115),1,0),
IF(AND(AJ12=AI$5,AJ$6&gt;=$D$115),1,0),
IF(AND(AK12=AI$5,AJ$6&gt;=$D$115),1,0),
IF(AI12&amp;AL12=AM$5,1,0),
IF(AJ12=AI$5,2,0),
IF(AK12=AI$5,1,0),
IF(OR(AI12&amp;AJ12&amp;AK12=AI$5&amp;AJ$5&amp;AK$5,AI12&amp;AJ12&amp;AK12=AI$5&amp;AK$5&amp;AJ$5,AI12&amp;AJ12&amp;AK12=AJ$5&amp;AI$5&amp;AK$5,AI12&amp;AJ12&amp;AK12=AJ$5&amp;AK$5&amp;AI$5,AI12&amp;AJ12&amp;AK12=AK$5&amp;AI$5&amp;AJ$5,AI12&amp;AJ12&amp;AK12=AK$5&amp;AJ$5&amp;AI$5),2,0),IF(AND(AI12=AI$5,AJ$6&gt;=$D$129),1,0),IF(AND(AJ12=AI$5,AJ$6&gt;=$D$129),1,0),IF(AND(AK12=AI$5,AJ$6&gt;=$D$129),1,0),IF(AI12&amp;AL12=AL$5,4,0),IF(AND(AI12=AI$5,AJ$6&lt;=$D$104),-0.5,0),IF(AND(AJ12=AI$5,AJ$6&lt;=$D$104),-0.5,0),IF(AND(AK12=AI$5,AJ$6&lt;=$D$104),-0.5,0))</f>
        <v/>
      </c>
      <c r="AN12" s="145" t="n">
        <v>11</v>
      </c>
      <c r="AO12" s="145" t="n">
        <v>9</v>
      </c>
      <c r="AP12" s="145" t="n">
        <v>8</v>
      </c>
      <c r="AQ12" s="145" t="n"/>
      <c r="AR12" s="602">
        <f>SUM(IF(AN12=AN$5,4,0),IF(AN12&amp;AO12=AN$5&amp;AO$5,1,0),
IF(AND(AN12=AN$5,AO$6&gt;=$D$115),1,0),
IF(AND(AO12=AN$5,AO$6&gt;=$D$115),1,0),
IF(AND(AP12=AN$5,AO$6&gt;=$D$115),1,0),
IF(AN12&amp;AQ12=AR$5,1,0),
IF(AO12=AN$5,2,0),
IF(AP12=AN$5,1,0),
IF(OR(AN12&amp;AO12&amp;AP12=AN$5&amp;AO$5&amp;AP$5,AN12&amp;AO12&amp;AP12=AN$5&amp;AP$5&amp;AO$5,AN12&amp;AO12&amp;AP12=AO$5&amp;AN$5&amp;AP$5,AN12&amp;AO12&amp;AP12=AO$5&amp;AP$5&amp;AN$5,AN12&amp;AO12&amp;AP12=AP$5&amp;AN$5&amp;AO$5,AN12&amp;AO12&amp;AP12=AP$5&amp;AO$5&amp;AN$5),2,0),IF(AND(AN12=AN$5,AO$6&gt;=$D$129),1,0),IF(AND(AO12=AN$5,AO$6&gt;=$D$129),1,0),IF(AND(AP12=AN$5,AO$6&gt;=$D$129),1,0),IF(AN12&amp;AQ12=AQ$5,4,0),IF(AND(AN12=AN$5,AO$6&lt;=$D$104),-0.5,0),IF(AND(AO12=AN$5,AO$6&lt;=$D$104),-0.5,0),IF(AND(AP12=AN$5,AO$6&lt;=$D$104),-0.5,0))</f>
        <v/>
      </c>
      <c r="AS12" s="145" t="n">
        <v>1</v>
      </c>
      <c r="AT12" s="145" t="n">
        <v>7</v>
      </c>
      <c r="AU12" s="145" t="n">
        <v>8</v>
      </c>
      <c r="AV12" s="145" t="inlineStr">
        <is>
          <t>F</t>
        </is>
      </c>
      <c r="AW12" s="602">
        <f>SUM(IF(AS12=AS$5,4,0),IF(AS12&amp;AT12=AS$5&amp;AT$5,1,0),
IF(AND(AS12=AS$5,AT$6&gt;=$D$115),1,0),
IF(AND(AT12=AS$5,AT$6&gt;=$D$115),1,0),
IF(AND(AU12=AS$5,AT$6&gt;=$D$115),1,0),
IF(AS12&amp;AV12=AW$5,1,0),
IF(AT12=AS$5,2,0),
IF(AU12=AS$5,1,0),
IF(OR(AS12&amp;AT12&amp;AU12=AS$5&amp;AT$5&amp;AU$5,AS12&amp;AT12&amp;AU12=AS$5&amp;AU$5&amp;AT$5,AS12&amp;AT12&amp;AU12=AT$5&amp;AS$5&amp;AU$5,AS12&amp;AT12&amp;AU12=AT$5&amp;AU$5&amp;AS$5,AS12&amp;AT12&amp;AU12=AU$5&amp;AS$5&amp;AT$5,AS12&amp;AT12&amp;AU12=AU$5&amp;AT$5&amp;AS$5),2,0),IF(AND(AS12=AS$5,AT$6&gt;=$D$129),1,0),IF(AND(AT12=AS$5,AT$6&gt;=$D$129),1,0),IF(AND(AU12=AS$5,AT$6&gt;=$D$129),1,0),IF(AS12&amp;AV12=AV$5,4,0),IF(AND(AS12=AS$5,AT$6&lt;=$D$104),-0.5,0),IF(AND(AT12=AS$5,AT$6&lt;=$D$104),-0.5,0),IF(AND(AU12=AS$5,AT$6&lt;=$D$104),-0.5,0))</f>
        <v/>
      </c>
      <c r="AX12" s="145" t="n">
        <v>9</v>
      </c>
      <c r="AY12" s="145" t="n">
        <v>1</v>
      </c>
      <c r="AZ12" s="145" t="n">
        <v>3</v>
      </c>
      <c r="BA12" s="145" t="n"/>
      <c r="BB12" s="602">
        <f>SUM(IF(AX12=AX$5,4,0),IF(AX12&amp;AY12=AX$5&amp;AY$5,1,0),
IF(AND(AX12=AX$5,AY$6&gt;=$D$115),1,0),
IF(AND(AY12=AX$5,AY$6&gt;=$D$115),1,0),
IF(AND(AZ12=AX$5,AY$6&gt;=$D$115),1,0),
IF(AX12&amp;BA12=BB$5,1,0),
IF(AY12=AX$5,2,0),
IF(AZ12=AX$5,1,0),
IF(OR(AX12&amp;AY12&amp;AZ12=AX$5&amp;AY$5&amp;AZ$5,AX12&amp;AY12&amp;AZ12=AX$5&amp;AZ$5&amp;AY$5,AX12&amp;AY12&amp;AZ12=AY$5&amp;AX$5&amp;AZ$5,AX12&amp;AY12&amp;AZ12=AY$5&amp;AZ$5&amp;AX$5,AX12&amp;AY12&amp;AZ12=AZ$5&amp;AX$5&amp;AY$5,AX12&amp;AY12&amp;AZ12=AZ$5&amp;AY$5&amp;AX$5),2,0),IF(AND(AX12=AX$5,AY$6&gt;=$D$129),1,0),IF(AND(AY12=AX$5,AY$6&gt;=$D$129),1,0),IF(AND(AZ12=AX$5,AY$6&gt;=$D$129),1,0),IF(AX12&amp;BA12=BA$5,4,0),IF(AND(AX12=AX$5,AY$6&lt;=$D$104),-0.5,0),IF(AND(AY12=AX$5,AY$6&lt;=$D$104),-0.5,0),IF(AND(AZ12=AX$5,AY$6&lt;=$D$104),-0.5,0))</f>
        <v/>
      </c>
      <c r="BC12" s="145" t="n">
        <v>4</v>
      </c>
      <c r="BD12" s="145" t="n">
        <v>2</v>
      </c>
      <c r="BE12" s="145" t="n">
        <v>6</v>
      </c>
      <c r="BF12" s="145" t="n"/>
      <c r="BG12" s="602">
        <f>SUM(IF(BC12=BC$5,4,0),IF(BC12&amp;BD12=BC$5&amp;BD$5,1,0),
IF(AND(BC12=BC$5,BD$6&gt;=$D$115),1,0),
IF(AND(BD12=BC$5,BD$6&gt;=$D$115),1,0),
IF(AND(BE12=BC$5,BD$6&gt;=$D$115),1,0),
IF(BC12&amp;BF12=BG$5,1,0),
IF(BD12=BC$5,2,0),
IF(BE12=BC$5,1,0),
IF(OR(BC12&amp;BD12&amp;BE12=BC$5&amp;BD$5&amp;BE$5,BC12&amp;BD12&amp;BE12=BC$5&amp;BE$5&amp;BD$5,BC12&amp;BD12&amp;BE12=BD$5&amp;BC$5&amp;BE$5,BC12&amp;BD12&amp;BE12=BD$5&amp;BE$5&amp;BC$5,BC12&amp;BD12&amp;BE12=BE$5&amp;BC$5&amp;BD$5,BC12&amp;BD12&amp;BE12=BE$5&amp;BD$5&amp;BC$5),2,0),IF(AND(BC12=BC$5,BD$6&gt;=$D$129),1,0),IF(AND(BD12=BC$5,BD$6&gt;=$D$129),1,0),IF(AND(BE12=BC$5,BD$6&gt;=$D$129),1,0),IF(BC12&amp;BF12=BF$5,4,0),IF(AND(BC12=BC$5,BD$6&lt;=$D$104),-0.5,0),IF(AND(BD12=BC$5,BD$6&lt;=$D$104),-0.5,0),IF(AND(BE12=BC$5,BD$6&lt;=$D$104),-0.5,0))</f>
        <v/>
      </c>
      <c r="BH12" s="145" t="n">
        <v>5</v>
      </c>
      <c r="BI12" s="145" t="n">
        <v>1</v>
      </c>
      <c r="BJ12" s="145" t="n">
        <v>3</v>
      </c>
      <c r="BK12" s="145" t="n"/>
      <c r="BL12" s="602">
        <f>SUM(IF(BH12=BH$5,4,0),IF(BH12&amp;BI12=BH$5&amp;BI$5,1,0),
IF(AND(BH12=BH$5,BI$6&gt;=$D$115),1,0),
IF(AND(BI12=BH$5,BI$6&gt;=$D$115),1,0),
IF(AND(BJ12=BH$5,BI$6&gt;=$D$115),1,0),
IF(BH12&amp;BK12=BL$5,1,0),
IF(BI12=BH$5,2,0),
IF(BJ12=BH$5,1,0),
IF(OR(BH12&amp;BI12&amp;BJ12=BH$5&amp;BI$5&amp;BJ$5,BH12&amp;BI12&amp;BJ12=BH$5&amp;BJ$5&amp;BI$5,BH12&amp;BI12&amp;BJ12=BI$5&amp;BH$5&amp;BJ$5,BH12&amp;BI12&amp;BJ12=BI$5&amp;BJ$5&amp;BH$5,BH12&amp;BI12&amp;BJ12=BJ$5&amp;BH$5&amp;BI$5,BH12&amp;BI12&amp;BJ12=BJ$5&amp;BI$5&amp;BH$5),2,0),IF(AND(BH12=BH$5,BI$6&gt;=$D$129),1,0),IF(AND(BI12=BH$5,BI$6&gt;=$D$129),1,0),IF(AND(BJ12=BH$5,BI$6&gt;=$D$129),1,0),IF(BH12&amp;BK12=BK$5,4,0),IF(AND(BH12=BH$5,BI$6&lt;=$D$104),-0.5,0),IF(AND(BI12=BH$5,BI$6&lt;=$D$104),-0.5,0),IF(AND(BJ12=BH$5,BI$6&lt;=$D$104),-0.5,0))</f>
        <v/>
      </c>
      <c r="BM12" s="145" t="n">
        <v>1</v>
      </c>
      <c r="BN12" s="145" t="n">
        <v>3</v>
      </c>
      <c r="BO12" s="145" t="n">
        <v>5</v>
      </c>
      <c r="BP12" s="145" t="n"/>
      <c r="BQ12" s="602">
        <f>SUM(IF(BM12=BM$5,4,0),IF(BM12&amp;BN12=BM$5&amp;BN$5,1,0),
IF(AND(BM12=BM$5,BN$6&gt;=$D$115),1,0),
IF(AND(BN12=BM$5,BN$6&gt;=$D$115),1,0),
IF(AND(BO12=BM$5,BN$6&gt;=$D$115),1,0),
IF(BM12&amp;BP12=BQ$5,1,0),
IF(BN12=BM$5,2,0),
IF(BO12=BM$5,1,0),
IF(OR(BM12&amp;BN12&amp;BO12=BM$5&amp;BN$5&amp;BO$5,BM12&amp;BN12&amp;BO12=BM$5&amp;BO$5&amp;BN$5,BM12&amp;BN12&amp;BO12=BN$5&amp;BM$5&amp;BO$5,BM12&amp;BN12&amp;BO12=BN$5&amp;BO$5&amp;BM$5,BM12&amp;BN12&amp;BO12=BO$5&amp;BM$5&amp;BN$5,BM12&amp;BN12&amp;BO12=BO$5&amp;BN$5&amp;BM$5),2,0),IF(AND(BM12=BM$5,BN$6&gt;=$D$129),1,0),IF(AND(BN12=BM$5,BN$6&gt;=$D$129),1,0),IF(AND(BO12=BM$5,BN$6&gt;=$D$129),1,0),IF(BM12&amp;BP12=BP$5,4,0),IF(AND(BM12=BM$5,BN$6&lt;=$D$104),-0.5,0),IF(AND(BN12=BM$5,BN$6&lt;=$D$104),-0.5,0),IF(AND(BO12=BM$5,BN$6&lt;=$D$104),-0.5,0))</f>
        <v/>
      </c>
      <c r="BR12" s="145" t="n"/>
      <c r="BS12" s="145" t="n"/>
      <c r="BT12" s="145" t="n"/>
      <c r="BU12" s="145" t="n"/>
      <c r="BV12" s="602">
        <f>SUM(IF(BR12=BR$5,4,0),IF(BR12&amp;BS12=BR$5&amp;BS$5,1,0),
IF(AND(BR12=BR$5,BS$6&gt;=$D$115),1,0),
IF(AND(BS12=BR$5,BS$6&gt;=$D$115),1,0),
IF(AND(BT12=BR$5,BS$6&gt;=$D$115),1,0),
IF(BR12&amp;BU12=BV$5,1,0),
IF(BS12=BR$5,2,0),
IF(BT12=BR$5,1,0),
IF(OR(BR12&amp;BS12&amp;BT12=BR$5&amp;BS$5&amp;BT$5,BR12&amp;BS12&amp;BT12=BR$5&amp;BT$5&amp;BS$5,BR12&amp;BS12&amp;BT12=BS$5&amp;BR$5&amp;BT$5,BR12&amp;BS12&amp;BT12=BS$5&amp;BT$5&amp;BR$5,BR12&amp;BS12&amp;BT12=BT$5&amp;BR$5&amp;BS$5,BR12&amp;BS12&amp;BT12=BT$5&amp;BS$5&amp;BR$5),2,0),IF(AND(BR12=BR$5,BS$6&gt;=$D$129),1,0),IF(AND(BS12=BR$5,BS$6&gt;=$D$129),1,0),IF(AND(BT12=BR$5,BS$6&gt;=$D$129),1,0),IF(BR12&amp;BU12=BU$5,4,0),IF(AND(BR12=BR$5,BS$6&lt;=$D$104),-0.5,0),IF(AND(BS12=BR$5,BS$6&lt;=$D$104),-0.5,0),IF(AND(BT12=BR$5,BS$6&lt;=$D$104),-0.5,0))</f>
        <v/>
      </c>
      <c r="BW12" s="145" t="n"/>
      <c r="BX12" s="145" t="n"/>
      <c r="BY12" s="145" t="n"/>
      <c r="BZ12" s="145" t="n"/>
      <c r="CA12" s="602">
        <f>SUM(IF(BW12=BW$5,4,0),IF(BW12&amp;BX12=BW$5&amp;BX$5,1,0),
IF(AND(BW12=BW$5,BX$6&gt;=$D$115),1,0),
IF(AND(BX12=BW$5,BX$6&gt;=$D$115),1,0),
IF(AND(BY12=BW$5,BX$6&gt;=$D$115),1,0),
IF(BW12&amp;BZ12=CA$5,1,0),
IF(BX12=BW$5,2,0),
IF(BY12=BW$5,1,0),
IF(OR(BW12&amp;BX12&amp;BY12=BW$5&amp;BX$5&amp;BY$5,BW12&amp;BX12&amp;BY12=BW$5&amp;BY$5&amp;BX$5,BW12&amp;BX12&amp;BY12=BX$5&amp;BW$5&amp;BY$5,BW12&amp;BX12&amp;BY12=BX$5&amp;BY$5&amp;BW$5,BW12&amp;BX12&amp;BY12=BY$5&amp;BW$5&amp;BX$5,BW12&amp;BX12&amp;BY12=BY$5&amp;BX$5&amp;BW$5),2,0),IF(AND(BW12=BW$5,BX$6&gt;=$D$129),1,0),IF(AND(BX12=BW$5,BX$6&gt;=$D$129),1,0),IF(AND(BY12=BW$5,BX$6&gt;=$D$129),1,0),IF(BW12&amp;BZ12=BZ$5,4,0),IF(AND(BW12=BW$5,BX$6&lt;=$D$104),-0.5,0),IF(AND(BX12=BW$5,BX$6&lt;=$D$104),-0.5,0),IF(AND(BY12=BW$5,BX$6&lt;=$D$104),-0.5,0))</f>
        <v/>
      </c>
      <c r="CB12" s="145" t="n"/>
      <c r="CC12" s="145" t="n"/>
      <c r="CD12" s="145" t="n"/>
      <c r="CE12" s="145" t="n"/>
      <c r="CF12" s="602">
        <f>SUM(IF(CB12=CB$5,4,0),IF(CB12&amp;CC12=CB$5&amp;CC$5,1,0),
IF(AND(CB12=CB$5,CC$6&gt;=$D$115),1,0),
IF(AND(CC12=CB$5,CC$6&gt;=$D$115),1,0),
IF(AND(CD12=CB$5,CC$6&gt;=$D$115),1,0),
IF(CB12&amp;CE12=CF$5,1,0),
IF(CC12=CB$5,2,0),
IF(CD12=CB$5,1,0),
IF(OR(CB12&amp;CC12&amp;CD12=CB$5&amp;CC$5&amp;CD$5,CB12&amp;CC12&amp;CD12=CB$5&amp;CD$5&amp;CC$5,CB12&amp;CC12&amp;CD12=CC$5&amp;CB$5&amp;CD$5,CB12&amp;CC12&amp;CD12=CC$5&amp;CD$5&amp;CB$5,CB12&amp;CC12&amp;CD12=CD$5&amp;CB$5&amp;CC$5,CB12&amp;CC12&amp;CD12=CD$5&amp;CC$5&amp;CB$5),2,0),IF(AND(CB12=CB$5,CC$6&gt;=$D$129),1,0),IF(AND(CC12=CB$5,CC$6&gt;=$D$129),1,0),IF(AND(CD12=CB$5,CC$6&gt;=$D$129),1,0),IF(CB12&amp;CE12=CE$5,4,0),IF(AND(CB12=CB$5,CC$6&lt;=$D$104),-0.5,0),IF(AND(CC12=CB$5,CC$6&lt;=$D$104),-0.5,0),IF(AND(CD12=CB$5,CC$6&lt;=$D$104),-0.5,0))</f>
        <v/>
      </c>
      <c r="CG12" s="164">
        <f>IF(BASE01[[#This Row],[1]]="",0,$B$4)</f>
        <v/>
      </c>
      <c r="CH12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2" s="166">
        <f>IF(BASE01[[#This Row],[Columna14]]=0,0,(CH12/CG12))</f>
        <v/>
      </c>
      <c r="CJ12" s="165">
        <f>IF(BASE01[[#This Row],[1]]="",0,$B$4)</f>
        <v/>
      </c>
      <c r="CK12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2" s="166">
        <f>IF(BASE01[[#This Row],[Columna14]]=0,0,(CK12/CJ12))</f>
        <v/>
      </c>
      <c r="CM12" s="164">
        <f>IF(BASE01[[#This Row],[1]]="",0,$B$4)</f>
        <v/>
      </c>
      <c r="CN12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2" s="166">
        <f>IF(BASE01[[#This Row],[Columna14]]=0,0,(CN12/CM12))</f>
        <v/>
      </c>
      <c r="CP12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2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Row],[Columna25]],$AX$5,BA12,"SF")+COUNTIFS(BASE01[[#This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2" s="166">
        <f>IF(BASE01[[#This Row],[Columna14]]=0,0,(CQ12/CP12))</f>
        <v/>
      </c>
      <c r="CS12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2" s="95" t="n"/>
      <c r="CU12" s="604">
        <f>SUM(CS12,CT12)</f>
        <v/>
      </c>
      <c r="CV12" s="96">
        <f>IF(BASE01[[#This Row],[TIPO]]="PREMIO",$O$3,"0,00")</f>
        <v/>
      </c>
      <c r="CW12" s="576" t="n"/>
      <c r="CY12" s="393" t="n">
        <v>5</v>
      </c>
      <c r="CZ12" s="354">
        <f>Z$6</f>
        <v/>
      </c>
      <c r="DB12" s="605">
        <f>BASE01[[#This Row],[COD]]</f>
        <v/>
      </c>
      <c r="DC12" s="395">
        <f t="array" ref="DC12">IFERROR(IF(AND(INDEX($E$8:$CE$57, MATCH($C12, $C$8:$C$57, 0), (COLUMNS($DC12:DC12)-1)*5 + 1) = INDEX($E$5:$CE$5, 1, (COLUMNS($DC12:DC12)-1)*5 + 1), INDEX($E$8:$CE$57, MATCH($C12, $C$8:$C$57, 0), (COLUMNS($DC12:DC12)-1)*5 + 4) = "F"), INDEX($CZ$8:$CZ$23, COLUMNS($DC12:DC12)), "0"), "")</f>
        <v/>
      </c>
      <c r="DD12" s="395">
        <f t="array" ref="DD12">IFERROR(IF(AND(INDEX($E$8:$CE$57, MATCH($C12, $C$8:$C$57, 0), (COLUMNS($DC12:DD12)-1)*5 + 1) = INDEX($E$5:$CE$5, 1, (COLUMNS($DC12:DD12)-1)*5 + 1), INDEX($E$8:$CE$57, MATCH($C12, $C$8:$C$57, 0), (COLUMNS($DC12:DD12)-1)*5 + 4) = "F"), INDEX($CZ$8:$CZ$23, COLUMNS($DC12:DD12)), "0"), "")</f>
        <v/>
      </c>
      <c r="DE12" s="395">
        <f t="array" ref="DE12">IFERROR(IF(AND(INDEX($E$8:$CE$57, MATCH($C12, $C$8:$C$57, 0), (COLUMNS($DC12:DE12)-1)*5 + 1) = INDEX($E$5:$CE$5, 1, (COLUMNS($DC12:DE12)-1)*5 + 1), INDEX($E$8:$CE$57, MATCH($C12, $C$8:$C$57, 0), (COLUMNS($DC12:DE12)-1)*5 + 4) = "F"), INDEX($CZ$8:$CZ$23, COLUMNS($DC12:DE12)), "0"), "")</f>
        <v/>
      </c>
      <c r="DF12" s="395">
        <f t="array" ref="DF12">IFERROR(IF(AND(INDEX($E$8:$CE$57, MATCH($C12, $C$8:$C$57, 0), (COLUMNS($DC12:DF12)-1)*5 + 1) = INDEX($E$5:$CE$5, 1, (COLUMNS($DC12:DF12)-1)*5 + 1), INDEX($E$8:$CE$57, MATCH($C12, $C$8:$C$57, 0), (COLUMNS($DC12:DF12)-1)*5 + 4) = "F"), INDEX($CZ$8:$CZ$23, COLUMNS($DC12:DF12)), "0"), "")</f>
        <v/>
      </c>
      <c r="DG12" s="395">
        <f t="array" ref="DG12">IFERROR(IF(AND(INDEX($E$8:$CE$57, MATCH($C12, $C$8:$C$57, 0), (COLUMNS($DC12:DG12)-1)*5 + 1) = INDEX($E$5:$CE$5, 1, (COLUMNS($DC12:DG12)-1)*5 + 1), INDEX($E$8:$CE$57, MATCH($C12, $C$8:$C$57, 0), (COLUMNS($DC12:DG12)-1)*5 + 4) = "F"), INDEX($CZ$8:$CZ$23, COLUMNS($DC12:DG12)), "0"), "")</f>
        <v/>
      </c>
      <c r="DH12" s="395">
        <f t="array" ref="DH12">IFERROR(IF(AND(INDEX($E$8:$CE$57, MATCH($C12, $C$8:$C$57, 0), (COLUMNS($DC12:DH12)-1)*5 + 1) = INDEX($E$5:$CE$5, 1, (COLUMNS($DC12:DH12)-1)*5 + 1), INDEX($E$8:$CE$57, MATCH($C12, $C$8:$C$57, 0), (COLUMNS($DC12:DH12)-1)*5 + 4) = "F"), INDEX($CZ$8:$CZ$23, COLUMNS($DC12:DH12)), "0"), "")</f>
        <v/>
      </c>
      <c r="DI12" s="395">
        <f t="array" ref="DI12">IFERROR(IF(AND(INDEX($E$8:$CE$57, MATCH($C12, $C$8:$C$57, 0), (COLUMNS($DC12:DI12)-1)*5 + 1) = INDEX($E$5:$CE$5, 1, (COLUMNS($DC12:DI12)-1)*5 + 1), INDEX($E$8:$CE$57, MATCH($C12, $C$8:$C$57, 0), (COLUMNS($DC12:DI12)-1)*5 + 4) = "F"), INDEX($CZ$8:$CZ$23, COLUMNS($DC12:DI12)), "0"), "")</f>
        <v/>
      </c>
      <c r="DJ12" s="395">
        <f t="array" ref="DJ12">IFERROR(IF(AND(INDEX($E$8:$CE$57, MATCH($C12, $C$8:$C$57, 0), (COLUMNS($DC12:DJ12)-1)*5 + 1) = INDEX($E$5:$CE$5, 1, (COLUMNS($DC12:DJ12)-1)*5 + 1), INDEX($E$8:$CE$57, MATCH($C12, $C$8:$C$57, 0), (COLUMNS($DC12:DJ12)-1)*5 + 4) = "F"), INDEX($CZ$8:$CZ$23, COLUMNS($DC12:DJ12)), "0"), "")</f>
        <v/>
      </c>
      <c r="DK12" s="395">
        <f t="array" ref="DK12">IFERROR(IF(AND(INDEX($E$8:$CE$57, MATCH($C12, $C$8:$C$57, 0), (COLUMNS($DC12:DK12)-1)*5 + 1) = INDEX($E$5:$CE$5, 1, (COLUMNS($DC12:DK12)-1)*5 + 1), INDEX($E$8:$CE$57, MATCH($C12, $C$8:$C$57, 0), (COLUMNS($DC12:DK12)-1)*5 + 4) = "F"), INDEX($CZ$8:$CZ$23, COLUMNS($DC12:DK12)), "0"), "")</f>
        <v/>
      </c>
      <c r="DL12" s="395">
        <f t="array" ref="DL12">IFERROR(IF(AND(INDEX($E$8:$CE$57, MATCH($C12, $C$8:$C$57, 0), (COLUMNS($DC12:DL12)-1)*5 + 1) = INDEX($E$5:$CE$5, 1, (COLUMNS($DC12:DL12)-1)*5 + 1), INDEX($E$8:$CE$57, MATCH($C12, $C$8:$C$57, 0), (COLUMNS($DC12:DL12)-1)*5 + 4) = "F"), INDEX($CZ$8:$CZ$23, COLUMNS($DC12:DL12)), "0"), "")</f>
        <v/>
      </c>
      <c r="DM12" s="395">
        <f t="array" ref="DM12">IFERROR(IF(AND(INDEX($E$8:$CE$57, MATCH($C12, $C$8:$C$57, 0), (COLUMNS($DC12:DM12)-1)*5 + 1) = INDEX($E$5:$CE$5, 1, (COLUMNS($DC12:DM12)-1)*5 + 1), INDEX($E$8:$CE$57, MATCH($C12, $C$8:$C$57, 0), (COLUMNS($DC12:DM12)-1)*5 + 4) = "F"), INDEX($CZ$8:$CZ$23, COLUMNS($DC12:DM12)), "0"), "")</f>
        <v/>
      </c>
      <c r="DN12" s="395">
        <f t="array" ref="DN12">IFERROR(IF(AND(INDEX($E$8:$CE$57, MATCH($C12, $C$8:$C$57, 0), (COLUMNS($DC12:DN12)-1)*5 + 1) = INDEX($E$5:$CE$5, 1, (COLUMNS($DC12:DN12)-1)*5 + 1), INDEX($E$8:$CE$57, MATCH($C12, $C$8:$C$57, 0), (COLUMNS($DC12:DN12)-1)*5 + 4) = "F"), INDEX($CZ$8:$CZ$23, COLUMNS($DC12:DN12)), "0"), "")</f>
        <v/>
      </c>
      <c r="DO12" s="395">
        <f t="array" ref="DO12">IFERROR(IF(AND(INDEX($E$8:$CE$57, MATCH($C12, $C$8:$C$57, 0), (COLUMNS($DC12:DO12)-1)*5 + 1) = INDEX($E$5:$CE$5, 1, (COLUMNS($DC12:DO12)-1)*5 + 1), INDEX($E$8:$CE$57, MATCH($C12, $C$8:$C$57, 0), (COLUMNS($DC12:DO12)-1)*5 + 4) = "F"), INDEX($CZ$8:$CZ$23, COLUMNS($DC12:DO12)), "0"), "")</f>
        <v/>
      </c>
      <c r="DP12" s="395">
        <f t="array" ref="DP12">IFERROR(IF(AND(INDEX($E$8:$CE$57, MATCH($C12, $C$8:$C$57, 0), (COLUMNS($DC12:DP12)-1)*5 + 1) = INDEX($E$5:$CE$5, 1, (COLUMNS($DC12:DP12)-1)*5 + 1), INDEX($E$8:$CE$57, MATCH($C12, $C$8:$C$57, 0), (COLUMNS($DC12:DP12)-1)*5 + 4) = "F"), INDEX($CZ$8:$CZ$23, COLUMNS($DC12:DP12)), "0"), "")</f>
        <v/>
      </c>
      <c r="DQ12" s="395">
        <f t="array" ref="DQ12">IFERROR(IF(AND(INDEX($E$8:$CE$57, MATCH($C12, $C$8:$C$57, 0), (COLUMNS($DC12:DQ12)-1)*5 + 1) = INDEX($E$5:$CE$5, 1, (COLUMNS($DC12:DQ12)-1)*5 + 1), INDEX($E$8:$CE$57, MATCH($C12, $C$8:$C$57, 0), (COLUMNS($DC12:DQ12)-1)*5 + 4) = "F"), INDEX($CZ$8:$CZ$23, COLUMNS($DC12:DQ12)), "0"), "")</f>
        <v/>
      </c>
      <c r="DR12" s="395">
        <f t="array" ref="DR12">IFERROR(IF(AND(INDEX($E$8:$CE$57, MATCH($C12, $C$8:$C$57, 0), (COLUMNS($DC12:DR12)-1)*5 + 1) = INDEX($E$5:$CE$5, 1, (COLUMNS($DC12:DR12)-1)*5 + 1), INDEX($E$8:$CE$57, MATCH($C12, $C$8:$C$57, 0), (COLUMNS($DC12:DR12)-1)*5 + 4) = "F"), INDEX($CZ$8:$CZ$23, COLUMNS($DC12:DR12)), "0"), "")</f>
        <v/>
      </c>
      <c r="DT12" s="605">
        <f>BASE01[[#This Row],[COD]]</f>
        <v/>
      </c>
      <c r="DU12" s="395">
        <f t="array" ref="DU12">IFERROR(IF(AND(INDEX($E$8:$CE$57, MATCH($C12, $C$8:$C$57, 0), (COLUMNS($DU12:DU12)-1)*5 + 1) = INDEX($E$5:$CE$5, 1, (COLUMNS($DU12:DU12)-1)*5 + 1), INDEX($E$8:$CE$57, MATCH($C12, $C$8:$C$57, 0), (COLUMNS($DU12:DU12)-1)*5 + 4) = "SF"), INDEX($CZ$8:$CZ$23, COLUMNS($DU12:DU12)), "0"), "")</f>
        <v/>
      </c>
      <c r="DV12" s="395">
        <f t="array" ref="DV12">IFERROR(IF(AND(INDEX($E$8:$CE$57, MATCH($C12, $C$8:$C$57, 0), (COLUMNS($DU12:DV12)-1)*5 + 1) = INDEX($E$5:$CE$5, 1, (COLUMNS($DU12:DV12)-1)*5 + 1), INDEX($E$8:$CE$57, MATCH($C12, $C$8:$C$57, 0), (COLUMNS($DU12:DV12)-1)*5 + 4) = "SF"), INDEX($CZ$8:$CZ$23, COLUMNS($DU12:DV12)), "0"), "")</f>
        <v/>
      </c>
      <c r="DW12" s="395">
        <f t="array" ref="DW12">IFERROR(IF(AND(INDEX($E$8:$CE$57, MATCH($C12, $C$8:$C$57, 0), (COLUMNS($DU12:DW12)-1)*5 + 1) = INDEX($E$5:$CE$5, 1, (COLUMNS($DU12:DW12)-1)*5 + 1), INDEX($E$8:$CE$57, MATCH($C12, $C$8:$C$57, 0), (COLUMNS($DU12:DW12)-1)*5 + 4) = "SF"), INDEX($CZ$8:$CZ$23, COLUMNS($DU12:DW12)), "0"), "")</f>
        <v/>
      </c>
      <c r="DX12" s="395">
        <f t="array" ref="DX12">IFERROR(IF(AND(INDEX($E$8:$CE$57, MATCH($C12, $C$8:$C$57, 0), (COLUMNS($DU12:DX12)-1)*5 + 1) = INDEX($E$5:$CE$5, 1, (COLUMNS($DU12:DX12)-1)*5 + 1), INDEX($E$8:$CE$57, MATCH($C12, $C$8:$C$57, 0), (COLUMNS($DU12:DX12)-1)*5 + 4) = "SF"), INDEX($CZ$8:$CZ$23, COLUMNS($DU12:DX12)), "0"), "")</f>
        <v/>
      </c>
      <c r="DY12" s="395">
        <f t="array" ref="DY12">IFERROR(IF(AND(INDEX($E$8:$CE$57, MATCH($C12, $C$8:$C$57, 0), (COLUMNS($DU12:DY12)-1)*5 + 1) = INDEX($E$5:$CE$5, 1, (COLUMNS($DU12:DY12)-1)*5 + 1), INDEX($E$8:$CE$57, MATCH($C12, $C$8:$C$57, 0), (COLUMNS($DU12:DY12)-1)*5 + 4) = "SF"), INDEX($CZ$8:$CZ$23, COLUMNS($DU12:DY12)), "0"), "")</f>
        <v/>
      </c>
      <c r="DZ12" s="395">
        <f t="array" ref="DZ12">IFERROR(IF(AND(INDEX($E$8:$CE$57, MATCH($C12, $C$8:$C$57, 0), (COLUMNS($DU12:DZ12)-1)*5 + 1) = INDEX($E$5:$CE$5, 1, (COLUMNS($DU12:DZ12)-1)*5 + 1), INDEX($E$8:$CE$57, MATCH($C12, $C$8:$C$57, 0), (COLUMNS($DU12:DZ12)-1)*5 + 4) = "SF"), INDEX($CZ$8:$CZ$23, COLUMNS($DU12:DZ12)), "0"), "")</f>
        <v/>
      </c>
      <c r="EA12" s="395">
        <f t="array" ref="EA12">IFERROR(IF(AND(INDEX($E$8:$CE$57, MATCH($C12, $C$8:$C$57, 0), (COLUMNS($DU12:EA12)-1)*5 + 1) = INDEX($E$5:$CE$5, 1, (COLUMNS($DU12:EA12)-1)*5 + 1), INDEX($E$8:$CE$57, MATCH($C12, $C$8:$C$57, 0), (COLUMNS($DU12:EA12)-1)*5 + 4) = "SF"), INDEX($CZ$8:$CZ$23, COLUMNS($DU12:EA12)), "0"), "")</f>
        <v/>
      </c>
      <c r="EB12" s="395">
        <f t="array" ref="EB12">IFERROR(IF(AND(INDEX($E$8:$CE$57, MATCH($C12, $C$8:$C$57, 0), (COLUMNS($DU12:EB12)-1)*5 + 1) = INDEX($E$5:$CE$5, 1, (COLUMNS($DU12:EB12)-1)*5 + 1), INDEX($E$8:$CE$57, MATCH($C12, $C$8:$C$57, 0), (COLUMNS($DU12:EB12)-1)*5 + 4) = "SF"), INDEX($CZ$8:$CZ$23, COLUMNS($DU12:EB12)), "0"), "")</f>
        <v/>
      </c>
      <c r="EC12" s="395">
        <f t="array" ref="EC12">IFERROR(IF(AND(INDEX($E$8:$CE$57, MATCH($C12, $C$8:$C$57, 0), (COLUMNS($DU12:EC12)-1)*5 + 1) = INDEX($E$5:$CE$5, 1, (COLUMNS($DU12:EC12)-1)*5 + 1), INDEX($E$8:$CE$57, MATCH($C12, $C$8:$C$57, 0), (COLUMNS($DU12:EC12)-1)*5 + 4) = "SF"), INDEX($CZ$8:$CZ$23, COLUMNS($DU12:EC12)), "0"), "")</f>
        <v/>
      </c>
      <c r="ED12" s="395">
        <f t="array" ref="ED12">IFERROR(IF(AND(INDEX($E$8:$CE$57, MATCH($C12, $C$8:$C$57, 0), (COLUMNS($DU12:ED12)-1)*5 + 1) = INDEX($E$5:$CE$5, 1, (COLUMNS($DU12:ED12)-1)*5 + 1), INDEX($E$8:$CE$57, MATCH($C12, $C$8:$C$57, 0), (COLUMNS($DU12:ED12)-1)*5 + 4) = "SF"), INDEX($CZ$8:$CZ$23, COLUMNS($DU12:ED12)), "0"), "")</f>
        <v/>
      </c>
      <c r="EE12" s="395">
        <f t="array" ref="EE12">IFERROR(IF(AND(INDEX($E$8:$CE$57, MATCH($C12, $C$8:$C$57, 0), (COLUMNS($DU12:EE12)-1)*5 + 1) = INDEX($E$5:$CE$5, 1, (COLUMNS($DU12:EE12)-1)*5 + 1), INDEX($E$8:$CE$57, MATCH($C12, $C$8:$C$57, 0), (COLUMNS($DU12:EE12)-1)*5 + 4) = "SF"), INDEX($CZ$8:$CZ$23, COLUMNS($DU12:EE12)), "0"), "")</f>
        <v/>
      </c>
      <c r="EF12" s="395">
        <f t="array" ref="EF12">IFERROR(IF(AND(INDEX($E$8:$CE$57, MATCH($C12, $C$8:$C$57, 0), (COLUMNS($DU12:EF12)-1)*5 + 1) = INDEX($E$5:$CE$5, 1, (COLUMNS($DU12:EF12)-1)*5 + 1), INDEX($E$8:$CE$57, MATCH($C12, $C$8:$C$57, 0), (COLUMNS($DU12:EF12)-1)*5 + 4) = "SF"), INDEX($CZ$8:$CZ$23, COLUMNS($DU12:EF12)), "0"), "")</f>
        <v/>
      </c>
      <c r="EG12" s="395">
        <f t="array" ref="EG12">IFERROR(IF(AND(INDEX($E$8:$CE$57, MATCH($C12, $C$8:$C$57, 0), (COLUMNS($DU12:EG12)-1)*5 + 1) = INDEX($E$5:$CE$5, 1, (COLUMNS($DU12:EG12)-1)*5 + 1), INDEX($E$8:$CE$57, MATCH($C12, $C$8:$C$57, 0), (COLUMNS($DU12:EG12)-1)*5 + 4) = "SF"), INDEX($CZ$8:$CZ$23, COLUMNS($DU12:EG12)), "0"), "")</f>
        <v/>
      </c>
      <c r="EH12" s="395">
        <f t="array" ref="EH12">IFERROR(IF(AND(INDEX($E$8:$CE$57, MATCH($C12, $C$8:$C$57, 0), (COLUMNS($DU12:EH12)-1)*5 + 1) = INDEX($E$5:$CE$5, 1, (COLUMNS($DU12:EH12)-1)*5 + 1), INDEX($E$8:$CE$57, MATCH($C12, $C$8:$C$57, 0), (COLUMNS($DU12:EH12)-1)*5 + 4) = "SF"), INDEX($CZ$8:$CZ$23, COLUMNS($DU12:EH12)), "0"), "")</f>
        <v/>
      </c>
      <c r="EI12" s="395">
        <f t="array" ref="EI12">IFERROR(IF(AND(INDEX($E$8:$CE$57, MATCH($C12, $C$8:$C$57, 0), (COLUMNS($DU12:EI12)-1)*5 + 1) = INDEX($E$5:$CE$5, 1, (COLUMNS($DU12:EI12)-1)*5 + 1), INDEX($E$8:$CE$57, MATCH($C12, $C$8:$C$57, 0), (COLUMNS($DU12:EI12)-1)*5 + 4) = "SF"), INDEX($CZ$8:$CZ$23, COLUMNS($DU12:EI12)), "0"), "")</f>
        <v/>
      </c>
      <c r="EJ12" s="395">
        <f t="array" ref="EJ12">IFERROR(IF(AND(INDEX($E$8:$CE$57, MATCH($C12, $C$8:$C$57, 0), (COLUMNS($DU12:EJ12)-1)*5 + 1) = INDEX($E$5:$CE$5, 1, (COLUMNS($DU12:EJ12)-1)*5 + 1), INDEX($E$8:$CE$57, MATCH($C12, $C$8:$C$57, 0), (COLUMNS($DU12:EJ12)-1)*5 + 4) = "SF"), INDEX($CZ$8:$CZ$23, COLUMNS($DU12:EJ12)), "0"), "")</f>
        <v/>
      </c>
    </row>
    <row r="13" ht="19.5" customHeight="1" s="568">
      <c r="A13" s="576" t="n"/>
      <c r="B13" s="92">
        <f>IF(BASE01[[#This Row],[COD]]&lt;&gt;"",B12+1,"")</f>
        <v/>
      </c>
      <c r="C13" s="601" t="inlineStr">
        <is>
          <t>COD 06</t>
        </is>
      </c>
      <c r="D13" s="93">
        <f t="array" ref="D13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3" s="145" t="n">
        <v>1</v>
      </c>
      <c r="F13" s="147" t="n">
        <v>2</v>
      </c>
      <c r="G13" s="147" t="n">
        <v>6</v>
      </c>
      <c r="H13" s="147" t="n"/>
      <c r="I13" s="602">
        <f>SUM(IF(E13=E$5,4,0),IF(E13&amp;F13=E$5&amp;F$5,1,0),
IF(AND(E13=E$5,F$6&gt;=$D$115),1,0),
IF(AND(F13=E$5,F$6&gt;=$D$115),1,0),
IF(AND(G13=E$5,F$6&gt;=$D$115),1,0),
IF(E13&amp;H13=I$5,1,0),
IF(F13=E$5,2,0),
IF(G13=E$5,1,0),
IF(OR(E13&amp;F13&amp;G13=E$5&amp;F$5&amp;G$5,E13&amp;F13&amp;G13=E$5&amp;G$5&amp;F$5,E13&amp;F13&amp;G13=F$5&amp;E$5&amp;G$5,E13&amp;F13&amp;G13=F$5&amp;G$5&amp;E$5,E13&amp;F13&amp;G13=G$5&amp;E$5&amp;F$5,E13&amp;F13&amp;G13=G$5&amp;F$5&amp;E$5),2,0),IF(AND(E13=E$5,F$6&gt;=$D$129),1,0),IF(AND(F13=E$5,F$6&gt;=$D$129),1,0),IF(AND(G13=E$5,F$6&gt;=$D$129),1,0),IF(E13&amp;H13=H$5,4,0),IF(AND(E13=E$5,F$6&lt;=$D$104),-0.5,0),IF(AND(F13=E$5,F$6&lt;=$D$104),-0.5,0),IF(AND(G13=E$5,F$6&lt;=$D$104),-0.5,0))</f>
        <v/>
      </c>
      <c r="J13" s="145" t="n">
        <v>3</v>
      </c>
      <c r="K13" s="147" t="n">
        <v>8</v>
      </c>
      <c r="L13" s="147" t="n">
        <v>7</v>
      </c>
      <c r="M13" s="147" t="n"/>
      <c r="N13" s="602">
        <f>SUM(IF(J13=J$5,4,0),IF(J13&amp;K13=J$5&amp;K$5,1,0),
IF(AND(J13=J$5,K$6&gt;=$D$115),1,0),
IF(AND(K13=J$5,K$6&gt;=$D$115),1,0),
IF(AND(L13=J$5,K$6&gt;=$D$115),1,0),
IF(J13&amp;M13=N$5,1,0),
IF(K13=J$5,2,0),
IF(L13=J$5,1,0),
IF(OR(J13&amp;K13&amp;L13=J$5&amp;K$5&amp;L$5,J13&amp;K13&amp;L13=J$5&amp;L$5&amp;K$5,J13&amp;K13&amp;L13=K$5&amp;J$5&amp;L$5,J13&amp;K13&amp;L13=K$5&amp;L$5&amp;J$5,J13&amp;K13&amp;L13=L$5&amp;J$5&amp;K$5,J13&amp;K13&amp;L13=L$5&amp;K$5&amp;J$5),2,0),IF(AND(J13=J$5,K$6&gt;=$D$129),1,0),IF(AND(K13=J$5,K$6&gt;=$D$129),1,0),IF(AND(L13=J$5,K$6&gt;=$D$129),1,0),IF(J13&amp;M13=M$5,4,0),IF(AND(J13=J$5,K$6&lt;=$D$104),-0.5,0),IF(AND(K13=J$5,K$6&lt;=$D$104),-0.5,0),IF(AND(L13=J$5,K$6&lt;=$D$104),-0.5,0))</f>
        <v/>
      </c>
      <c r="O13" s="145" t="n">
        <v>2</v>
      </c>
      <c r="P13" s="147" t="n">
        <v>3</v>
      </c>
      <c r="Q13" s="147" t="n">
        <v>5</v>
      </c>
      <c r="R13" s="147" t="n"/>
      <c r="S13" s="602">
        <f>SUM(IF(O13=O$5,4,0),IF(O13&amp;P13=O$5&amp;P$5,1,0),
IF(AND(O13=O$5,P$6&gt;=$D$115),1,0),
IF(AND(P13=O$5,P$6&gt;=$D$115),1,0),
IF(AND(Q13=O$5,P$6&gt;=$D$115),1,0),
IF(O13&amp;R13=S$5,1,0),
IF(P13=O$5,2,0),
IF(Q13=O$5,1,0),
IF(OR(O13&amp;P13&amp;Q13=O$5&amp;P$5&amp;Q$5,O13&amp;P13&amp;Q13=O$5&amp;Q$5&amp;P$5,O13&amp;P13&amp;Q13=P$5&amp;O$5&amp;Q$5,O13&amp;P13&amp;Q13=P$5&amp;Q$5&amp;O$5,O13&amp;P13&amp;Q13=Q$5&amp;O$5&amp;P$5,O13&amp;P13&amp;Q13=Q$5&amp;P$5&amp;O$5),2,0),IF(AND(O13=O$5,P$6&gt;=$D$129),1,0),IF(AND(P13=O$5,P$6&gt;=$D$129),1,0),IF(AND(Q13=O$5,P$6&gt;=$D$129),1,0),IF(O13&amp;R13=R$5,4,0),IF(AND(O13=O$5,P$6&lt;=$D$104),-0.5,0),IF(AND(P13=O$5,P$6&lt;=$D$104),-0.5,0),IF(AND(Q13=O$5,P$6&lt;=$D$104),-0.5,0))</f>
        <v/>
      </c>
      <c r="T13" s="145" t="n">
        <v>6</v>
      </c>
      <c r="U13" s="147" t="n">
        <v>2</v>
      </c>
      <c r="V13" s="147" t="n">
        <v>8</v>
      </c>
      <c r="W13" s="147" t="n"/>
      <c r="X13" s="602">
        <f>SUM(IF(T13=T$5,4,0),IF(T13&amp;U13=T$5&amp;U$5,1,0),
IF(AND(T13=T$5,U$6&gt;=$D$115),1,0),
IF(AND(U13=T$5,U$6&gt;=$D$115),1,0),
IF(AND(V13=T$5,U$6&gt;=$D$115),1,0),
IF(T13&amp;W13=X$5,1,0),
IF(U13=T$5,2,0),
IF(V13=T$5,1,0),
IF(OR(T13&amp;U13&amp;V13=T$5&amp;U$5&amp;V$5,T13&amp;U13&amp;V13=T$5&amp;V$5&amp;U$5,T13&amp;U13&amp;V13=U$5&amp;T$5&amp;V$5,T13&amp;U13&amp;V13=U$5&amp;V$5&amp;T$5,T13&amp;U13&amp;V13=V$5&amp;T$5&amp;U$5,T13&amp;U13&amp;V13=V$5&amp;U$5&amp;T$5),2,0),IF(AND(T13=T$5,U$6&gt;=$D$129),1,0),IF(AND(U13=T$5,U$6&gt;=$D$129),1,0),IF(AND(V13=T$5,U$6&gt;=$D$129),1,0),IF(T13&amp;W13=W$5,4,0),IF(AND(T13=T$5,U$6&lt;=$D$104),-0.5,0),IF(AND(U13=T$5,U$6&lt;=$D$104),-0.5,0),IF(AND(V13=T$5,U$6&lt;=$D$104),-0.5,0))</f>
        <v/>
      </c>
      <c r="Y13" s="145" t="n">
        <v>5</v>
      </c>
      <c r="Z13" s="147" t="n">
        <v>1</v>
      </c>
      <c r="AA13" s="147" t="n">
        <v>10</v>
      </c>
      <c r="AB13" s="147" t="inlineStr">
        <is>
          <t>F</t>
        </is>
      </c>
      <c r="AC13" s="602">
        <f>SUM(IF(Y13=Y$5,4,0),IF(Y13&amp;Z13=Y$5&amp;Z$5,1,0),
IF(AND(Y13=Y$5,Z$6&gt;=$D$115),1,0),
IF(AND(Z13=Y$5,Z$6&gt;=$D$115),1,0),
IF(AND(AA13=Y$5,Z$6&gt;=$D$115),1,0),
IF(Y13&amp;AB13=AC$5,1,0),
IF(Z13=Y$5,2,0),
IF(AA13=Y$5,1,0),
IF(OR(Y13&amp;Z13&amp;AA13=Y$5&amp;Z$5&amp;AA$5,Y13&amp;Z13&amp;AA13=Y$5&amp;AA$5&amp;Z$5,Y13&amp;Z13&amp;AA13=Z$5&amp;Y$5&amp;AA$5,Y13&amp;Z13&amp;AA13=Z$5&amp;AA$5&amp;Y$5,Y13&amp;Z13&amp;AA13=AA$5&amp;Y$5&amp;Z$5,Y13&amp;Z13&amp;AA13=AA$5&amp;Z$5&amp;Y$5),2,0),IF(AND(Y13=Y$5,Z$6&gt;=$D$129),1,0),IF(AND(Z13=Y$5,Z$6&gt;=$D$129),1,0),IF(AND(AA13=Y$5,Z$6&gt;=$D$129),1,0),IF(Y13&amp;AB13=AB$5,4,0),IF(AND(Y13=Y$5,Z$6&lt;=$D$104),-0.5,0),IF(AND(Z13=Y$5,Z$6&lt;=$D$104),-0.5,0),IF(AND(AA13=Y$5,Z$6&lt;=$D$104),-0.5,0))</f>
        <v/>
      </c>
      <c r="AD13" s="145" t="n">
        <v>7</v>
      </c>
      <c r="AE13" s="147" t="n">
        <v>2</v>
      </c>
      <c r="AF13" s="147" t="n">
        <v>5</v>
      </c>
      <c r="AG13" s="147" t="n"/>
      <c r="AH13" s="602">
        <f>SUM(IF(AD13=AD$5,4,0),IF(AD13&amp;AE13=AD$5&amp;AE$5,1,0),
IF(AND(AD13=AD$5,AE$6&gt;=$D$115),1,0),
IF(AND(AE13=AD$5,AE$6&gt;=$D$115),1,0),
IF(AND(AF13=AD$5,AE$6&gt;=$D$115),1,0),
IF(AD13&amp;AG13=AH$5,1,0),
IF(AE13=AD$5,2,0),
IF(AF13=AD$5,1,0),
IF(OR(AD13&amp;AE13&amp;AF13=AD$5&amp;AE$5&amp;AF$5,AD13&amp;AE13&amp;AF13=AD$5&amp;AF$5&amp;AE$5,AD13&amp;AE13&amp;AF13=AE$5&amp;AD$5&amp;AF$5,AD13&amp;AE13&amp;AF13=AE$5&amp;AF$5&amp;AD$5,AD13&amp;AE13&amp;AF13=AF$5&amp;AD$5&amp;AE$5,AD13&amp;AE13&amp;AF13=AF$5&amp;AE$5&amp;AD$5),2,0),IF(AND(AD13=AD$5,AE$6&gt;=$D$129),1,0),IF(AND(AE13=AD$5,AE$6&gt;=$D$129),1,0),IF(AND(AF13=AD$5,AE$6&gt;=$D$129),1,0),IF(AD13&amp;AG13=AG$5,4,0),IF(AND(AD13=AD$5,AE$6&lt;=$D$104),-0.5,0),IF(AND(AE13=AD$5,AE$6&lt;=$D$104),-0.5,0),IF(AND(AF13=AD$5,AE$6&lt;=$D$104),-0.5,0))</f>
        <v/>
      </c>
      <c r="AI13" s="145" t="n">
        <v>4</v>
      </c>
      <c r="AJ13" s="147" t="n">
        <v>7</v>
      </c>
      <c r="AK13" s="147" t="n">
        <v>3</v>
      </c>
      <c r="AL13" s="147" t="n"/>
      <c r="AM13" s="602">
        <f>SUM(IF(AI13=AI$5,4,0),IF(AI13&amp;AJ13=AI$5&amp;AJ$5,1,0),
IF(AND(AI13=AI$5,AJ$6&gt;=$D$115),1,0),
IF(AND(AJ13=AI$5,AJ$6&gt;=$D$115),1,0),
IF(AND(AK13=AI$5,AJ$6&gt;=$D$115),1,0),
IF(AI13&amp;AL13=AM$5,1,0),
IF(AJ13=AI$5,2,0),
IF(AK13=AI$5,1,0),
IF(OR(AI13&amp;AJ13&amp;AK13=AI$5&amp;AJ$5&amp;AK$5,AI13&amp;AJ13&amp;AK13=AI$5&amp;AK$5&amp;AJ$5,AI13&amp;AJ13&amp;AK13=AJ$5&amp;AI$5&amp;AK$5,AI13&amp;AJ13&amp;AK13=AJ$5&amp;AK$5&amp;AI$5,AI13&amp;AJ13&amp;AK13=AK$5&amp;AI$5&amp;AJ$5,AI13&amp;AJ13&amp;AK13=AK$5&amp;AJ$5&amp;AI$5),2,0),IF(AND(AI13=AI$5,AJ$6&gt;=$D$129),1,0),IF(AND(AJ13=AI$5,AJ$6&gt;=$D$129),1,0),IF(AND(AK13=AI$5,AJ$6&gt;=$D$129),1,0),IF(AI13&amp;AL13=AL$5,4,0),IF(AND(AI13=AI$5,AJ$6&lt;=$D$104),-0.5,0),IF(AND(AJ13=AI$5,AJ$6&lt;=$D$104),-0.5,0),IF(AND(AK13=AI$5,AJ$6&lt;=$D$104),-0.5,0))</f>
        <v/>
      </c>
      <c r="AN13" s="145" t="n">
        <v>9</v>
      </c>
      <c r="AO13" s="147" t="n">
        <v>10</v>
      </c>
      <c r="AP13" s="147" t="n">
        <v>3</v>
      </c>
      <c r="AQ13" s="147" t="n"/>
      <c r="AR13" s="602">
        <f>SUM(IF(AN13=AN$5,4,0),IF(AN13&amp;AO13=AN$5&amp;AO$5,1,0),
IF(AND(AN13=AN$5,AO$6&gt;=$D$115),1,0),
IF(AND(AO13=AN$5,AO$6&gt;=$D$115),1,0),
IF(AND(AP13=AN$5,AO$6&gt;=$D$115),1,0),
IF(AN13&amp;AQ13=AR$5,1,0),
IF(AO13=AN$5,2,0),
IF(AP13=AN$5,1,0),
IF(OR(AN13&amp;AO13&amp;AP13=AN$5&amp;AO$5&amp;AP$5,AN13&amp;AO13&amp;AP13=AN$5&amp;AP$5&amp;AO$5,AN13&amp;AO13&amp;AP13=AO$5&amp;AN$5&amp;AP$5,AN13&amp;AO13&amp;AP13=AO$5&amp;AP$5&amp;AN$5,AN13&amp;AO13&amp;AP13=AP$5&amp;AN$5&amp;AO$5,AN13&amp;AO13&amp;AP13=AP$5&amp;AO$5&amp;AN$5),2,0),IF(AND(AN13=AN$5,AO$6&gt;=$D$129),1,0),IF(AND(AO13=AN$5,AO$6&gt;=$D$129),1,0),IF(AND(AP13=AN$5,AO$6&gt;=$D$129),1,0),IF(AN13&amp;AQ13=AQ$5,4,0),IF(AND(AN13=AN$5,AO$6&lt;=$D$104),-0.5,0),IF(AND(AO13=AN$5,AO$6&lt;=$D$104),-0.5,0),IF(AND(AP13=AN$5,AO$6&lt;=$D$104),-0.5,0))</f>
        <v/>
      </c>
      <c r="AS13" s="145" t="n">
        <v>7</v>
      </c>
      <c r="AT13" s="147" t="n">
        <v>6</v>
      </c>
      <c r="AU13" s="147" t="n">
        <v>1</v>
      </c>
      <c r="AV13" s="147" t="n"/>
      <c r="AW13" s="602">
        <f>SUM(IF(AS13=AS$5,4,0),IF(AS13&amp;AT13=AS$5&amp;AT$5,1,0),
IF(AND(AS13=AS$5,AT$6&gt;=$D$115),1,0),
IF(AND(AT13=AS$5,AT$6&gt;=$D$115),1,0),
IF(AND(AU13=AS$5,AT$6&gt;=$D$115),1,0),
IF(AS13&amp;AV13=AW$5,1,0),
IF(AT13=AS$5,2,0),
IF(AU13=AS$5,1,0),
IF(OR(AS13&amp;AT13&amp;AU13=AS$5&amp;AT$5&amp;AU$5,AS13&amp;AT13&amp;AU13=AS$5&amp;AU$5&amp;AT$5,AS13&amp;AT13&amp;AU13=AT$5&amp;AS$5&amp;AU$5,AS13&amp;AT13&amp;AU13=AT$5&amp;AU$5&amp;AS$5,AS13&amp;AT13&amp;AU13=AU$5&amp;AS$5&amp;AT$5,AS13&amp;AT13&amp;AU13=AU$5&amp;AT$5&amp;AS$5),2,0),IF(AND(AS13=AS$5,AT$6&gt;=$D$129),1,0),IF(AND(AT13=AS$5,AT$6&gt;=$D$129),1,0),IF(AND(AU13=AS$5,AT$6&gt;=$D$129),1,0),IF(AS13&amp;AV13=AV$5,4,0),IF(AND(AS13=AS$5,AT$6&lt;=$D$104),-0.5,0),IF(AND(AT13=AS$5,AT$6&lt;=$D$104),-0.5,0),IF(AND(AU13=AS$5,AT$6&lt;=$D$104),-0.5,0))</f>
        <v/>
      </c>
      <c r="AX13" s="145" t="n">
        <v>1</v>
      </c>
      <c r="AY13" s="147" t="n">
        <v>9</v>
      </c>
      <c r="AZ13" s="147" t="n">
        <v>8</v>
      </c>
      <c r="BA13" s="147" t="n"/>
      <c r="BB13" s="602">
        <f>SUM(IF(AX13=AX$5,4,0),IF(AX13&amp;AY13=AX$5&amp;AY$5,1,0),
IF(AND(AX13=AX$5,AY$6&gt;=$D$115),1,0),
IF(AND(AY13=AX$5,AY$6&gt;=$D$115),1,0),
IF(AND(AZ13=AX$5,AY$6&gt;=$D$115),1,0),
IF(AX13&amp;BA13=BB$5,1,0),
IF(AY13=AX$5,2,0),
IF(AZ13=AX$5,1,0),
IF(OR(AX13&amp;AY13&amp;AZ13=AX$5&amp;AY$5&amp;AZ$5,AX13&amp;AY13&amp;AZ13=AX$5&amp;AZ$5&amp;AY$5,AX13&amp;AY13&amp;AZ13=AY$5&amp;AX$5&amp;AZ$5,AX13&amp;AY13&amp;AZ13=AY$5&amp;AZ$5&amp;AX$5,AX13&amp;AY13&amp;AZ13=AZ$5&amp;AX$5&amp;AY$5,AX13&amp;AY13&amp;AZ13=AZ$5&amp;AY$5&amp;AX$5),2,0),IF(AND(AX13=AX$5,AY$6&gt;=$D$129),1,0),IF(AND(AY13=AX$5,AY$6&gt;=$D$129),1,0),IF(AND(AZ13=AX$5,AY$6&gt;=$D$129),1,0),IF(AX13&amp;BA13=BA$5,4,0),IF(AND(AX13=AX$5,AY$6&lt;=$D$104),-0.5,0),IF(AND(AY13=AX$5,AY$6&lt;=$D$104),-0.5,0),IF(AND(AZ13=AX$5,AY$6&lt;=$D$104),-0.5,0))</f>
        <v/>
      </c>
      <c r="BC13" s="145" t="n">
        <v>3</v>
      </c>
      <c r="BD13" s="147" t="n">
        <v>2</v>
      </c>
      <c r="BE13" s="147" t="n">
        <v>1</v>
      </c>
      <c r="BF13" s="147" t="n"/>
      <c r="BG13" s="602">
        <f>SUM(IF(BC13=BC$5,4,0),IF(BC13&amp;BD13=BC$5&amp;BD$5,1,0),
IF(AND(BC13=BC$5,BD$6&gt;=$D$115),1,0),
IF(AND(BD13=BC$5,BD$6&gt;=$D$115),1,0),
IF(AND(BE13=BC$5,BD$6&gt;=$D$115),1,0),
IF(BC13&amp;BF13=BG$5,1,0),
IF(BD13=BC$5,2,0),
IF(BE13=BC$5,1,0),
IF(OR(BC13&amp;BD13&amp;BE13=BC$5&amp;BD$5&amp;BE$5,BC13&amp;BD13&amp;BE13=BC$5&amp;BE$5&amp;BD$5,BC13&amp;BD13&amp;BE13=BD$5&amp;BC$5&amp;BE$5,BC13&amp;BD13&amp;BE13=BD$5&amp;BE$5&amp;BC$5,BC13&amp;BD13&amp;BE13=BE$5&amp;BC$5&amp;BD$5,BC13&amp;BD13&amp;BE13=BE$5&amp;BD$5&amp;BC$5),2,0),IF(AND(BC13=BC$5,BD$6&gt;=$D$129),1,0),IF(AND(BD13=BC$5,BD$6&gt;=$D$129),1,0),IF(AND(BE13=BC$5,BD$6&gt;=$D$129),1,0),IF(BC13&amp;BF13=BF$5,4,0),IF(AND(BC13=BC$5,BD$6&lt;=$D$104),-0.5,0),IF(AND(BD13=BC$5,BD$6&lt;=$D$104),-0.5,0),IF(AND(BE13=BC$5,BD$6&lt;=$D$104),-0.5,0))</f>
        <v/>
      </c>
      <c r="BH13" s="145" t="n">
        <v>5</v>
      </c>
      <c r="BI13" s="147" t="n">
        <v>1</v>
      </c>
      <c r="BJ13" s="147" t="n">
        <v>2</v>
      </c>
      <c r="BK13" s="147" t="n"/>
      <c r="BL13" s="602">
        <f>SUM(IF(BH13=BH$5,4,0),IF(BH13&amp;BI13=BH$5&amp;BI$5,1,0),
IF(AND(BH13=BH$5,BI$6&gt;=$D$115),1,0),
IF(AND(BI13=BH$5,BI$6&gt;=$D$115),1,0),
IF(AND(BJ13=BH$5,BI$6&gt;=$D$115),1,0),
IF(BH13&amp;BK13=BL$5,1,0),
IF(BI13=BH$5,2,0),
IF(BJ13=BH$5,1,0),
IF(OR(BH13&amp;BI13&amp;BJ13=BH$5&amp;BI$5&amp;BJ$5,BH13&amp;BI13&amp;BJ13=BH$5&amp;BJ$5&amp;BI$5,BH13&amp;BI13&amp;BJ13=BI$5&amp;BH$5&amp;BJ$5,BH13&amp;BI13&amp;BJ13=BI$5&amp;BJ$5&amp;BH$5,BH13&amp;BI13&amp;BJ13=BJ$5&amp;BH$5&amp;BI$5,BH13&amp;BI13&amp;BJ13=BJ$5&amp;BI$5&amp;BH$5),2,0),IF(AND(BH13=BH$5,BI$6&gt;=$D$129),1,0),IF(AND(BI13=BH$5,BI$6&gt;=$D$129),1,0),IF(AND(BJ13=BH$5,BI$6&gt;=$D$129),1,0),IF(BH13&amp;BK13=BK$5,4,0),IF(AND(BH13=BH$5,BI$6&lt;=$D$104),-0.5,0),IF(AND(BI13=BH$5,BI$6&lt;=$D$104),-0.5,0),IF(AND(BJ13=BH$5,BI$6&lt;=$D$104),-0.5,0))</f>
        <v/>
      </c>
      <c r="BM13" s="145" t="n">
        <v>9</v>
      </c>
      <c r="BN13" s="147" t="n">
        <v>5</v>
      </c>
      <c r="BO13" s="147" t="n">
        <v>2</v>
      </c>
      <c r="BP13" s="147" t="inlineStr">
        <is>
          <t>F</t>
        </is>
      </c>
      <c r="BQ13" s="602">
        <f>SUM(IF(BM13=BM$5,4,0),IF(BM13&amp;BN13=BM$5&amp;BN$5,1,0),
IF(AND(BM13=BM$5,BN$6&gt;=$D$115),1,0),
IF(AND(BN13=BM$5,BN$6&gt;=$D$115),1,0),
IF(AND(BO13=BM$5,BN$6&gt;=$D$115),1,0),
IF(BM13&amp;BP13=BQ$5,1,0),
IF(BN13=BM$5,2,0),
IF(BO13=BM$5,1,0),
IF(OR(BM13&amp;BN13&amp;BO13=BM$5&amp;BN$5&amp;BO$5,BM13&amp;BN13&amp;BO13=BM$5&amp;BO$5&amp;BN$5,BM13&amp;BN13&amp;BO13=BN$5&amp;BM$5&amp;BO$5,BM13&amp;BN13&amp;BO13=BN$5&amp;BO$5&amp;BM$5,BM13&amp;BN13&amp;BO13=BO$5&amp;BM$5&amp;BN$5,BM13&amp;BN13&amp;BO13=BO$5&amp;BN$5&amp;BM$5),2,0),IF(AND(BM13=BM$5,BN$6&gt;=$D$129),1,0),IF(AND(BN13=BM$5,BN$6&gt;=$D$129),1,0),IF(AND(BO13=BM$5,BN$6&gt;=$D$129),1,0),IF(BM13&amp;BP13=BP$5,4,0),IF(AND(BM13=BM$5,BN$6&lt;=$D$104),-0.5,0),IF(AND(BN13=BM$5,BN$6&lt;=$D$104),-0.5,0),IF(AND(BO13=BM$5,BN$6&lt;=$D$104),-0.5,0))</f>
        <v/>
      </c>
      <c r="BR13" s="145" t="n"/>
      <c r="BS13" s="147" t="n"/>
      <c r="BT13" s="147" t="n"/>
      <c r="BU13" s="147" t="n"/>
      <c r="BV13" s="602">
        <f>SUM(IF(BR13=BR$5,4,0),IF(BR13&amp;BS13=BR$5&amp;BS$5,1,0),
IF(AND(BR13=BR$5,BS$6&gt;=$D$115),1,0),
IF(AND(BS13=BR$5,BS$6&gt;=$D$115),1,0),
IF(AND(BT13=BR$5,BS$6&gt;=$D$115),1,0),
IF(BR13&amp;BU13=BV$5,1,0),
IF(BS13=BR$5,2,0),
IF(BT13=BR$5,1,0),
IF(OR(BR13&amp;BS13&amp;BT13=BR$5&amp;BS$5&amp;BT$5,BR13&amp;BS13&amp;BT13=BR$5&amp;BT$5&amp;BS$5,BR13&amp;BS13&amp;BT13=BS$5&amp;BR$5&amp;BT$5,BR13&amp;BS13&amp;BT13=BS$5&amp;BT$5&amp;BR$5,BR13&amp;BS13&amp;BT13=BT$5&amp;BR$5&amp;BS$5,BR13&amp;BS13&amp;BT13=BT$5&amp;BS$5&amp;BR$5),2,0),IF(AND(BR13=BR$5,BS$6&gt;=$D$129),1,0),IF(AND(BS13=BR$5,BS$6&gt;=$D$129),1,0),IF(AND(BT13=BR$5,BS$6&gt;=$D$129),1,0),IF(BR13&amp;BU13=BU$5,4,0),IF(AND(BR13=BR$5,BS$6&lt;=$D$104),-0.5,0),IF(AND(BS13=BR$5,BS$6&lt;=$D$104),-0.5,0),IF(AND(BT13=BR$5,BS$6&lt;=$D$104),-0.5,0))</f>
        <v/>
      </c>
      <c r="BW13" s="145" t="n"/>
      <c r="BX13" s="147" t="n"/>
      <c r="BY13" s="147" t="n"/>
      <c r="BZ13" s="147" t="n"/>
      <c r="CA13" s="602">
        <f>SUM(IF(BW13=BW$5,4,0),IF(BW13&amp;BX13=BW$5&amp;BX$5,1,0),
IF(AND(BW13=BW$5,BX$6&gt;=$D$115),1,0),
IF(AND(BX13=BW$5,BX$6&gt;=$D$115),1,0),
IF(AND(BY13=BW$5,BX$6&gt;=$D$115),1,0),
IF(BW13&amp;BZ13=CA$5,1,0),
IF(BX13=BW$5,2,0),
IF(BY13=BW$5,1,0),
IF(OR(BW13&amp;BX13&amp;BY13=BW$5&amp;BX$5&amp;BY$5,BW13&amp;BX13&amp;BY13=BW$5&amp;BY$5&amp;BX$5,BW13&amp;BX13&amp;BY13=BX$5&amp;BW$5&amp;BY$5,BW13&amp;BX13&amp;BY13=BX$5&amp;BY$5&amp;BW$5,BW13&amp;BX13&amp;BY13=BY$5&amp;BW$5&amp;BX$5,BW13&amp;BX13&amp;BY13=BY$5&amp;BX$5&amp;BW$5),2,0),IF(AND(BW13=BW$5,BX$6&gt;=$D$129),1,0),IF(AND(BX13=BW$5,BX$6&gt;=$D$129),1,0),IF(AND(BY13=BW$5,BX$6&gt;=$D$129),1,0),IF(BW13&amp;BZ13=BZ$5,4,0),IF(AND(BW13=BW$5,BX$6&lt;=$D$104),-0.5,0),IF(AND(BX13=BW$5,BX$6&lt;=$D$104),-0.5,0),IF(AND(BY13=BW$5,BX$6&lt;=$D$104),-0.5,0))</f>
        <v/>
      </c>
      <c r="CB13" s="145" t="n"/>
      <c r="CC13" s="147" t="n"/>
      <c r="CD13" s="147" t="n"/>
      <c r="CE13" s="147" t="n"/>
      <c r="CF13" s="602">
        <f>SUM(IF(CB13=CB$5,4,0),IF(CB13&amp;CC13=CB$5&amp;CC$5,1,0),
IF(AND(CB13=CB$5,CC$6&gt;=$D$115),1,0),
IF(AND(CC13=CB$5,CC$6&gt;=$D$115),1,0),
IF(AND(CD13=CB$5,CC$6&gt;=$D$115),1,0),
IF(CB13&amp;CE13=CF$5,1,0),
IF(CC13=CB$5,2,0),
IF(CD13=CB$5,1,0),
IF(OR(CB13&amp;CC13&amp;CD13=CB$5&amp;CC$5&amp;CD$5,CB13&amp;CC13&amp;CD13=CB$5&amp;CD$5&amp;CC$5,CB13&amp;CC13&amp;CD13=CC$5&amp;CB$5&amp;CD$5,CB13&amp;CC13&amp;CD13=CC$5&amp;CD$5&amp;CB$5,CB13&amp;CC13&amp;CD13=CD$5&amp;CB$5&amp;CC$5,CB13&amp;CC13&amp;CD13=CD$5&amp;CC$5&amp;CB$5),2,0),IF(AND(CB13=CB$5,CC$6&gt;=$D$129),1,0),IF(AND(CC13=CB$5,CC$6&gt;=$D$129),1,0),IF(AND(CD13=CB$5,CC$6&gt;=$D$129),1,0),IF(CB13&amp;CE13=CE$5,4,0),IF(AND(CB13=CB$5,CC$6&lt;=$D$104),-0.5,0),IF(AND(CC13=CB$5,CC$6&lt;=$D$104),-0.5,0),IF(AND(CD13=CB$5,CC$6&lt;=$D$104),-0.5,0))</f>
        <v/>
      </c>
      <c r="CG13" s="164">
        <f>IF(BASE01[[#This Row],[1]]="",0,$B$4)</f>
        <v/>
      </c>
      <c r="CH13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3" s="166">
        <f>IF(BASE01[[#This Row],[Columna14]]=0,0,(CH13/CG13))</f>
        <v/>
      </c>
      <c r="CJ13" s="165">
        <f>IF(BASE01[[#This Row],[1]]="",0,$B$4)</f>
        <v/>
      </c>
      <c r="CK13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3" s="166">
        <f>IF(BASE01[[#This Row],[Columna14]]=0,0,(CK13/CJ13))</f>
        <v/>
      </c>
      <c r="CM13" s="164">
        <f>IF(BASE01[[#This Row],[1]]="",0,$B$4)</f>
        <v/>
      </c>
      <c r="CN13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3" s="166">
        <f>IF(BASE01[[#This Row],[Columna14]]=0,0,(CN13/CM13))</f>
        <v/>
      </c>
      <c r="CP13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3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Row],[Columna25]],$AX$5,BA13,"SF")+COUNTIFS(BASE01[[#This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3" s="166">
        <f>IF(BASE01[[#This Row],[Columna14]]=0,0,(CQ13/CP13))</f>
        <v/>
      </c>
      <c r="CS13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3" s="95" t="n"/>
      <c r="CU13" s="604">
        <f>SUM(CS13,CT13)</f>
        <v/>
      </c>
      <c r="CV13" s="96">
        <f>IF(BASE01[[#This Row],[TIPO]]="PREMIO",$O$3,"0,00")</f>
        <v/>
      </c>
      <c r="CW13" s="576" t="n"/>
      <c r="CY13" s="393" t="n">
        <v>6</v>
      </c>
      <c r="CZ13" s="354">
        <f>AE$6</f>
        <v/>
      </c>
      <c r="DB13" s="605">
        <f>BASE01[[#This Row],[COD]]</f>
        <v/>
      </c>
      <c r="DC13" s="395">
        <f t="array" ref="DC13">IFERROR(IF(AND(INDEX($E$8:$CE$57, MATCH($C13, $C$8:$C$57, 0), (COLUMNS($DC13:DC13)-1)*5 + 1) = INDEX($E$5:$CE$5, 1, (COLUMNS($DC13:DC13)-1)*5 + 1), INDEX($E$8:$CE$57, MATCH($C13, $C$8:$C$57, 0), (COLUMNS($DC13:DC13)-1)*5 + 4) = "F"), INDEX($CZ$8:$CZ$23, COLUMNS($DC13:DC13)), "0"), "")</f>
        <v/>
      </c>
      <c r="DD13" s="395">
        <f t="array" ref="DD13">IFERROR(IF(AND(INDEX($E$8:$CE$57, MATCH($C13, $C$8:$C$57, 0), (COLUMNS($DC13:DD13)-1)*5 + 1) = INDEX($E$5:$CE$5, 1, (COLUMNS($DC13:DD13)-1)*5 + 1), INDEX($E$8:$CE$57, MATCH($C13, $C$8:$C$57, 0), (COLUMNS($DC13:DD13)-1)*5 + 4) = "F"), INDEX($CZ$8:$CZ$23, COLUMNS($DC13:DD13)), "0"), "")</f>
        <v/>
      </c>
      <c r="DE13" s="395">
        <f t="array" ref="DE13">IFERROR(IF(AND(INDEX($E$8:$CE$57, MATCH($C13, $C$8:$C$57, 0), (COLUMNS($DC13:DE13)-1)*5 + 1) = INDEX($E$5:$CE$5, 1, (COLUMNS($DC13:DE13)-1)*5 + 1), INDEX($E$8:$CE$57, MATCH($C13, $C$8:$C$57, 0), (COLUMNS($DC13:DE13)-1)*5 + 4) = "F"), INDEX($CZ$8:$CZ$23, COLUMNS($DC13:DE13)), "0"), "")</f>
        <v/>
      </c>
      <c r="DF13" s="395">
        <f t="array" ref="DF13">IFERROR(IF(AND(INDEX($E$8:$CE$57, MATCH($C13, $C$8:$C$57, 0), (COLUMNS($DC13:DF13)-1)*5 + 1) = INDEX($E$5:$CE$5, 1, (COLUMNS($DC13:DF13)-1)*5 + 1), INDEX($E$8:$CE$57, MATCH($C13, $C$8:$C$57, 0), (COLUMNS($DC13:DF13)-1)*5 + 4) = "F"), INDEX($CZ$8:$CZ$23, COLUMNS($DC13:DF13)), "0"), "")</f>
        <v/>
      </c>
      <c r="DG13" s="395">
        <f t="array" ref="DG13">IFERROR(IF(AND(INDEX($E$8:$CE$57, MATCH($C13, $C$8:$C$57, 0), (COLUMNS($DC13:DG13)-1)*5 + 1) = INDEX($E$5:$CE$5, 1, (COLUMNS($DC13:DG13)-1)*5 + 1), INDEX($E$8:$CE$57, MATCH($C13, $C$8:$C$57, 0), (COLUMNS($DC13:DG13)-1)*5 + 4) = "F"), INDEX($CZ$8:$CZ$23, COLUMNS($DC13:DG13)), "0"), "")</f>
        <v/>
      </c>
      <c r="DH13" s="395">
        <f t="array" ref="DH13">IFERROR(IF(AND(INDEX($E$8:$CE$57, MATCH($C13, $C$8:$C$57, 0), (COLUMNS($DC13:DH13)-1)*5 + 1) = INDEX($E$5:$CE$5, 1, (COLUMNS($DC13:DH13)-1)*5 + 1), INDEX($E$8:$CE$57, MATCH($C13, $C$8:$C$57, 0), (COLUMNS($DC13:DH13)-1)*5 + 4) = "F"), INDEX($CZ$8:$CZ$23, COLUMNS($DC13:DH13)), "0"), "")</f>
        <v/>
      </c>
      <c r="DI13" s="395">
        <f t="array" ref="DI13">IFERROR(IF(AND(INDEX($E$8:$CE$57, MATCH($C13, $C$8:$C$57, 0), (COLUMNS($DC13:DI13)-1)*5 + 1) = INDEX($E$5:$CE$5, 1, (COLUMNS($DC13:DI13)-1)*5 + 1), INDEX($E$8:$CE$57, MATCH($C13, $C$8:$C$57, 0), (COLUMNS($DC13:DI13)-1)*5 + 4) = "F"), INDEX($CZ$8:$CZ$23, COLUMNS($DC13:DI13)), "0"), "")</f>
        <v/>
      </c>
      <c r="DJ13" s="395">
        <f t="array" ref="DJ13">IFERROR(IF(AND(INDEX($E$8:$CE$57, MATCH($C13, $C$8:$C$57, 0), (COLUMNS($DC13:DJ13)-1)*5 + 1) = INDEX($E$5:$CE$5, 1, (COLUMNS($DC13:DJ13)-1)*5 + 1), INDEX($E$8:$CE$57, MATCH($C13, $C$8:$C$57, 0), (COLUMNS($DC13:DJ13)-1)*5 + 4) = "F"), INDEX($CZ$8:$CZ$23, COLUMNS($DC13:DJ13)), "0"), "")</f>
        <v/>
      </c>
      <c r="DK13" s="395">
        <f t="array" ref="DK13">IFERROR(IF(AND(INDEX($E$8:$CE$57, MATCH($C13, $C$8:$C$57, 0), (COLUMNS($DC13:DK13)-1)*5 + 1) = INDEX($E$5:$CE$5, 1, (COLUMNS($DC13:DK13)-1)*5 + 1), INDEX($E$8:$CE$57, MATCH($C13, $C$8:$C$57, 0), (COLUMNS($DC13:DK13)-1)*5 + 4) = "F"), INDEX($CZ$8:$CZ$23, COLUMNS($DC13:DK13)), "0"), "")</f>
        <v/>
      </c>
      <c r="DL13" s="395">
        <f t="array" ref="DL13">IFERROR(IF(AND(INDEX($E$8:$CE$57, MATCH($C13, $C$8:$C$57, 0), (COLUMNS($DC13:DL13)-1)*5 + 1) = INDEX($E$5:$CE$5, 1, (COLUMNS($DC13:DL13)-1)*5 + 1), INDEX($E$8:$CE$57, MATCH($C13, $C$8:$C$57, 0), (COLUMNS($DC13:DL13)-1)*5 + 4) = "F"), INDEX($CZ$8:$CZ$23, COLUMNS($DC13:DL13)), "0"), "")</f>
        <v/>
      </c>
      <c r="DM13" s="395">
        <f t="array" ref="DM13">IFERROR(IF(AND(INDEX($E$8:$CE$57, MATCH($C13, $C$8:$C$57, 0), (COLUMNS($DC13:DM13)-1)*5 + 1) = INDEX($E$5:$CE$5, 1, (COLUMNS($DC13:DM13)-1)*5 + 1), INDEX($E$8:$CE$57, MATCH($C13, $C$8:$C$57, 0), (COLUMNS($DC13:DM13)-1)*5 + 4) = "F"), INDEX($CZ$8:$CZ$23, COLUMNS($DC13:DM13)), "0"), "")</f>
        <v/>
      </c>
      <c r="DN13" s="395">
        <f t="array" ref="DN13">IFERROR(IF(AND(INDEX($E$8:$CE$57, MATCH($C13, $C$8:$C$57, 0), (COLUMNS($DC13:DN13)-1)*5 + 1) = INDEX($E$5:$CE$5, 1, (COLUMNS($DC13:DN13)-1)*5 + 1), INDEX($E$8:$CE$57, MATCH($C13, $C$8:$C$57, 0), (COLUMNS($DC13:DN13)-1)*5 + 4) = "F"), INDEX($CZ$8:$CZ$23, COLUMNS($DC13:DN13)), "0"), "")</f>
        <v/>
      </c>
      <c r="DO13" s="395">
        <f t="array" ref="DO13">IFERROR(IF(AND(INDEX($E$8:$CE$57, MATCH($C13, $C$8:$C$57, 0), (COLUMNS($DC13:DO13)-1)*5 + 1) = INDEX($E$5:$CE$5, 1, (COLUMNS($DC13:DO13)-1)*5 + 1), INDEX($E$8:$CE$57, MATCH($C13, $C$8:$C$57, 0), (COLUMNS($DC13:DO13)-1)*5 + 4) = "F"), INDEX($CZ$8:$CZ$23, COLUMNS($DC13:DO13)), "0"), "")</f>
        <v/>
      </c>
      <c r="DP13" s="395">
        <f t="array" ref="DP13">IFERROR(IF(AND(INDEX($E$8:$CE$57, MATCH($C13, $C$8:$C$57, 0), (COLUMNS($DC13:DP13)-1)*5 + 1) = INDEX($E$5:$CE$5, 1, (COLUMNS($DC13:DP13)-1)*5 + 1), INDEX($E$8:$CE$57, MATCH($C13, $C$8:$C$57, 0), (COLUMNS($DC13:DP13)-1)*5 + 4) = "F"), INDEX($CZ$8:$CZ$23, COLUMNS($DC13:DP13)), "0"), "")</f>
        <v/>
      </c>
      <c r="DQ13" s="395">
        <f t="array" ref="DQ13">IFERROR(IF(AND(INDEX($E$8:$CE$57, MATCH($C13, $C$8:$C$57, 0), (COLUMNS($DC13:DQ13)-1)*5 + 1) = INDEX($E$5:$CE$5, 1, (COLUMNS($DC13:DQ13)-1)*5 + 1), INDEX($E$8:$CE$57, MATCH($C13, $C$8:$C$57, 0), (COLUMNS($DC13:DQ13)-1)*5 + 4) = "F"), INDEX($CZ$8:$CZ$23, COLUMNS($DC13:DQ13)), "0"), "")</f>
        <v/>
      </c>
      <c r="DR13" s="395">
        <f t="array" ref="DR13">IFERROR(IF(AND(INDEX($E$8:$CE$57, MATCH($C13, $C$8:$C$57, 0), (COLUMNS($DC13:DR13)-1)*5 + 1) = INDEX($E$5:$CE$5, 1, (COLUMNS($DC13:DR13)-1)*5 + 1), INDEX($E$8:$CE$57, MATCH($C13, $C$8:$C$57, 0), (COLUMNS($DC13:DR13)-1)*5 + 4) = "F"), INDEX($CZ$8:$CZ$23, COLUMNS($DC13:DR13)), "0"), "")</f>
        <v/>
      </c>
      <c r="DT13" s="605">
        <f>BASE01[[#This Row],[COD]]</f>
        <v/>
      </c>
      <c r="DU13" s="395">
        <f t="array" ref="DU13">IFERROR(IF(AND(INDEX($E$8:$CE$57, MATCH($C13, $C$8:$C$57, 0), (COLUMNS($DU13:DU13)-1)*5 + 1) = INDEX($E$5:$CE$5, 1, (COLUMNS($DU13:DU13)-1)*5 + 1), INDEX($E$8:$CE$57, MATCH($C13, $C$8:$C$57, 0), (COLUMNS($DU13:DU13)-1)*5 + 4) = "SF"), INDEX($CZ$8:$CZ$23, COLUMNS($DU13:DU13)), "0"), "")</f>
        <v/>
      </c>
      <c r="DV13" s="395">
        <f t="array" ref="DV13">IFERROR(IF(AND(INDEX($E$8:$CE$57, MATCH($C13, $C$8:$C$57, 0), (COLUMNS($DU13:DV13)-1)*5 + 1) = INDEX($E$5:$CE$5, 1, (COLUMNS($DU13:DV13)-1)*5 + 1), INDEX($E$8:$CE$57, MATCH($C13, $C$8:$C$57, 0), (COLUMNS($DU13:DV13)-1)*5 + 4) = "SF"), INDEX($CZ$8:$CZ$23, COLUMNS($DU13:DV13)), "0"), "")</f>
        <v/>
      </c>
      <c r="DW13" s="395">
        <f t="array" ref="DW13">IFERROR(IF(AND(INDEX($E$8:$CE$57, MATCH($C13, $C$8:$C$57, 0), (COLUMNS($DU13:DW13)-1)*5 + 1) = INDEX($E$5:$CE$5, 1, (COLUMNS($DU13:DW13)-1)*5 + 1), INDEX($E$8:$CE$57, MATCH($C13, $C$8:$C$57, 0), (COLUMNS($DU13:DW13)-1)*5 + 4) = "SF"), INDEX($CZ$8:$CZ$23, COLUMNS($DU13:DW13)), "0"), "")</f>
        <v/>
      </c>
      <c r="DX13" s="395">
        <f t="array" ref="DX13">IFERROR(IF(AND(INDEX($E$8:$CE$57, MATCH($C13, $C$8:$C$57, 0), (COLUMNS($DU13:DX13)-1)*5 + 1) = INDEX($E$5:$CE$5, 1, (COLUMNS($DU13:DX13)-1)*5 + 1), INDEX($E$8:$CE$57, MATCH($C13, $C$8:$C$57, 0), (COLUMNS($DU13:DX13)-1)*5 + 4) = "SF"), INDEX($CZ$8:$CZ$23, COLUMNS($DU13:DX13)), "0"), "")</f>
        <v/>
      </c>
      <c r="DY13" s="395">
        <f t="array" ref="DY13">IFERROR(IF(AND(INDEX($E$8:$CE$57, MATCH($C13, $C$8:$C$57, 0), (COLUMNS($DU13:DY13)-1)*5 + 1) = INDEX($E$5:$CE$5, 1, (COLUMNS($DU13:DY13)-1)*5 + 1), INDEX($E$8:$CE$57, MATCH($C13, $C$8:$C$57, 0), (COLUMNS($DU13:DY13)-1)*5 + 4) = "SF"), INDEX($CZ$8:$CZ$23, COLUMNS($DU13:DY13)), "0"), "")</f>
        <v/>
      </c>
      <c r="DZ13" s="395">
        <f t="array" ref="DZ13">IFERROR(IF(AND(INDEX($E$8:$CE$57, MATCH($C13, $C$8:$C$57, 0), (COLUMNS($DU13:DZ13)-1)*5 + 1) = INDEX($E$5:$CE$5, 1, (COLUMNS($DU13:DZ13)-1)*5 + 1), INDEX($E$8:$CE$57, MATCH($C13, $C$8:$C$57, 0), (COLUMNS($DU13:DZ13)-1)*5 + 4) = "SF"), INDEX($CZ$8:$CZ$23, COLUMNS($DU13:DZ13)), "0"), "")</f>
        <v/>
      </c>
      <c r="EA13" s="395">
        <f t="array" ref="EA13">IFERROR(IF(AND(INDEX($E$8:$CE$57, MATCH($C13, $C$8:$C$57, 0), (COLUMNS($DU13:EA13)-1)*5 + 1) = INDEX($E$5:$CE$5, 1, (COLUMNS($DU13:EA13)-1)*5 + 1), INDEX($E$8:$CE$57, MATCH($C13, $C$8:$C$57, 0), (COLUMNS($DU13:EA13)-1)*5 + 4) = "SF"), INDEX($CZ$8:$CZ$23, COLUMNS($DU13:EA13)), "0"), "")</f>
        <v/>
      </c>
      <c r="EB13" s="395">
        <f t="array" ref="EB13">IFERROR(IF(AND(INDEX($E$8:$CE$57, MATCH($C13, $C$8:$C$57, 0), (COLUMNS($DU13:EB13)-1)*5 + 1) = INDEX($E$5:$CE$5, 1, (COLUMNS($DU13:EB13)-1)*5 + 1), INDEX($E$8:$CE$57, MATCH($C13, $C$8:$C$57, 0), (COLUMNS($DU13:EB13)-1)*5 + 4) = "SF"), INDEX($CZ$8:$CZ$23, COLUMNS($DU13:EB13)), "0"), "")</f>
        <v/>
      </c>
      <c r="EC13" s="395">
        <f t="array" ref="EC13">IFERROR(IF(AND(INDEX($E$8:$CE$57, MATCH($C13, $C$8:$C$57, 0), (COLUMNS($DU13:EC13)-1)*5 + 1) = INDEX($E$5:$CE$5, 1, (COLUMNS($DU13:EC13)-1)*5 + 1), INDEX($E$8:$CE$57, MATCH($C13, $C$8:$C$57, 0), (COLUMNS($DU13:EC13)-1)*5 + 4) = "SF"), INDEX($CZ$8:$CZ$23, COLUMNS($DU13:EC13)), "0"), "")</f>
        <v/>
      </c>
      <c r="ED13" s="395">
        <f t="array" ref="ED13">IFERROR(IF(AND(INDEX($E$8:$CE$57, MATCH($C13, $C$8:$C$57, 0), (COLUMNS($DU13:ED13)-1)*5 + 1) = INDEX($E$5:$CE$5, 1, (COLUMNS($DU13:ED13)-1)*5 + 1), INDEX($E$8:$CE$57, MATCH($C13, $C$8:$C$57, 0), (COLUMNS($DU13:ED13)-1)*5 + 4) = "SF"), INDEX($CZ$8:$CZ$23, COLUMNS($DU13:ED13)), "0"), "")</f>
        <v/>
      </c>
      <c r="EE13" s="395">
        <f t="array" ref="EE13">IFERROR(IF(AND(INDEX($E$8:$CE$57, MATCH($C13, $C$8:$C$57, 0), (COLUMNS($DU13:EE13)-1)*5 + 1) = INDEX($E$5:$CE$5, 1, (COLUMNS($DU13:EE13)-1)*5 + 1), INDEX($E$8:$CE$57, MATCH($C13, $C$8:$C$57, 0), (COLUMNS($DU13:EE13)-1)*5 + 4) = "SF"), INDEX($CZ$8:$CZ$23, COLUMNS($DU13:EE13)), "0"), "")</f>
        <v/>
      </c>
      <c r="EF13" s="395">
        <f t="array" ref="EF13">IFERROR(IF(AND(INDEX($E$8:$CE$57, MATCH($C13, $C$8:$C$57, 0), (COLUMNS($DU13:EF13)-1)*5 + 1) = INDEX($E$5:$CE$5, 1, (COLUMNS($DU13:EF13)-1)*5 + 1), INDEX($E$8:$CE$57, MATCH($C13, $C$8:$C$57, 0), (COLUMNS($DU13:EF13)-1)*5 + 4) = "SF"), INDEX($CZ$8:$CZ$23, COLUMNS($DU13:EF13)), "0"), "")</f>
        <v/>
      </c>
      <c r="EG13" s="395">
        <f t="array" ref="EG13">IFERROR(IF(AND(INDEX($E$8:$CE$57, MATCH($C13, $C$8:$C$57, 0), (COLUMNS($DU13:EG13)-1)*5 + 1) = INDEX($E$5:$CE$5, 1, (COLUMNS($DU13:EG13)-1)*5 + 1), INDEX($E$8:$CE$57, MATCH($C13, $C$8:$C$57, 0), (COLUMNS($DU13:EG13)-1)*5 + 4) = "SF"), INDEX($CZ$8:$CZ$23, COLUMNS($DU13:EG13)), "0"), "")</f>
        <v/>
      </c>
      <c r="EH13" s="395">
        <f t="array" ref="EH13">IFERROR(IF(AND(INDEX($E$8:$CE$57, MATCH($C13, $C$8:$C$57, 0), (COLUMNS($DU13:EH13)-1)*5 + 1) = INDEX($E$5:$CE$5, 1, (COLUMNS($DU13:EH13)-1)*5 + 1), INDEX($E$8:$CE$57, MATCH($C13, $C$8:$C$57, 0), (COLUMNS($DU13:EH13)-1)*5 + 4) = "SF"), INDEX($CZ$8:$CZ$23, COLUMNS($DU13:EH13)), "0"), "")</f>
        <v/>
      </c>
      <c r="EI13" s="395">
        <f t="array" ref="EI13">IFERROR(IF(AND(INDEX($E$8:$CE$57, MATCH($C13, $C$8:$C$57, 0), (COLUMNS($DU13:EI13)-1)*5 + 1) = INDEX($E$5:$CE$5, 1, (COLUMNS($DU13:EI13)-1)*5 + 1), INDEX($E$8:$CE$57, MATCH($C13, $C$8:$C$57, 0), (COLUMNS($DU13:EI13)-1)*5 + 4) = "SF"), INDEX($CZ$8:$CZ$23, COLUMNS($DU13:EI13)), "0"), "")</f>
        <v/>
      </c>
      <c r="EJ13" s="395">
        <f t="array" ref="EJ13">IFERROR(IF(AND(INDEX($E$8:$CE$57, MATCH($C13, $C$8:$C$57, 0), (COLUMNS($DU13:EJ13)-1)*5 + 1) = INDEX($E$5:$CE$5, 1, (COLUMNS($DU13:EJ13)-1)*5 + 1), INDEX($E$8:$CE$57, MATCH($C13, $C$8:$C$57, 0), (COLUMNS($DU13:EJ13)-1)*5 + 4) = "SF"), INDEX($CZ$8:$CZ$23, COLUMNS($DU13:EJ13)), "0"), "")</f>
        <v/>
      </c>
    </row>
    <row r="14" ht="20.1" customHeight="1" s="568">
      <c r="A14" s="576" t="n"/>
      <c r="B14" s="92">
        <f>IF(BASE01[[#This Row],[COD]]&lt;&gt;"",B13+1,"")</f>
        <v/>
      </c>
      <c r="C14" s="601" t="inlineStr">
        <is>
          <t>COD 07</t>
        </is>
      </c>
      <c r="D14" s="93">
        <f t="array" ref="D14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4" s="148" t="n">
        <v>6</v>
      </c>
      <c r="F14" s="150" t="n">
        <v>1</v>
      </c>
      <c r="G14" s="150" t="n">
        <v>8</v>
      </c>
      <c r="H14" s="150" t="n"/>
      <c r="I14" s="602">
        <f>SUM(IF(E14=E$5,4,0),IF(E14&amp;F14=E$5&amp;F$5,1,0),
IF(AND(E14=E$5,F$6&gt;=$D$115),1,0),
IF(AND(F14=E$5,F$6&gt;=$D$115),1,0),
IF(AND(G14=E$5,F$6&gt;=$D$115),1,0),
IF(E14&amp;H14=I$5,1,0),
IF(F14=E$5,2,0),
IF(G14=E$5,1,0),
IF(OR(E14&amp;F14&amp;G14=E$5&amp;F$5&amp;G$5,E14&amp;F14&amp;G14=E$5&amp;G$5&amp;F$5,E14&amp;F14&amp;G14=F$5&amp;E$5&amp;G$5,E14&amp;F14&amp;G14=F$5&amp;G$5&amp;E$5,E14&amp;F14&amp;G14=G$5&amp;E$5&amp;F$5,E14&amp;F14&amp;G14=G$5&amp;F$5&amp;E$5),2,0),IF(AND(E14=E$5,F$6&gt;=$D$129),1,0),IF(AND(F14=E$5,F$6&gt;=$D$129),1,0),IF(AND(G14=E$5,F$6&gt;=$D$129),1,0),IF(E14&amp;H14=H$5,4,0),IF(AND(E14=E$5,F$6&lt;=$D$104),-0.5,0),IF(AND(F14=E$5,F$6&lt;=$D$104),-0.5,0),IF(AND(G14=E$5,F$6&lt;=$D$104),-0.5,0))</f>
        <v/>
      </c>
      <c r="J14" s="148" t="n">
        <v>8</v>
      </c>
      <c r="K14" s="150" t="n">
        <v>7</v>
      </c>
      <c r="L14" s="150" t="n">
        <v>3</v>
      </c>
      <c r="M14" s="150" t="n"/>
      <c r="N14" s="602">
        <f>SUM(IF(J14=J$5,4,0),IF(J14&amp;K14=J$5&amp;K$5,1,0),
IF(AND(J14=J$5,K$6&gt;=$D$115),1,0),
IF(AND(K14=J$5,K$6&gt;=$D$115),1,0),
IF(AND(L14=J$5,K$6&gt;=$D$115),1,0),
IF(J14&amp;M14=N$5,1,0),
IF(K14=J$5,2,0),
IF(L14=J$5,1,0),
IF(OR(J14&amp;K14&amp;L14=J$5&amp;K$5&amp;L$5,J14&amp;K14&amp;L14=J$5&amp;L$5&amp;K$5,J14&amp;K14&amp;L14=K$5&amp;J$5&amp;L$5,J14&amp;K14&amp;L14=K$5&amp;L$5&amp;J$5,J14&amp;K14&amp;L14=L$5&amp;J$5&amp;K$5,J14&amp;K14&amp;L14=L$5&amp;K$5&amp;J$5),2,0),IF(AND(J14=J$5,K$6&gt;=$D$129),1,0),IF(AND(K14=J$5,K$6&gt;=$D$129),1,0),IF(AND(L14=J$5,K$6&gt;=$D$129),1,0),IF(J14&amp;M14=M$5,4,0),IF(AND(J14=J$5,K$6&lt;=$D$104),-0.5,0),IF(AND(K14=J$5,K$6&lt;=$D$104),-0.5,0),IF(AND(L14=J$5,K$6&lt;=$D$104),-0.5,0))</f>
        <v/>
      </c>
      <c r="O14" s="148" t="n">
        <v>2</v>
      </c>
      <c r="P14" s="150" t="n">
        <v>3</v>
      </c>
      <c r="Q14" s="150" t="n">
        <v>1</v>
      </c>
      <c r="R14" s="150" t="n"/>
      <c r="S14" s="602">
        <f>SUM(IF(O14=O$5,4,0),IF(O14&amp;P14=O$5&amp;P$5,1,0),
IF(AND(O14=O$5,P$6&gt;=$D$115),1,0),
IF(AND(P14=O$5,P$6&gt;=$D$115),1,0),
IF(AND(Q14=O$5,P$6&gt;=$D$115),1,0),
IF(O14&amp;R14=S$5,1,0),
IF(P14=O$5,2,0),
IF(Q14=O$5,1,0),
IF(OR(O14&amp;P14&amp;Q14=O$5&amp;P$5&amp;Q$5,O14&amp;P14&amp;Q14=O$5&amp;Q$5&amp;P$5,O14&amp;P14&amp;Q14=P$5&amp;O$5&amp;Q$5,O14&amp;P14&amp;Q14=P$5&amp;Q$5&amp;O$5,O14&amp;P14&amp;Q14=Q$5&amp;O$5&amp;P$5,O14&amp;P14&amp;Q14=Q$5&amp;P$5&amp;O$5),2,0),IF(AND(O14=O$5,P$6&gt;=$D$129),1,0),IF(AND(P14=O$5,P$6&gt;=$D$129),1,0),IF(AND(Q14=O$5,P$6&gt;=$D$129),1,0),IF(O14&amp;R14=R$5,4,0),IF(AND(O14=O$5,P$6&lt;=$D$104),-0.5,0),IF(AND(P14=O$5,P$6&lt;=$D$104),-0.5,0),IF(AND(Q14=O$5,P$6&lt;=$D$104),-0.5,0))</f>
        <v/>
      </c>
      <c r="T14" s="148" t="n">
        <v>6</v>
      </c>
      <c r="U14" s="150" t="n">
        <v>8</v>
      </c>
      <c r="V14" s="150" t="n">
        <v>2</v>
      </c>
      <c r="W14" s="150" t="inlineStr">
        <is>
          <t>F</t>
        </is>
      </c>
      <c r="X14" s="602">
        <f>SUM(IF(T14=T$5,4,0),IF(T14&amp;U14=T$5&amp;U$5,1,0),
IF(AND(T14=T$5,U$6&gt;=$D$115),1,0),
IF(AND(U14=T$5,U$6&gt;=$D$115),1,0),
IF(AND(V14=T$5,U$6&gt;=$D$115),1,0),
IF(T14&amp;W14=X$5,1,0),
IF(U14=T$5,2,0),
IF(V14=T$5,1,0),
IF(OR(T14&amp;U14&amp;V14=T$5&amp;U$5&amp;V$5,T14&amp;U14&amp;V14=T$5&amp;V$5&amp;U$5,T14&amp;U14&amp;V14=U$5&amp;T$5&amp;V$5,T14&amp;U14&amp;V14=U$5&amp;V$5&amp;T$5,T14&amp;U14&amp;V14=V$5&amp;T$5&amp;U$5,T14&amp;U14&amp;V14=V$5&amp;U$5&amp;T$5),2,0),IF(AND(T14=T$5,U$6&gt;=$D$129),1,0),IF(AND(U14=T$5,U$6&gt;=$D$129),1,0),IF(AND(V14=T$5,U$6&gt;=$D$129),1,0),IF(T14&amp;W14=W$5,4,0),IF(AND(T14=T$5,U$6&lt;=$D$104),-0.5,0),IF(AND(U14=T$5,U$6&lt;=$D$104),-0.5,0),IF(AND(V14=T$5,U$6&lt;=$D$104),-0.5,0))</f>
        <v/>
      </c>
      <c r="Y14" s="148" t="n">
        <v>5</v>
      </c>
      <c r="Z14" s="150" t="n"/>
      <c r="AA14" s="150" t="n"/>
      <c r="AB14" s="150" t="inlineStr">
        <is>
          <t>SF</t>
        </is>
      </c>
      <c r="AC14" s="602">
        <f>SUM(IF(Y14=Y$5,4,0),IF(Y14&amp;Z14=Y$5&amp;Z$5,1,0),
IF(AND(Y14=Y$5,Z$6&gt;=$D$115),1,0),
IF(AND(Z14=Y$5,Z$6&gt;=$D$115),1,0),
IF(AND(AA14=Y$5,Z$6&gt;=$D$115),1,0),
IF(Y14&amp;AB14=AC$5,1,0),
IF(Z14=Y$5,2,0),
IF(AA14=Y$5,1,0),
IF(OR(Y14&amp;Z14&amp;AA14=Y$5&amp;Z$5&amp;AA$5,Y14&amp;Z14&amp;AA14=Y$5&amp;AA$5&amp;Z$5,Y14&amp;Z14&amp;AA14=Z$5&amp;Y$5&amp;AA$5,Y14&amp;Z14&amp;AA14=Z$5&amp;AA$5&amp;Y$5,Y14&amp;Z14&amp;AA14=AA$5&amp;Y$5&amp;Z$5,Y14&amp;Z14&amp;AA14=AA$5&amp;Z$5&amp;Y$5),2,0),IF(AND(Y14=Y$5,Z$6&gt;=$D$129),1,0),IF(AND(Z14=Y$5,Z$6&gt;=$D$129),1,0),IF(AND(AA14=Y$5,Z$6&gt;=$D$129),1,0),IF(Y14&amp;AB14=AB$5,4,0),IF(AND(Y14=Y$5,Z$6&lt;=$D$104),-0.5,0),IF(AND(Z14=Y$5,Z$6&lt;=$D$104),-0.5,0),IF(AND(AA14=Y$5,Z$6&lt;=$D$104),-0.5,0))</f>
        <v/>
      </c>
      <c r="AD14" s="148" t="n">
        <v>5</v>
      </c>
      <c r="AE14" s="150" t="n">
        <v>2</v>
      </c>
      <c r="AF14" s="150" t="n">
        <v>7</v>
      </c>
      <c r="AG14" s="150" t="n"/>
      <c r="AH14" s="602">
        <f>SUM(IF(AD14=AD$5,4,0),IF(AD14&amp;AE14=AD$5&amp;AE$5,1,0),
IF(AND(AD14=AD$5,AE$6&gt;=$D$115),1,0),
IF(AND(AE14=AD$5,AE$6&gt;=$D$115),1,0),
IF(AND(AF14=AD$5,AE$6&gt;=$D$115),1,0),
IF(AD14&amp;AG14=AH$5,1,0),
IF(AE14=AD$5,2,0),
IF(AF14=AD$5,1,0),
IF(OR(AD14&amp;AE14&amp;AF14=AD$5&amp;AE$5&amp;AF$5,AD14&amp;AE14&amp;AF14=AD$5&amp;AF$5&amp;AE$5,AD14&amp;AE14&amp;AF14=AE$5&amp;AD$5&amp;AF$5,AD14&amp;AE14&amp;AF14=AE$5&amp;AF$5&amp;AD$5,AD14&amp;AE14&amp;AF14=AF$5&amp;AD$5&amp;AE$5,AD14&amp;AE14&amp;AF14=AF$5&amp;AE$5&amp;AD$5),2,0),IF(AND(AD14=AD$5,AE$6&gt;=$D$129),1,0),IF(AND(AE14=AD$5,AE$6&gt;=$D$129),1,0),IF(AND(AF14=AD$5,AE$6&gt;=$D$129),1,0),IF(AD14&amp;AG14=AG$5,4,0),IF(AND(AD14=AD$5,AE$6&lt;=$D$104),-0.5,0),IF(AND(AE14=AD$5,AE$6&lt;=$D$104),-0.5,0),IF(AND(AF14=AD$5,AE$6&lt;=$D$104),-0.5,0))</f>
        <v/>
      </c>
      <c r="AI14" s="148" t="n">
        <v>3</v>
      </c>
      <c r="AJ14" s="150" t="n">
        <v>6</v>
      </c>
      <c r="AK14" s="150" t="n">
        <v>1</v>
      </c>
      <c r="AL14" s="150" t="n"/>
      <c r="AM14" s="602">
        <f>SUM(IF(AI14=AI$5,4,0),IF(AI14&amp;AJ14=AI$5&amp;AJ$5,1,0),
IF(AND(AI14=AI$5,AJ$6&gt;=$D$115),1,0),
IF(AND(AJ14=AI$5,AJ$6&gt;=$D$115),1,0),
IF(AND(AK14=AI$5,AJ$6&gt;=$D$115),1,0),
IF(AI14&amp;AL14=AM$5,1,0),
IF(AJ14=AI$5,2,0),
IF(AK14=AI$5,1,0),
IF(OR(AI14&amp;AJ14&amp;AK14=AI$5&amp;AJ$5&amp;AK$5,AI14&amp;AJ14&amp;AK14=AI$5&amp;AK$5&amp;AJ$5,AI14&amp;AJ14&amp;AK14=AJ$5&amp;AI$5&amp;AK$5,AI14&amp;AJ14&amp;AK14=AJ$5&amp;AK$5&amp;AI$5,AI14&amp;AJ14&amp;AK14=AK$5&amp;AI$5&amp;AJ$5,AI14&amp;AJ14&amp;AK14=AK$5&amp;AJ$5&amp;AI$5),2,0),IF(AND(AI14=AI$5,AJ$6&gt;=$D$129),1,0),IF(AND(AJ14=AI$5,AJ$6&gt;=$D$129),1,0),IF(AND(AK14=AI$5,AJ$6&gt;=$D$129),1,0),IF(AI14&amp;AL14=AL$5,4,0),IF(AND(AI14=AI$5,AJ$6&lt;=$D$104),-0.5,0),IF(AND(AJ14=AI$5,AJ$6&lt;=$D$104),-0.5,0),IF(AND(AK14=AI$5,AJ$6&lt;=$D$104),-0.5,0))</f>
        <v/>
      </c>
      <c r="AN14" s="148" t="n">
        <v>8</v>
      </c>
      <c r="AO14" s="150" t="n">
        <v>9</v>
      </c>
      <c r="AP14" s="150" t="n">
        <v>7</v>
      </c>
      <c r="AQ14" s="150" t="n"/>
      <c r="AR14" s="602">
        <f>SUM(IF(AN14=AN$5,4,0),IF(AN14&amp;AO14=AN$5&amp;AO$5,1,0),
IF(AND(AN14=AN$5,AO$6&gt;=$D$115),1,0),
IF(AND(AO14=AN$5,AO$6&gt;=$D$115),1,0),
IF(AND(AP14=AN$5,AO$6&gt;=$D$115),1,0),
IF(AN14&amp;AQ14=AR$5,1,0),
IF(AO14=AN$5,2,0),
IF(AP14=AN$5,1,0),
IF(OR(AN14&amp;AO14&amp;AP14=AN$5&amp;AO$5&amp;AP$5,AN14&amp;AO14&amp;AP14=AN$5&amp;AP$5&amp;AO$5,AN14&amp;AO14&amp;AP14=AO$5&amp;AN$5&amp;AP$5,AN14&amp;AO14&amp;AP14=AO$5&amp;AP$5&amp;AN$5,AN14&amp;AO14&amp;AP14=AP$5&amp;AN$5&amp;AO$5,AN14&amp;AO14&amp;AP14=AP$5&amp;AO$5&amp;AN$5),2,0),IF(AND(AN14=AN$5,AO$6&gt;=$D$129),1,0),IF(AND(AO14=AN$5,AO$6&gt;=$D$129),1,0),IF(AND(AP14=AN$5,AO$6&gt;=$D$129),1,0),IF(AN14&amp;AQ14=AQ$5,4,0),IF(AND(AN14=AN$5,AO$6&lt;=$D$104),-0.5,0),IF(AND(AO14=AN$5,AO$6&lt;=$D$104),-0.5,0),IF(AND(AP14=AN$5,AO$6&lt;=$D$104),-0.5,0))</f>
        <v/>
      </c>
      <c r="AS14" s="148" t="n">
        <v>1</v>
      </c>
      <c r="AT14" s="150" t="n">
        <v>7</v>
      </c>
      <c r="AU14" s="150" t="n">
        <v>3</v>
      </c>
      <c r="AV14" s="150" t="n"/>
      <c r="AW14" s="602">
        <f>SUM(IF(AS14=AS$5,4,0),IF(AS14&amp;AT14=AS$5&amp;AT$5,1,0),
IF(AND(AS14=AS$5,AT$6&gt;=$D$115),1,0),
IF(AND(AT14=AS$5,AT$6&gt;=$D$115),1,0),
IF(AND(AU14=AS$5,AT$6&gt;=$D$115),1,0),
IF(AS14&amp;AV14=AW$5,1,0),
IF(AT14=AS$5,2,0),
IF(AU14=AS$5,1,0),
IF(OR(AS14&amp;AT14&amp;AU14=AS$5&amp;AT$5&amp;AU$5,AS14&amp;AT14&amp;AU14=AS$5&amp;AU$5&amp;AT$5,AS14&amp;AT14&amp;AU14=AT$5&amp;AS$5&amp;AU$5,AS14&amp;AT14&amp;AU14=AT$5&amp;AU$5&amp;AS$5,AS14&amp;AT14&amp;AU14=AU$5&amp;AS$5&amp;AT$5,AS14&amp;AT14&amp;AU14=AU$5&amp;AT$5&amp;AS$5),2,0),IF(AND(AS14=AS$5,AT$6&gt;=$D$129),1,0),IF(AND(AT14=AS$5,AT$6&gt;=$D$129),1,0),IF(AND(AU14=AS$5,AT$6&gt;=$D$129),1,0),IF(AS14&amp;AV14=AV$5,4,0),IF(AND(AS14=AS$5,AT$6&lt;=$D$104),-0.5,0),IF(AND(AT14=AS$5,AT$6&lt;=$D$104),-0.5,0),IF(AND(AU14=AS$5,AT$6&lt;=$D$104),-0.5,0))</f>
        <v/>
      </c>
      <c r="AX14" s="148" t="n">
        <v>1</v>
      </c>
      <c r="AY14" s="150" t="n">
        <v>3</v>
      </c>
      <c r="AZ14" s="150" t="n">
        <v>9</v>
      </c>
      <c r="BA14" s="150" t="n"/>
      <c r="BB14" s="602">
        <f>SUM(IF(AX14=AX$5,4,0),IF(AX14&amp;AY14=AX$5&amp;AY$5,1,0),
IF(AND(AX14=AX$5,AY$6&gt;=$D$115),1,0),
IF(AND(AY14=AX$5,AY$6&gt;=$D$115),1,0),
IF(AND(AZ14=AX$5,AY$6&gt;=$D$115),1,0),
IF(AX14&amp;BA14=BB$5,1,0),
IF(AY14=AX$5,2,0),
IF(AZ14=AX$5,1,0),
IF(OR(AX14&amp;AY14&amp;AZ14=AX$5&amp;AY$5&amp;AZ$5,AX14&amp;AY14&amp;AZ14=AX$5&amp;AZ$5&amp;AY$5,AX14&amp;AY14&amp;AZ14=AY$5&amp;AX$5&amp;AZ$5,AX14&amp;AY14&amp;AZ14=AY$5&amp;AZ$5&amp;AX$5,AX14&amp;AY14&amp;AZ14=AZ$5&amp;AX$5&amp;AY$5,AX14&amp;AY14&amp;AZ14=AZ$5&amp;AY$5&amp;AX$5),2,0),IF(AND(AX14=AX$5,AY$6&gt;=$D$129),1,0),IF(AND(AY14=AX$5,AY$6&gt;=$D$129),1,0),IF(AND(AZ14=AX$5,AY$6&gt;=$D$129),1,0),IF(AX14&amp;BA14=BA$5,4,0),IF(AND(AX14=AX$5,AY$6&lt;=$D$104),-0.5,0),IF(AND(AY14=AX$5,AY$6&lt;=$D$104),-0.5,0),IF(AND(AZ14=AX$5,AY$6&lt;=$D$104),-0.5,0))</f>
        <v/>
      </c>
      <c r="BC14" s="148" t="n">
        <v>4</v>
      </c>
      <c r="BD14" s="150" t="n">
        <v>6</v>
      </c>
      <c r="BE14" s="150" t="n">
        <v>7</v>
      </c>
      <c r="BF14" s="150" t="n"/>
      <c r="BG14" s="602">
        <f>SUM(IF(BC14=BC$5,4,0),IF(BC14&amp;BD14=BC$5&amp;BD$5,1,0),
IF(AND(BC14=BC$5,BD$6&gt;=$D$115),1,0),
IF(AND(BD14=BC$5,BD$6&gt;=$D$115),1,0),
IF(AND(BE14=BC$5,BD$6&gt;=$D$115),1,0),
IF(BC14&amp;BF14=BG$5,1,0),
IF(BD14=BC$5,2,0),
IF(BE14=BC$5,1,0),
IF(OR(BC14&amp;BD14&amp;BE14=BC$5&amp;BD$5&amp;BE$5,BC14&amp;BD14&amp;BE14=BC$5&amp;BE$5&amp;BD$5,BC14&amp;BD14&amp;BE14=BD$5&amp;BC$5&amp;BE$5,BC14&amp;BD14&amp;BE14=BD$5&amp;BE$5&amp;BC$5,BC14&amp;BD14&amp;BE14=BE$5&amp;BC$5&amp;BD$5,BC14&amp;BD14&amp;BE14=BE$5&amp;BD$5&amp;BC$5),2,0),IF(AND(BC14=BC$5,BD$6&gt;=$D$129),1,0),IF(AND(BD14=BC$5,BD$6&gt;=$D$129),1,0),IF(AND(BE14=BC$5,BD$6&gt;=$D$129),1,0),IF(BC14&amp;BF14=BF$5,4,0),IF(AND(BC14=BC$5,BD$6&lt;=$D$104),-0.5,0),IF(AND(BD14=BC$5,BD$6&lt;=$D$104),-0.5,0),IF(AND(BE14=BC$5,BD$6&lt;=$D$104),-0.5,0))</f>
        <v/>
      </c>
      <c r="BH14" s="148" t="n">
        <v>5</v>
      </c>
      <c r="BI14" s="150" t="n">
        <v>1</v>
      </c>
      <c r="BJ14" s="150" t="n">
        <v>6</v>
      </c>
      <c r="BK14" s="150" t="inlineStr">
        <is>
          <t>F</t>
        </is>
      </c>
      <c r="BL14" s="602">
        <f>SUM(IF(BH14=BH$5,4,0),IF(BH14&amp;BI14=BH$5&amp;BI$5,1,0),
IF(AND(BH14=BH$5,BI$6&gt;=$D$115),1,0),
IF(AND(BI14=BH$5,BI$6&gt;=$D$115),1,0),
IF(AND(BJ14=BH$5,BI$6&gt;=$D$115),1,0),
IF(BH14&amp;BK14=BL$5,1,0),
IF(BI14=BH$5,2,0),
IF(BJ14=BH$5,1,0),
IF(OR(BH14&amp;BI14&amp;BJ14=BH$5&amp;BI$5&amp;BJ$5,BH14&amp;BI14&amp;BJ14=BH$5&amp;BJ$5&amp;BI$5,BH14&amp;BI14&amp;BJ14=BI$5&amp;BH$5&amp;BJ$5,BH14&amp;BI14&amp;BJ14=BI$5&amp;BJ$5&amp;BH$5,BH14&amp;BI14&amp;BJ14=BJ$5&amp;BH$5&amp;BI$5,BH14&amp;BI14&amp;BJ14=BJ$5&amp;BI$5&amp;BH$5),2,0),IF(AND(BH14=BH$5,BI$6&gt;=$D$129),1,0),IF(AND(BI14=BH$5,BI$6&gt;=$D$129),1,0),IF(AND(BJ14=BH$5,BI$6&gt;=$D$129),1,0),IF(BH14&amp;BK14=BK$5,4,0),IF(AND(BH14=BH$5,BI$6&lt;=$D$104),-0.5,0),IF(AND(BI14=BH$5,BI$6&lt;=$D$104),-0.5,0),IF(AND(BJ14=BH$5,BI$6&lt;=$D$104),-0.5,0))</f>
        <v/>
      </c>
      <c r="BM14" s="148" t="n">
        <v>1</v>
      </c>
      <c r="BN14" s="150" t="n">
        <v>2</v>
      </c>
      <c r="BO14" s="150" t="n">
        <v>12</v>
      </c>
      <c r="BP14" s="150" t="n"/>
      <c r="BQ14" s="602">
        <f>SUM(IF(BM14=BM$5,4,0),IF(BM14&amp;BN14=BM$5&amp;BN$5,1,0),
IF(AND(BM14=BM$5,BN$6&gt;=$D$115),1,0),
IF(AND(BN14=BM$5,BN$6&gt;=$D$115),1,0),
IF(AND(BO14=BM$5,BN$6&gt;=$D$115),1,0),
IF(BM14&amp;BP14=BQ$5,1,0),
IF(BN14=BM$5,2,0),
IF(BO14=BM$5,1,0),
IF(OR(BM14&amp;BN14&amp;BO14=BM$5&amp;BN$5&amp;BO$5,BM14&amp;BN14&amp;BO14=BM$5&amp;BO$5&amp;BN$5,BM14&amp;BN14&amp;BO14=BN$5&amp;BM$5&amp;BO$5,BM14&amp;BN14&amp;BO14=BN$5&amp;BO$5&amp;BM$5,BM14&amp;BN14&amp;BO14=BO$5&amp;BM$5&amp;BN$5,BM14&amp;BN14&amp;BO14=BO$5&amp;BN$5&amp;BM$5),2,0),IF(AND(BM14=BM$5,BN$6&gt;=$D$129),1,0),IF(AND(BN14=BM$5,BN$6&gt;=$D$129),1,0),IF(AND(BO14=BM$5,BN$6&gt;=$D$129),1,0),IF(BM14&amp;BP14=BP$5,4,0),IF(AND(BM14=BM$5,BN$6&lt;=$D$104),-0.5,0),IF(AND(BN14=BM$5,BN$6&lt;=$D$104),-0.5,0),IF(AND(BO14=BM$5,BN$6&lt;=$D$104),-0.5,0))</f>
        <v/>
      </c>
      <c r="BR14" s="148" t="n"/>
      <c r="BS14" s="150" t="n"/>
      <c r="BT14" s="150" t="n"/>
      <c r="BU14" s="150" t="n"/>
      <c r="BV14" s="602">
        <f>SUM(IF(BR14=BR$5,4,0),IF(BR14&amp;BS14=BR$5&amp;BS$5,1,0),
IF(AND(BR14=BR$5,BS$6&gt;=$D$115),1,0),
IF(AND(BS14=BR$5,BS$6&gt;=$D$115),1,0),
IF(AND(BT14=BR$5,BS$6&gt;=$D$115),1,0),
IF(BR14&amp;BU14=BV$5,1,0),
IF(BS14=BR$5,2,0),
IF(BT14=BR$5,1,0),
IF(OR(BR14&amp;BS14&amp;BT14=BR$5&amp;BS$5&amp;BT$5,BR14&amp;BS14&amp;BT14=BR$5&amp;BT$5&amp;BS$5,BR14&amp;BS14&amp;BT14=BS$5&amp;BR$5&amp;BT$5,BR14&amp;BS14&amp;BT14=BS$5&amp;BT$5&amp;BR$5,BR14&amp;BS14&amp;BT14=BT$5&amp;BR$5&amp;BS$5,BR14&amp;BS14&amp;BT14=BT$5&amp;BS$5&amp;BR$5),2,0),IF(AND(BR14=BR$5,BS$6&gt;=$D$129),1,0),IF(AND(BS14=BR$5,BS$6&gt;=$D$129),1,0),IF(AND(BT14=BR$5,BS$6&gt;=$D$129),1,0),IF(BR14&amp;BU14=BU$5,4,0),IF(AND(BR14=BR$5,BS$6&lt;=$D$104),-0.5,0),IF(AND(BS14=BR$5,BS$6&lt;=$D$104),-0.5,0),IF(AND(BT14=BR$5,BS$6&lt;=$D$104),-0.5,0))</f>
        <v/>
      </c>
      <c r="BW14" s="148" t="n"/>
      <c r="BX14" s="150" t="n"/>
      <c r="BY14" s="150" t="n"/>
      <c r="BZ14" s="150" t="n"/>
      <c r="CA14" s="602">
        <f>SUM(IF(BW14=BW$5,4,0),IF(BW14&amp;BX14=BW$5&amp;BX$5,1,0),
IF(AND(BW14=BW$5,BX$6&gt;=$D$115),1,0),
IF(AND(BX14=BW$5,BX$6&gt;=$D$115),1,0),
IF(AND(BY14=BW$5,BX$6&gt;=$D$115),1,0),
IF(BW14&amp;BZ14=CA$5,1,0),
IF(BX14=BW$5,2,0),
IF(BY14=BW$5,1,0),
IF(OR(BW14&amp;BX14&amp;BY14=BW$5&amp;BX$5&amp;BY$5,BW14&amp;BX14&amp;BY14=BW$5&amp;BY$5&amp;BX$5,BW14&amp;BX14&amp;BY14=BX$5&amp;BW$5&amp;BY$5,BW14&amp;BX14&amp;BY14=BX$5&amp;BY$5&amp;BW$5,BW14&amp;BX14&amp;BY14=BY$5&amp;BW$5&amp;BX$5,BW14&amp;BX14&amp;BY14=BY$5&amp;BX$5&amp;BW$5),2,0),IF(AND(BW14=BW$5,BX$6&gt;=$D$129),1,0),IF(AND(BX14=BW$5,BX$6&gt;=$D$129),1,0),IF(AND(BY14=BW$5,BX$6&gt;=$D$129),1,0),IF(BW14&amp;BZ14=BZ$5,4,0),IF(AND(BW14=BW$5,BX$6&lt;=$D$104),-0.5,0),IF(AND(BX14=BW$5,BX$6&lt;=$D$104),-0.5,0),IF(AND(BY14=BW$5,BX$6&lt;=$D$104),-0.5,0))</f>
        <v/>
      </c>
      <c r="CB14" s="148" t="n"/>
      <c r="CC14" s="150" t="n"/>
      <c r="CD14" s="150" t="n"/>
      <c r="CE14" s="150" t="n"/>
      <c r="CF14" s="602">
        <f>SUM(IF(CB14=CB$5,4,0),IF(CB14&amp;CC14=CB$5&amp;CC$5,1,0),
IF(AND(CB14=CB$5,CC$6&gt;=$D$115),1,0),
IF(AND(CC14=CB$5,CC$6&gt;=$D$115),1,0),
IF(AND(CD14=CB$5,CC$6&gt;=$D$115),1,0),
IF(CB14&amp;CE14=CF$5,1,0),
IF(CC14=CB$5,2,0),
IF(CD14=CB$5,1,0),
IF(OR(CB14&amp;CC14&amp;CD14=CB$5&amp;CC$5&amp;CD$5,CB14&amp;CC14&amp;CD14=CB$5&amp;CD$5&amp;CC$5,CB14&amp;CC14&amp;CD14=CC$5&amp;CB$5&amp;CD$5,CB14&amp;CC14&amp;CD14=CC$5&amp;CD$5&amp;CB$5,CB14&amp;CC14&amp;CD14=CD$5&amp;CB$5&amp;CC$5,CB14&amp;CC14&amp;CD14=CD$5&amp;CC$5&amp;CB$5),2,0),IF(AND(CB14=CB$5,CC$6&gt;=$D$129),1,0),IF(AND(CC14=CB$5,CC$6&gt;=$D$129),1,0),IF(AND(CD14=CB$5,CC$6&gt;=$D$129),1,0),IF(CB14&amp;CE14=CE$5,4,0),IF(AND(CB14=CB$5,CC$6&lt;=$D$104),-0.5,0),IF(AND(CC14=CB$5,CC$6&lt;=$D$104),-0.5,0),IF(AND(CD14=CB$5,CC$6&lt;=$D$104),-0.5,0))</f>
        <v/>
      </c>
      <c r="CG14" s="164">
        <f>IF(BASE01[[#This Row],[1]]="",0,$B$4)</f>
        <v/>
      </c>
      <c r="CH14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4" s="166">
        <f>IF(BASE01[[#This Row],[Columna14]]=0,0,(CH14/CG14))</f>
        <v/>
      </c>
      <c r="CJ14" s="165">
        <f>IF(BASE01[[#This Row],[1]]="",0,$B$4)</f>
        <v/>
      </c>
      <c r="CK14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4" s="166">
        <f>IF(BASE01[[#This Row],[Columna14]]=0,0,(CK14/CJ14))</f>
        <v/>
      </c>
      <c r="CM14" s="164">
        <f>IF(BASE01[[#This Row],[1]]="",0,$B$4)</f>
        <v/>
      </c>
      <c r="CN14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4" s="166">
        <f>IF(BASE01[[#This Row],[Columna14]]=0,0,(CN14/CM14))</f>
        <v/>
      </c>
      <c r="CP14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4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Row],[Columna25]],$AX$5,BA14,"SF")+COUNTIFS(BASE01[[#This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4" s="166">
        <f>IF(BASE01[[#This Row],[Columna14]]=0,0,(CQ14/CP14))</f>
        <v/>
      </c>
      <c r="CS14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4" s="95" t="n"/>
      <c r="CU14" s="604">
        <f>SUM(CS14,CT14)</f>
        <v/>
      </c>
      <c r="CV14" s="96">
        <f>IF(BASE01[[#This Row],[TIPO]]="PREMIO",$O$3,"0,00")</f>
        <v/>
      </c>
      <c r="CW14" s="576" t="n"/>
      <c r="CY14" s="393" t="n">
        <v>7</v>
      </c>
      <c r="CZ14" s="354">
        <f>AJ$6</f>
        <v/>
      </c>
      <c r="DB14" s="605">
        <f>BASE01[[#This Row],[COD]]</f>
        <v/>
      </c>
      <c r="DC14" s="395">
        <f t="array" ref="DC14">IFERROR(IF(AND(INDEX($E$8:$CE$57, MATCH($C14, $C$8:$C$57, 0), (COLUMNS($DC14:DC14)-1)*5 + 1) = INDEX($E$5:$CE$5, 1, (COLUMNS($DC14:DC14)-1)*5 + 1), INDEX($E$8:$CE$57, MATCH($C14, $C$8:$C$57, 0), (COLUMNS($DC14:DC14)-1)*5 + 4) = "F"), INDEX($CZ$8:$CZ$23, COLUMNS($DC14:DC14)), "0"), "")</f>
        <v/>
      </c>
      <c r="DD14" s="395">
        <f t="array" ref="DD14">IFERROR(IF(AND(INDEX($E$8:$CE$57, MATCH($C14, $C$8:$C$57, 0), (COLUMNS($DC14:DD14)-1)*5 + 1) = INDEX($E$5:$CE$5, 1, (COLUMNS($DC14:DD14)-1)*5 + 1), INDEX($E$8:$CE$57, MATCH($C14, $C$8:$C$57, 0), (COLUMNS($DC14:DD14)-1)*5 + 4) = "F"), INDEX($CZ$8:$CZ$23, COLUMNS($DC14:DD14)), "0"), "")</f>
        <v/>
      </c>
      <c r="DE14" s="395">
        <f t="array" ref="DE14">IFERROR(IF(AND(INDEX($E$8:$CE$57, MATCH($C14, $C$8:$C$57, 0), (COLUMNS($DC14:DE14)-1)*5 + 1) = INDEX($E$5:$CE$5, 1, (COLUMNS($DC14:DE14)-1)*5 + 1), INDEX($E$8:$CE$57, MATCH($C14, $C$8:$C$57, 0), (COLUMNS($DC14:DE14)-1)*5 + 4) = "F"), INDEX($CZ$8:$CZ$23, COLUMNS($DC14:DE14)), "0"), "")</f>
        <v/>
      </c>
      <c r="DF14" s="395">
        <f t="array" ref="DF14">IFERROR(IF(AND(INDEX($E$8:$CE$57, MATCH($C14, $C$8:$C$57, 0), (COLUMNS($DC14:DF14)-1)*5 + 1) = INDEX($E$5:$CE$5, 1, (COLUMNS($DC14:DF14)-1)*5 + 1), INDEX($E$8:$CE$57, MATCH($C14, $C$8:$C$57, 0), (COLUMNS($DC14:DF14)-1)*5 + 4) = "F"), INDEX($CZ$8:$CZ$23, COLUMNS($DC14:DF14)), "0"), "")</f>
        <v/>
      </c>
      <c r="DG14" s="395">
        <f t="array" ref="DG14">IFERROR(IF(AND(INDEX($E$8:$CE$57, MATCH($C14, $C$8:$C$57, 0), (COLUMNS($DC14:DG14)-1)*5 + 1) = INDEX($E$5:$CE$5, 1, (COLUMNS($DC14:DG14)-1)*5 + 1), INDEX($E$8:$CE$57, MATCH($C14, $C$8:$C$57, 0), (COLUMNS($DC14:DG14)-1)*5 + 4) = "F"), INDEX($CZ$8:$CZ$23, COLUMNS($DC14:DG14)), "0"), "")</f>
        <v/>
      </c>
      <c r="DH14" s="395">
        <f t="array" ref="DH14">IFERROR(IF(AND(INDEX($E$8:$CE$57, MATCH($C14, $C$8:$C$57, 0), (COLUMNS($DC14:DH14)-1)*5 + 1) = INDEX($E$5:$CE$5, 1, (COLUMNS($DC14:DH14)-1)*5 + 1), INDEX($E$8:$CE$57, MATCH($C14, $C$8:$C$57, 0), (COLUMNS($DC14:DH14)-1)*5 + 4) = "F"), INDEX($CZ$8:$CZ$23, COLUMNS($DC14:DH14)), "0"), "")</f>
        <v/>
      </c>
      <c r="DI14" s="395">
        <f t="array" ref="DI14">IFERROR(IF(AND(INDEX($E$8:$CE$57, MATCH($C14, $C$8:$C$57, 0), (COLUMNS($DC14:DI14)-1)*5 + 1) = INDEX($E$5:$CE$5, 1, (COLUMNS($DC14:DI14)-1)*5 + 1), INDEX($E$8:$CE$57, MATCH($C14, $C$8:$C$57, 0), (COLUMNS($DC14:DI14)-1)*5 + 4) = "F"), INDEX($CZ$8:$CZ$23, COLUMNS($DC14:DI14)), "0"), "")</f>
        <v/>
      </c>
      <c r="DJ14" s="395">
        <f t="array" ref="DJ14">IFERROR(IF(AND(INDEX($E$8:$CE$57, MATCH($C14, $C$8:$C$57, 0), (COLUMNS($DC14:DJ14)-1)*5 + 1) = INDEX($E$5:$CE$5, 1, (COLUMNS($DC14:DJ14)-1)*5 + 1), INDEX($E$8:$CE$57, MATCH($C14, $C$8:$C$57, 0), (COLUMNS($DC14:DJ14)-1)*5 + 4) = "F"), INDEX($CZ$8:$CZ$23, COLUMNS($DC14:DJ14)), "0"), "")</f>
        <v/>
      </c>
      <c r="DK14" s="395">
        <f t="array" ref="DK14">IFERROR(IF(AND(INDEX($E$8:$CE$57, MATCH($C14, $C$8:$C$57, 0), (COLUMNS($DC14:DK14)-1)*5 + 1) = INDEX($E$5:$CE$5, 1, (COLUMNS($DC14:DK14)-1)*5 + 1), INDEX($E$8:$CE$57, MATCH($C14, $C$8:$C$57, 0), (COLUMNS($DC14:DK14)-1)*5 + 4) = "F"), INDEX($CZ$8:$CZ$23, COLUMNS($DC14:DK14)), "0"), "")</f>
        <v/>
      </c>
      <c r="DL14" s="395">
        <f t="array" ref="DL14">IFERROR(IF(AND(INDEX($E$8:$CE$57, MATCH($C14, $C$8:$C$57, 0), (COLUMNS($DC14:DL14)-1)*5 + 1) = INDEX($E$5:$CE$5, 1, (COLUMNS($DC14:DL14)-1)*5 + 1), INDEX($E$8:$CE$57, MATCH($C14, $C$8:$C$57, 0), (COLUMNS($DC14:DL14)-1)*5 + 4) = "F"), INDEX($CZ$8:$CZ$23, COLUMNS($DC14:DL14)), "0"), "")</f>
        <v/>
      </c>
      <c r="DM14" s="395">
        <f t="array" ref="DM14">IFERROR(IF(AND(INDEX($E$8:$CE$57, MATCH($C14, $C$8:$C$57, 0), (COLUMNS($DC14:DM14)-1)*5 + 1) = INDEX($E$5:$CE$5, 1, (COLUMNS($DC14:DM14)-1)*5 + 1), INDEX($E$8:$CE$57, MATCH($C14, $C$8:$C$57, 0), (COLUMNS($DC14:DM14)-1)*5 + 4) = "F"), INDEX($CZ$8:$CZ$23, COLUMNS($DC14:DM14)), "0"), "")</f>
        <v/>
      </c>
      <c r="DN14" s="395">
        <f t="array" ref="DN14">IFERROR(IF(AND(INDEX($E$8:$CE$57, MATCH($C14, $C$8:$C$57, 0), (COLUMNS($DC14:DN14)-1)*5 + 1) = INDEX($E$5:$CE$5, 1, (COLUMNS($DC14:DN14)-1)*5 + 1), INDEX($E$8:$CE$57, MATCH($C14, $C$8:$C$57, 0), (COLUMNS($DC14:DN14)-1)*5 + 4) = "F"), INDEX($CZ$8:$CZ$23, COLUMNS($DC14:DN14)), "0"), "")</f>
        <v/>
      </c>
      <c r="DO14" s="395">
        <f t="array" ref="DO14">IFERROR(IF(AND(INDEX($E$8:$CE$57, MATCH($C14, $C$8:$C$57, 0), (COLUMNS($DC14:DO14)-1)*5 + 1) = INDEX($E$5:$CE$5, 1, (COLUMNS($DC14:DO14)-1)*5 + 1), INDEX($E$8:$CE$57, MATCH($C14, $C$8:$C$57, 0), (COLUMNS($DC14:DO14)-1)*5 + 4) = "F"), INDEX($CZ$8:$CZ$23, COLUMNS($DC14:DO14)), "0"), "")</f>
        <v/>
      </c>
      <c r="DP14" s="395">
        <f t="array" ref="DP14">IFERROR(IF(AND(INDEX($E$8:$CE$57, MATCH($C14, $C$8:$C$57, 0), (COLUMNS($DC14:DP14)-1)*5 + 1) = INDEX($E$5:$CE$5, 1, (COLUMNS($DC14:DP14)-1)*5 + 1), INDEX($E$8:$CE$57, MATCH($C14, $C$8:$C$57, 0), (COLUMNS($DC14:DP14)-1)*5 + 4) = "F"), INDEX($CZ$8:$CZ$23, COLUMNS($DC14:DP14)), "0"), "")</f>
        <v/>
      </c>
      <c r="DQ14" s="395">
        <f t="array" ref="DQ14">IFERROR(IF(AND(INDEX($E$8:$CE$57, MATCH($C14, $C$8:$C$57, 0), (COLUMNS($DC14:DQ14)-1)*5 + 1) = INDEX($E$5:$CE$5, 1, (COLUMNS($DC14:DQ14)-1)*5 + 1), INDEX($E$8:$CE$57, MATCH($C14, $C$8:$C$57, 0), (COLUMNS($DC14:DQ14)-1)*5 + 4) = "F"), INDEX($CZ$8:$CZ$23, COLUMNS($DC14:DQ14)), "0"), "")</f>
        <v/>
      </c>
      <c r="DR14" s="395">
        <f t="array" ref="DR14">IFERROR(IF(AND(INDEX($E$8:$CE$57, MATCH($C14, $C$8:$C$57, 0), (COLUMNS($DC14:DR14)-1)*5 + 1) = INDEX($E$5:$CE$5, 1, (COLUMNS($DC14:DR14)-1)*5 + 1), INDEX($E$8:$CE$57, MATCH($C14, $C$8:$C$57, 0), (COLUMNS($DC14:DR14)-1)*5 + 4) = "F"), INDEX($CZ$8:$CZ$23, COLUMNS($DC14:DR14)), "0"), "")</f>
        <v/>
      </c>
      <c r="DT14" s="605">
        <f>BASE01[[#This Row],[COD]]</f>
        <v/>
      </c>
      <c r="DU14" s="395">
        <f t="array" ref="DU14">IFERROR(IF(AND(INDEX($E$8:$CE$57, MATCH($C14, $C$8:$C$57, 0), (COLUMNS($DU14:DU14)-1)*5 + 1) = INDEX($E$5:$CE$5, 1, (COLUMNS($DU14:DU14)-1)*5 + 1), INDEX($E$8:$CE$57, MATCH($C14, $C$8:$C$57, 0), (COLUMNS($DU14:DU14)-1)*5 + 4) = "SF"), INDEX($CZ$8:$CZ$23, COLUMNS($DU14:DU14)), "0"), "")</f>
        <v/>
      </c>
      <c r="DV14" s="395">
        <f t="array" ref="DV14">IFERROR(IF(AND(INDEX($E$8:$CE$57, MATCH($C14, $C$8:$C$57, 0), (COLUMNS($DU14:DV14)-1)*5 + 1) = INDEX($E$5:$CE$5, 1, (COLUMNS($DU14:DV14)-1)*5 + 1), INDEX($E$8:$CE$57, MATCH($C14, $C$8:$C$57, 0), (COLUMNS($DU14:DV14)-1)*5 + 4) = "SF"), INDEX($CZ$8:$CZ$23, COLUMNS($DU14:DV14)), "0"), "")</f>
        <v/>
      </c>
      <c r="DW14" s="395">
        <f t="array" ref="DW14">IFERROR(IF(AND(INDEX($E$8:$CE$57, MATCH($C14, $C$8:$C$57, 0), (COLUMNS($DU14:DW14)-1)*5 + 1) = INDEX($E$5:$CE$5, 1, (COLUMNS($DU14:DW14)-1)*5 + 1), INDEX($E$8:$CE$57, MATCH($C14, $C$8:$C$57, 0), (COLUMNS($DU14:DW14)-1)*5 + 4) = "SF"), INDEX($CZ$8:$CZ$23, COLUMNS($DU14:DW14)), "0"), "")</f>
        <v/>
      </c>
      <c r="DX14" s="395">
        <f t="array" ref="DX14">IFERROR(IF(AND(INDEX($E$8:$CE$57, MATCH($C14, $C$8:$C$57, 0), (COLUMNS($DU14:DX14)-1)*5 + 1) = INDEX($E$5:$CE$5, 1, (COLUMNS($DU14:DX14)-1)*5 + 1), INDEX($E$8:$CE$57, MATCH($C14, $C$8:$C$57, 0), (COLUMNS($DU14:DX14)-1)*5 + 4) = "SF"), INDEX($CZ$8:$CZ$23, COLUMNS($DU14:DX14)), "0"), "")</f>
        <v/>
      </c>
      <c r="DY14" s="395">
        <f t="array" ref="DY14">IFERROR(IF(AND(INDEX($E$8:$CE$57, MATCH($C14, $C$8:$C$57, 0), (COLUMNS($DU14:DY14)-1)*5 + 1) = INDEX($E$5:$CE$5, 1, (COLUMNS($DU14:DY14)-1)*5 + 1), INDEX($E$8:$CE$57, MATCH($C14, $C$8:$C$57, 0), (COLUMNS($DU14:DY14)-1)*5 + 4) = "SF"), INDEX($CZ$8:$CZ$23, COLUMNS($DU14:DY14)), "0"), "")</f>
        <v/>
      </c>
      <c r="DZ14" s="395">
        <f t="array" ref="DZ14">IFERROR(IF(AND(INDEX($E$8:$CE$57, MATCH($C14, $C$8:$C$57, 0), (COLUMNS($DU14:DZ14)-1)*5 + 1) = INDEX($E$5:$CE$5, 1, (COLUMNS($DU14:DZ14)-1)*5 + 1), INDEX($E$8:$CE$57, MATCH($C14, $C$8:$C$57, 0), (COLUMNS($DU14:DZ14)-1)*5 + 4) = "SF"), INDEX($CZ$8:$CZ$23, COLUMNS($DU14:DZ14)), "0"), "")</f>
        <v/>
      </c>
      <c r="EA14" s="395">
        <f t="array" ref="EA14">IFERROR(IF(AND(INDEX($E$8:$CE$57, MATCH($C14, $C$8:$C$57, 0), (COLUMNS($DU14:EA14)-1)*5 + 1) = INDEX($E$5:$CE$5, 1, (COLUMNS($DU14:EA14)-1)*5 + 1), INDEX($E$8:$CE$57, MATCH($C14, $C$8:$C$57, 0), (COLUMNS($DU14:EA14)-1)*5 + 4) = "SF"), INDEX($CZ$8:$CZ$23, COLUMNS($DU14:EA14)), "0"), "")</f>
        <v/>
      </c>
      <c r="EB14" s="395">
        <f t="array" ref="EB14">IFERROR(IF(AND(INDEX($E$8:$CE$57, MATCH($C14, $C$8:$C$57, 0), (COLUMNS($DU14:EB14)-1)*5 + 1) = INDEX($E$5:$CE$5, 1, (COLUMNS($DU14:EB14)-1)*5 + 1), INDEX($E$8:$CE$57, MATCH($C14, $C$8:$C$57, 0), (COLUMNS($DU14:EB14)-1)*5 + 4) = "SF"), INDEX($CZ$8:$CZ$23, COLUMNS($DU14:EB14)), "0"), "")</f>
        <v/>
      </c>
      <c r="EC14" s="395">
        <f t="array" ref="EC14">IFERROR(IF(AND(INDEX($E$8:$CE$57, MATCH($C14, $C$8:$C$57, 0), (COLUMNS($DU14:EC14)-1)*5 + 1) = INDEX($E$5:$CE$5, 1, (COLUMNS($DU14:EC14)-1)*5 + 1), INDEX($E$8:$CE$57, MATCH($C14, $C$8:$C$57, 0), (COLUMNS($DU14:EC14)-1)*5 + 4) = "SF"), INDEX($CZ$8:$CZ$23, COLUMNS($DU14:EC14)), "0"), "")</f>
        <v/>
      </c>
      <c r="ED14" s="395">
        <f t="array" ref="ED14">IFERROR(IF(AND(INDEX($E$8:$CE$57, MATCH($C14, $C$8:$C$57, 0), (COLUMNS($DU14:ED14)-1)*5 + 1) = INDEX($E$5:$CE$5, 1, (COLUMNS($DU14:ED14)-1)*5 + 1), INDEX($E$8:$CE$57, MATCH($C14, $C$8:$C$57, 0), (COLUMNS($DU14:ED14)-1)*5 + 4) = "SF"), INDEX($CZ$8:$CZ$23, COLUMNS($DU14:ED14)), "0"), "")</f>
        <v/>
      </c>
      <c r="EE14" s="395">
        <f t="array" ref="EE14">IFERROR(IF(AND(INDEX($E$8:$CE$57, MATCH($C14, $C$8:$C$57, 0), (COLUMNS($DU14:EE14)-1)*5 + 1) = INDEX($E$5:$CE$5, 1, (COLUMNS($DU14:EE14)-1)*5 + 1), INDEX($E$8:$CE$57, MATCH($C14, $C$8:$C$57, 0), (COLUMNS($DU14:EE14)-1)*5 + 4) = "SF"), INDEX($CZ$8:$CZ$23, COLUMNS($DU14:EE14)), "0"), "")</f>
        <v/>
      </c>
      <c r="EF14" s="395">
        <f t="array" ref="EF14">IFERROR(IF(AND(INDEX($E$8:$CE$57, MATCH($C14, $C$8:$C$57, 0), (COLUMNS($DU14:EF14)-1)*5 + 1) = INDEX($E$5:$CE$5, 1, (COLUMNS($DU14:EF14)-1)*5 + 1), INDEX($E$8:$CE$57, MATCH($C14, $C$8:$C$57, 0), (COLUMNS($DU14:EF14)-1)*5 + 4) = "SF"), INDEX($CZ$8:$CZ$23, COLUMNS($DU14:EF14)), "0"), "")</f>
        <v/>
      </c>
      <c r="EG14" s="395">
        <f t="array" ref="EG14">IFERROR(IF(AND(INDEX($E$8:$CE$57, MATCH($C14, $C$8:$C$57, 0), (COLUMNS($DU14:EG14)-1)*5 + 1) = INDEX($E$5:$CE$5, 1, (COLUMNS($DU14:EG14)-1)*5 + 1), INDEX($E$8:$CE$57, MATCH($C14, $C$8:$C$57, 0), (COLUMNS($DU14:EG14)-1)*5 + 4) = "SF"), INDEX($CZ$8:$CZ$23, COLUMNS($DU14:EG14)), "0"), "")</f>
        <v/>
      </c>
      <c r="EH14" s="395">
        <f t="array" ref="EH14">IFERROR(IF(AND(INDEX($E$8:$CE$57, MATCH($C14, $C$8:$C$57, 0), (COLUMNS($DU14:EH14)-1)*5 + 1) = INDEX($E$5:$CE$5, 1, (COLUMNS($DU14:EH14)-1)*5 + 1), INDEX($E$8:$CE$57, MATCH($C14, $C$8:$C$57, 0), (COLUMNS($DU14:EH14)-1)*5 + 4) = "SF"), INDEX($CZ$8:$CZ$23, COLUMNS($DU14:EH14)), "0"), "")</f>
        <v/>
      </c>
      <c r="EI14" s="395">
        <f t="array" ref="EI14">IFERROR(IF(AND(INDEX($E$8:$CE$57, MATCH($C14, $C$8:$C$57, 0), (COLUMNS($DU14:EI14)-1)*5 + 1) = INDEX($E$5:$CE$5, 1, (COLUMNS($DU14:EI14)-1)*5 + 1), INDEX($E$8:$CE$57, MATCH($C14, $C$8:$C$57, 0), (COLUMNS($DU14:EI14)-1)*5 + 4) = "SF"), INDEX($CZ$8:$CZ$23, COLUMNS($DU14:EI14)), "0"), "")</f>
        <v/>
      </c>
      <c r="EJ14" s="395">
        <f t="array" ref="EJ14">IFERROR(IF(AND(INDEX($E$8:$CE$57, MATCH($C14, $C$8:$C$57, 0), (COLUMNS($DU14:EJ14)-1)*5 + 1) = INDEX($E$5:$CE$5, 1, (COLUMNS($DU14:EJ14)-1)*5 + 1), INDEX($E$8:$CE$57, MATCH($C14, $C$8:$C$57, 0), (COLUMNS($DU14:EJ14)-1)*5 + 4) = "SF"), INDEX($CZ$8:$CZ$23, COLUMNS($DU14:EJ14)), "0"), "")</f>
        <v/>
      </c>
    </row>
    <row r="15" ht="20.1" customHeight="1" s="568">
      <c r="A15" s="576" t="n"/>
      <c r="B15" s="92">
        <f>IF(BASE01[[#This Row],[COD]]&lt;&gt;"",B14+1,"")</f>
        <v/>
      </c>
      <c r="C15" s="601" t="inlineStr">
        <is>
          <t>COD 08</t>
        </is>
      </c>
      <c r="D15" s="93">
        <f t="array" ref="D15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5" s="145" t="n">
        <v>8</v>
      </c>
      <c r="F15" s="147" t="n">
        <v>2</v>
      </c>
      <c r="G15" s="147" t="n">
        <v>4</v>
      </c>
      <c r="H15" s="147" t="n"/>
      <c r="I15" s="602">
        <f>SUM(IF(E15=E$5,4,0),IF(E15&amp;F15=E$5&amp;F$5,1,0),
IF(AND(E15=E$5,F$6&gt;=$D$115),1,0),
IF(AND(F15=E$5,F$6&gt;=$D$115),1,0),
IF(AND(G15=E$5,F$6&gt;=$D$115),1,0),
IF(E15&amp;H15=I$5,1,0),
IF(F15=E$5,2,0),
IF(G15=E$5,1,0),
IF(OR(E15&amp;F15&amp;G15=E$5&amp;F$5&amp;G$5,E15&amp;F15&amp;G15=E$5&amp;G$5&amp;F$5,E15&amp;F15&amp;G15=F$5&amp;E$5&amp;G$5,E15&amp;F15&amp;G15=F$5&amp;G$5&amp;E$5,E15&amp;F15&amp;G15=G$5&amp;E$5&amp;F$5,E15&amp;F15&amp;G15=G$5&amp;F$5&amp;E$5),2,0),IF(AND(E15=E$5,F$6&gt;=$D$129),1,0),IF(AND(F15=E$5,F$6&gt;=$D$129),1,0),IF(AND(G15=E$5,F$6&gt;=$D$129),1,0),IF(E15&amp;H15=H$5,4,0),IF(AND(E15=E$5,F$6&lt;=$D$104),-0.5,0),IF(AND(F15=E$5,F$6&lt;=$D$104),-0.5,0),IF(AND(G15=E$5,F$6&lt;=$D$104),-0.5,0))</f>
        <v/>
      </c>
      <c r="J15" s="145" t="n">
        <v>8</v>
      </c>
      <c r="K15" s="147" t="n">
        <v>1</v>
      </c>
      <c r="L15" s="147" t="n">
        <v>4</v>
      </c>
      <c r="M15" s="147" t="inlineStr">
        <is>
          <t>F</t>
        </is>
      </c>
      <c r="N15" s="602">
        <f>SUM(IF(J15=J$5,4,0),IF(J15&amp;K15=J$5&amp;K$5,1,0),
IF(AND(J15=J$5,K$6&gt;=$D$115),1,0),
IF(AND(K15=J$5,K$6&gt;=$D$115),1,0),
IF(AND(L15=J$5,K$6&gt;=$D$115),1,0),
IF(J15&amp;M15=N$5,1,0),
IF(K15=J$5,2,0),
IF(L15=J$5,1,0),
IF(OR(J15&amp;K15&amp;L15=J$5&amp;K$5&amp;L$5,J15&amp;K15&amp;L15=J$5&amp;L$5&amp;K$5,J15&amp;K15&amp;L15=K$5&amp;J$5&amp;L$5,J15&amp;K15&amp;L15=K$5&amp;L$5&amp;J$5,J15&amp;K15&amp;L15=L$5&amp;J$5&amp;K$5,J15&amp;K15&amp;L15=L$5&amp;K$5&amp;J$5),2,0),IF(AND(J15=J$5,K$6&gt;=$D$129),1,0),IF(AND(K15=J$5,K$6&gt;=$D$129),1,0),IF(AND(L15=J$5,K$6&gt;=$D$129),1,0),IF(J15&amp;M15=M$5,4,0),IF(AND(J15=J$5,K$6&lt;=$D$104),-0.5,0),IF(AND(K15=J$5,K$6&lt;=$D$104),-0.5,0),IF(AND(L15=J$5,K$6&lt;=$D$104),-0.5,0))</f>
        <v/>
      </c>
      <c r="O15" s="145" t="n">
        <v>6</v>
      </c>
      <c r="P15" s="147" t="n">
        <v>7</v>
      </c>
      <c r="Q15" s="147" t="n">
        <v>3</v>
      </c>
      <c r="R15" s="147" t="n"/>
      <c r="S15" s="602">
        <f>SUM(IF(O15=O$5,4,0),IF(O15&amp;P15=O$5&amp;P$5,1,0),
IF(AND(O15=O$5,P$6&gt;=$D$115),1,0),
IF(AND(P15=O$5,P$6&gt;=$D$115),1,0),
IF(AND(Q15=O$5,P$6&gt;=$D$115),1,0),
IF(O15&amp;R15=S$5,1,0),
IF(P15=O$5,2,0),
IF(Q15=O$5,1,0),
IF(OR(O15&amp;P15&amp;Q15=O$5&amp;P$5&amp;Q$5,O15&amp;P15&amp;Q15=O$5&amp;Q$5&amp;P$5,O15&amp;P15&amp;Q15=P$5&amp;O$5&amp;Q$5,O15&amp;P15&amp;Q15=P$5&amp;Q$5&amp;O$5,O15&amp;P15&amp;Q15=Q$5&amp;O$5&amp;P$5,O15&amp;P15&amp;Q15=Q$5&amp;P$5&amp;O$5),2,0),IF(AND(O15=O$5,P$6&gt;=$D$129),1,0),IF(AND(P15=O$5,P$6&gt;=$D$129),1,0),IF(AND(Q15=O$5,P$6&gt;=$D$129),1,0),IF(O15&amp;R15=R$5,4,0),IF(AND(O15=O$5,P$6&lt;=$D$104),-0.5,0),IF(AND(P15=O$5,P$6&lt;=$D$104),-0.5,0),IF(AND(Q15=O$5,P$6&lt;=$D$104),-0.5,0))</f>
        <v/>
      </c>
      <c r="T15" s="145" t="n">
        <v>4</v>
      </c>
      <c r="U15" s="147" t="n">
        <v>1</v>
      </c>
      <c r="V15" s="147" t="n">
        <v>5</v>
      </c>
      <c r="W15" s="147" t="n"/>
      <c r="X15" s="602">
        <f>SUM(IF(T15=T$5,4,0),IF(T15&amp;U15=T$5&amp;U$5,1,0),
IF(AND(T15=T$5,U$6&gt;=$D$115),1,0),
IF(AND(U15=T$5,U$6&gt;=$D$115),1,0),
IF(AND(V15=T$5,U$6&gt;=$D$115),1,0),
IF(T15&amp;W15=X$5,1,0),
IF(U15=T$5,2,0),
IF(V15=T$5,1,0),
IF(OR(T15&amp;U15&amp;V15=T$5&amp;U$5&amp;V$5,T15&amp;U15&amp;V15=T$5&amp;V$5&amp;U$5,T15&amp;U15&amp;V15=U$5&amp;T$5&amp;V$5,T15&amp;U15&amp;V15=U$5&amp;V$5&amp;T$5,T15&amp;U15&amp;V15=V$5&amp;T$5&amp;U$5,T15&amp;U15&amp;V15=V$5&amp;U$5&amp;T$5),2,0),IF(AND(T15=T$5,U$6&gt;=$D$129),1,0),IF(AND(U15=T$5,U$6&gt;=$D$129),1,0),IF(AND(V15=T$5,U$6&gt;=$D$129),1,0),IF(T15&amp;W15=W$5,4,0),IF(AND(T15=T$5,U$6&lt;=$D$104),-0.5,0),IF(AND(U15=T$5,U$6&lt;=$D$104),-0.5,0),IF(AND(V15=T$5,U$6&lt;=$D$104),-0.5,0))</f>
        <v/>
      </c>
      <c r="Y15" s="145" t="n">
        <v>5</v>
      </c>
      <c r="Z15" s="147" t="n"/>
      <c r="AA15" s="147" t="n"/>
      <c r="AB15" s="147" t="inlineStr">
        <is>
          <t>SF</t>
        </is>
      </c>
      <c r="AC15" s="602">
        <f>SUM(IF(Y15=Y$5,4,0),IF(Y15&amp;Z15=Y$5&amp;Z$5,1,0),
IF(AND(Y15=Y$5,Z$6&gt;=$D$115),1,0),
IF(AND(Z15=Y$5,Z$6&gt;=$D$115),1,0),
IF(AND(AA15=Y$5,Z$6&gt;=$D$115),1,0),
IF(Y15&amp;AB15=AC$5,1,0),
IF(Z15=Y$5,2,0),
IF(AA15=Y$5,1,0),
IF(OR(Y15&amp;Z15&amp;AA15=Y$5&amp;Z$5&amp;AA$5,Y15&amp;Z15&amp;AA15=Y$5&amp;AA$5&amp;Z$5,Y15&amp;Z15&amp;AA15=Z$5&amp;Y$5&amp;AA$5,Y15&amp;Z15&amp;AA15=Z$5&amp;AA$5&amp;Y$5,Y15&amp;Z15&amp;AA15=AA$5&amp;Y$5&amp;Z$5,Y15&amp;Z15&amp;AA15=AA$5&amp;Z$5&amp;Y$5),2,0),IF(AND(Y15=Y$5,Z$6&gt;=$D$129),1,0),IF(AND(Z15=Y$5,Z$6&gt;=$D$129),1,0),IF(AND(AA15=Y$5,Z$6&gt;=$D$129),1,0),IF(Y15&amp;AB15=AB$5,4,0),IF(AND(Y15=Y$5,Z$6&lt;=$D$104),-0.5,0),IF(AND(Z15=Y$5,Z$6&lt;=$D$104),-0.5,0),IF(AND(AA15=Y$5,Z$6&lt;=$D$104),-0.5,0))</f>
        <v/>
      </c>
      <c r="AD15" s="145" t="n">
        <v>2</v>
      </c>
      <c r="AE15" s="147" t="n">
        <v>6</v>
      </c>
      <c r="AF15" s="147" t="n">
        <v>5</v>
      </c>
      <c r="AG15" s="147" t="n"/>
      <c r="AH15" s="602">
        <f>SUM(IF(AD15=AD$5,4,0),IF(AD15&amp;AE15=AD$5&amp;AE$5,1,0),
IF(AND(AD15=AD$5,AE$6&gt;=$D$115),1,0),
IF(AND(AE15=AD$5,AE$6&gt;=$D$115),1,0),
IF(AND(AF15=AD$5,AE$6&gt;=$D$115),1,0),
IF(AD15&amp;AG15=AH$5,1,0),
IF(AE15=AD$5,2,0),
IF(AF15=AD$5,1,0),
IF(OR(AD15&amp;AE15&amp;AF15=AD$5&amp;AE$5&amp;AF$5,AD15&amp;AE15&amp;AF15=AD$5&amp;AF$5&amp;AE$5,AD15&amp;AE15&amp;AF15=AE$5&amp;AD$5&amp;AF$5,AD15&amp;AE15&amp;AF15=AE$5&amp;AF$5&amp;AD$5,AD15&amp;AE15&amp;AF15=AF$5&amp;AD$5&amp;AE$5,AD15&amp;AE15&amp;AF15=AF$5&amp;AE$5&amp;AD$5),2,0),IF(AND(AD15=AD$5,AE$6&gt;=$D$129),1,0),IF(AND(AE15=AD$5,AE$6&gt;=$D$129),1,0),IF(AND(AF15=AD$5,AE$6&gt;=$D$129),1,0),IF(AD15&amp;AG15=AG$5,4,0),IF(AND(AD15=AD$5,AE$6&lt;=$D$104),-0.5,0),IF(AND(AE15=AD$5,AE$6&lt;=$D$104),-0.5,0),IF(AND(AF15=AD$5,AE$6&lt;=$D$104),-0.5,0))</f>
        <v/>
      </c>
      <c r="AI15" s="145" t="n">
        <v>4</v>
      </c>
      <c r="AJ15" s="147" t="n">
        <v>2</v>
      </c>
      <c r="AK15" s="147" t="n">
        <v>3</v>
      </c>
      <c r="AL15" s="147" t="n"/>
      <c r="AM15" s="602">
        <f>SUM(IF(AI15=AI$5,4,0),IF(AI15&amp;AJ15=AI$5&amp;AJ$5,1,0),
IF(AND(AI15=AI$5,AJ$6&gt;=$D$115),1,0),
IF(AND(AJ15=AI$5,AJ$6&gt;=$D$115),1,0),
IF(AND(AK15=AI$5,AJ$6&gt;=$D$115),1,0),
IF(AI15&amp;AL15=AM$5,1,0),
IF(AJ15=AI$5,2,0),
IF(AK15=AI$5,1,0),
IF(OR(AI15&amp;AJ15&amp;AK15=AI$5&amp;AJ$5&amp;AK$5,AI15&amp;AJ15&amp;AK15=AI$5&amp;AK$5&amp;AJ$5,AI15&amp;AJ15&amp;AK15=AJ$5&amp;AI$5&amp;AK$5,AI15&amp;AJ15&amp;AK15=AJ$5&amp;AK$5&amp;AI$5,AI15&amp;AJ15&amp;AK15=AK$5&amp;AI$5&amp;AJ$5,AI15&amp;AJ15&amp;AK15=AK$5&amp;AJ$5&amp;AI$5),2,0),IF(AND(AI15=AI$5,AJ$6&gt;=$D$129),1,0),IF(AND(AJ15=AI$5,AJ$6&gt;=$D$129),1,0),IF(AND(AK15=AI$5,AJ$6&gt;=$D$129),1,0),IF(AI15&amp;AL15=AL$5,4,0),IF(AND(AI15=AI$5,AJ$6&lt;=$D$104),-0.5,0),IF(AND(AJ15=AI$5,AJ$6&lt;=$D$104),-0.5,0),IF(AND(AK15=AI$5,AJ$6&lt;=$D$104),-0.5,0))</f>
        <v/>
      </c>
      <c r="AN15" s="145" t="n">
        <v>6</v>
      </c>
      <c r="AO15" s="147" t="n">
        <v>3</v>
      </c>
      <c r="AP15" s="147" t="n">
        <v>4</v>
      </c>
      <c r="AQ15" s="147" t="n"/>
      <c r="AR15" s="602">
        <f>SUM(IF(AN15=AN$5,4,0),IF(AN15&amp;AO15=AN$5&amp;AO$5,1,0),
IF(AND(AN15=AN$5,AO$6&gt;=$D$115),1,0),
IF(AND(AO15=AN$5,AO$6&gt;=$D$115),1,0),
IF(AND(AP15=AN$5,AO$6&gt;=$D$115),1,0),
IF(AN15&amp;AQ15=AR$5,1,0),
IF(AO15=AN$5,2,0),
IF(AP15=AN$5,1,0),
IF(OR(AN15&amp;AO15&amp;AP15=AN$5&amp;AO$5&amp;AP$5,AN15&amp;AO15&amp;AP15=AN$5&amp;AP$5&amp;AO$5,AN15&amp;AO15&amp;AP15=AO$5&amp;AN$5&amp;AP$5,AN15&amp;AO15&amp;AP15=AO$5&amp;AP$5&amp;AN$5,AN15&amp;AO15&amp;AP15=AP$5&amp;AN$5&amp;AO$5,AN15&amp;AO15&amp;AP15=AP$5&amp;AO$5&amp;AN$5),2,0),IF(AND(AN15=AN$5,AO$6&gt;=$D$129),1,0),IF(AND(AO15=AN$5,AO$6&gt;=$D$129),1,0),IF(AND(AP15=AN$5,AO$6&gt;=$D$129),1,0),IF(AN15&amp;AQ15=AQ$5,4,0),IF(AND(AN15=AN$5,AO$6&lt;=$D$104),-0.5,0),IF(AND(AO15=AN$5,AO$6&lt;=$D$104),-0.5,0),IF(AND(AP15=AN$5,AO$6&lt;=$D$104),-0.5,0))</f>
        <v/>
      </c>
      <c r="AS15" s="145" t="n">
        <v>7</v>
      </c>
      <c r="AT15" s="147" t="n">
        <v>2</v>
      </c>
      <c r="AU15" s="147" t="n">
        <v>4</v>
      </c>
      <c r="AV15" s="147" t="n"/>
      <c r="AW15" s="602">
        <f>SUM(IF(AS15=AS$5,4,0),IF(AS15&amp;AT15=AS$5&amp;AT$5,1,0),
IF(AND(AS15=AS$5,AT$6&gt;=$D$115),1,0),
IF(AND(AT15=AS$5,AT$6&gt;=$D$115),1,0),
IF(AND(AU15=AS$5,AT$6&gt;=$D$115),1,0),
IF(AS15&amp;AV15=AW$5,1,0),
IF(AT15=AS$5,2,0),
IF(AU15=AS$5,1,0),
IF(OR(AS15&amp;AT15&amp;AU15=AS$5&amp;AT$5&amp;AU$5,AS15&amp;AT15&amp;AU15=AS$5&amp;AU$5&amp;AT$5,AS15&amp;AT15&amp;AU15=AT$5&amp;AS$5&amp;AU$5,AS15&amp;AT15&amp;AU15=AT$5&amp;AU$5&amp;AS$5,AS15&amp;AT15&amp;AU15=AU$5&amp;AS$5&amp;AT$5,AS15&amp;AT15&amp;AU15=AU$5&amp;AT$5&amp;AS$5),2,0),IF(AND(AS15=AS$5,AT$6&gt;=$D$129),1,0),IF(AND(AT15=AS$5,AT$6&gt;=$D$129),1,0),IF(AND(AU15=AS$5,AT$6&gt;=$D$129),1,0),IF(AS15&amp;AV15=AV$5,4,0),IF(AND(AS15=AS$5,AT$6&lt;=$D$104),-0.5,0),IF(AND(AT15=AS$5,AT$6&lt;=$D$104),-0.5,0),IF(AND(AU15=AS$5,AT$6&lt;=$D$104),-0.5,0))</f>
        <v/>
      </c>
      <c r="AX15" s="145" t="n">
        <v>3</v>
      </c>
      <c r="AY15" s="147" t="n">
        <v>8</v>
      </c>
      <c r="AZ15" s="147" t="n">
        <v>2</v>
      </c>
      <c r="BA15" s="147" t="n"/>
      <c r="BB15" s="602">
        <f>SUM(IF(AX15=AX$5,4,0),IF(AX15&amp;AY15=AX$5&amp;AY$5,1,0),
IF(AND(AX15=AX$5,AY$6&gt;=$D$115),1,0),
IF(AND(AY15=AX$5,AY$6&gt;=$D$115),1,0),
IF(AND(AZ15=AX$5,AY$6&gt;=$D$115),1,0),
IF(AX15&amp;BA15=BB$5,1,0),
IF(AY15=AX$5,2,0),
IF(AZ15=AX$5,1,0),
IF(OR(AX15&amp;AY15&amp;AZ15=AX$5&amp;AY$5&amp;AZ$5,AX15&amp;AY15&amp;AZ15=AX$5&amp;AZ$5&amp;AY$5,AX15&amp;AY15&amp;AZ15=AY$5&amp;AX$5&amp;AZ$5,AX15&amp;AY15&amp;AZ15=AY$5&amp;AZ$5&amp;AX$5,AX15&amp;AY15&amp;AZ15=AZ$5&amp;AX$5&amp;AY$5,AX15&amp;AY15&amp;AZ15=AZ$5&amp;AY$5&amp;AX$5),2,0),IF(AND(AX15=AX$5,AY$6&gt;=$D$129),1,0),IF(AND(AY15=AX$5,AY$6&gt;=$D$129),1,0),IF(AND(AZ15=AX$5,AY$6&gt;=$D$129),1,0),IF(AX15&amp;BA15=BA$5,4,0),IF(AND(AX15=AX$5,AY$6&lt;=$D$104),-0.5,0),IF(AND(AY15=AX$5,AY$6&lt;=$D$104),-0.5,0),IF(AND(AZ15=AX$5,AY$6&lt;=$D$104),-0.5,0))</f>
        <v/>
      </c>
      <c r="BC15" s="145" t="n">
        <v>4</v>
      </c>
      <c r="BD15" s="147" t="n">
        <v>7</v>
      </c>
      <c r="BE15" s="147" t="n">
        <v>5</v>
      </c>
      <c r="BF15" s="147" t="inlineStr">
        <is>
          <t>F</t>
        </is>
      </c>
      <c r="BG15" s="602">
        <f>SUM(IF(BC15=BC$5,4,0),IF(BC15&amp;BD15=BC$5&amp;BD$5,1,0),
IF(AND(BC15=BC$5,BD$6&gt;=$D$115),1,0),
IF(AND(BD15=BC$5,BD$6&gt;=$D$115),1,0),
IF(AND(BE15=BC$5,BD$6&gt;=$D$115),1,0),
IF(BC15&amp;BF15=BG$5,1,0),
IF(BD15=BC$5,2,0),
IF(BE15=BC$5,1,0),
IF(OR(BC15&amp;BD15&amp;BE15=BC$5&amp;BD$5&amp;BE$5,BC15&amp;BD15&amp;BE15=BC$5&amp;BE$5&amp;BD$5,BC15&amp;BD15&amp;BE15=BD$5&amp;BC$5&amp;BE$5,BC15&amp;BD15&amp;BE15=BD$5&amp;BE$5&amp;BC$5,BC15&amp;BD15&amp;BE15=BE$5&amp;BC$5&amp;BD$5,BC15&amp;BD15&amp;BE15=BE$5&amp;BD$5&amp;BC$5),2,0),IF(AND(BC15=BC$5,BD$6&gt;=$D$129),1,0),IF(AND(BD15=BC$5,BD$6&gt;=$D$129),1,0),IF(AND(BE15=BC$5,BD$6&gt;=$D$129),1,0),IF(BC15&amp;BF15=BF$5,4,0),IF(AND(BC15=BC$5,BD$6&lt;=$D$104),-0.5,0),IF(AND(BD15=BC$5,BD$6&lt;=$D$104),-0.5,0),IF(AND(BE15=BC$5,BD$6&lt;=$D$104),-0.5,0))</f>
        <v/>
      </c>
      <c r="BH15" s="145" t="n">
        <v>5</v>
      </c>
      <c r="BI15" s="147" t="n">
        <v>1</v>
      </c>
      <c r="BJ15" s="147" t="n">
        <v>6</v>
      </c>
      <c r="BK15" s="147" t="n"/>
      <c r="BL15" s="602">
        <f>SUM(IF(BH15=BH$5,4,0),IF(BH15&amp;BI15=BH$5&amp;BI$5,1,0),
IF(AND(BH15=BH$5,BI$6&gt;=$D$115),1,0),
IF(AND(BI15=BH$5,BI$6&gt;=$D$115),1,0),
IF(AND(BJ15=BH$5,BI$6&gt;=$D$115),1,0),
IF(BH15&amp;BK15=BL$5,1,0),
IF(BI15=BH$5,2,0),
IF(BJ15=BH$5,1,0),
IF(OR(BH15&amp;BI15&amp;BJ15=BH$5&amp;BI$5&amp;BJ$5,BH15&amp;BI15&amp;BJ15=BH$5&amp;BJ$5&amp;BI$5,BH15&amp;BI15&amp;BJ15=BI$5&amp;BH$5&amp;BJ$5,BH15&amp;BI15&amp;BJ15=BI$5&amp;BJ$5&amp;BH$5,BH15&amp;BI15&amp;BJ15=BJ$5&amp;BH$5&amp;BI$5,BH15&amp;BI15&amp;BJ15=BJ$5&amp;BI$5&amp;BH$5),2,0),IF(AND(BH15=BH$5,BI$6&gt;=$D$129),1,0),IF(AND(BI15=BH$5,BI$6&gt;=$D$129),1,0),IF(AND(BJ15=BH$5,BI$6&gt;=$D$129),1,0),IF(BH15&amp;BK15=BK$5,4,0),IF(AND(BH15=BH$5,BI$6&lt;=$D$104),-0.5,0),IF(AND(BI15=BH$5,BI$6&lt;=$D$104),-0.5,0),IF(AND(BJ15=BH$5,BI$6&lt;=$D$104),-0.5,0))</f>
        <v/>
      </c>
      <c r="BM15" s="145" t="n">
        <v>13</v>
      </c>
      <c r="BN15" s="147" t="n">
        <v>3</v>
      </c>
      <c r="BO15" s="147" t="n">
        <v>12</v>
      </c>
      <c r="BP15" s="147" t="n"/>
      <c r="BQ15" s="602">
        <f>SUM(IF(BM15=BM$5,4,0),IF(BM15&amp;BN15=BM$5&amp;BN$5,1,0),
IF(AND(BM15=BM$5,BN$6&gt;=$D$115),1,0),
IF(AND(BN15=BM$5,BN$6&gt;=$D$115),1,0),
IF(AND(BO15=BM$5,BN$6&gt;=$D$115),1,0),
IF(BM15&amp;BP15=BQ$5,1,0),
IF(BN15=BM$5,2,0),
IF(BO15=BM$5,1,0),
IF(OR(BM15&amp;BN15&amp;BO15=BM$5&amp;BN$5&amp;BO$5,BM15&amp;BN15&amp;BO15=BM$5&amp;BO$5&amp;BN$5,BM15&amp;BN15&amp;BO15=BN$5&amp;BM$5&amp;BO$5,BM15&amp;BN15&amp;BO15=BN$5&amp;BO$5&amp;BM$5,BM15&amp;BN15&amp;BO15=BO$5&amp;BM$5&amp;BN$5,BM15&amp;BN15&amp;BO15=BO$5&amp;BN$5&amp;BM$5),2,0),IF(AND(BM15=BM$5,BN$6&gt;=$D$129),1,0),IF(AND(BN15=BM$5,BN$6&gt;=$D$129),1,0),IF(AND(BO15=BM$5,BN$6&gt;=$D$129),1,0),IF(BM15&amp;BP15=BP$5,4,0),IF(AND(BM15=BM$5,BN$6&lt;=$D$104),-0.5,0),IF(AND(BN15=BM$5,BN$6&lt;=$D$104),-0.5,0),IF(AND(BO15=BM$5,BN$6&lt;=$D$104),-0.5,0))</f>
        <v/>
      </c>
      <c r="BR15" s="145" t="n"/>
      <c r="BS15" s="147" t="n"/>
      <c r="BT15" s="147" t="n"/>
      <c r="BU15" s="147" t="n"/>
      <c r="BV15" s="602">
        <f>SUM(IF(BR15=BR$5,4,0),IF(BR15&amp;BS15=BR$5&amp;BS$5,1,0),
IF(AND(BR15=BR$5,BS$6&gt;=$D$115),1,0),
IF(AND(BS15=BR$5,BS$6&gt;=$D$115),1,0),
IF(AND(BT15=BR$5,BS$6&gt;=$D$115),1,0),
IF(BR15&amp;BU15=BV$5,1,0),
IF(BS15=BR$5,2,0),
IF(BT15=BR$5,1,0),
IF(OR(BR15&amp;BS15&amp;BT15=BR$5&amp;BS$5&amp;BT$5,BR15&amp;BS15&amp;BT15=BR$5&amp;BT$5&amp;BS$5,BR15&amp;BS15&amp;BT15=BS$5&amp;BR$5&amp;BT$5,BR15&amp;BS15&amp;BT15=BS$5&amp;BT$5&amp;BR$5,BR15&amp;BS15&amp;BT15=BT$5&amp;BR$5&amp;BS$5,BR15&amp;BS15&amp;BT15=BT$5&amp;BS$5&amp;BR$5),2,0),IF(AND(BR15=BR$5,BS$6&gt;=$D$129),1,0),IF(AND(BS15=BR$5,BS$6&gt;=$D$129),1,0),IF(AND(BT15=BR$5,BS$6&gt;=$D$129),1,0),IF(BR15&amp;BU15=BU$5,4,0),IF(AND(BR15=BR$5,BS$6&lt;=$D$104),-0.5,0),IF(AND(BS15=BR$5,BS$6&lt;=$D$104),-0.5,0),IF(AND(BT15=BR$5,BS$6&lt;=$D$104),-0.5,0))</f>
        <v/>
      </c>
      <c r="BW15" s="145" t="n"/>
      <c r="BX15" s="147" t="n"/>
      <c r="BY15" s="147" t="n"/>
      <c r="BZ15" s="147" t="n"/>
      <c r="CA15" s="602">
        <f>SUM(IF(BW15=BW$5,4,0),IF(BW15&amp;BX15=BW$5&amp;BX$5,1,0),
IF(AND(BW15=BW$5,BX$6&gt;=$D$115),1,0),
IF(AND(BX15=BW$5,BX$6&gt;=$D$115),1,0),
IF(AND(BY15=BW$5,BX$6&gt;=$D$115),1,0),
IF(BW15&amp;BZ15=CA$5,1,0),
IF(BX15=BW$5,2,0),
IF(BY15=BW$5,1,0),
IF(OR(BW15&amp;BX15&amp;BY15=BW$5&amp;BX$5&amp;BY$5,BW15&amp;BX15&amp;BY15=BW$5&amp;BY$5&amp;BX$5,BW15&amp;BX15&amp;BY15=BX$5&amp;BW$5&amp;BY$5,BW15&amp;BX15&amp;BY15=BX$5&amp;BY$5&amp;BW$5,BW15&amp;BX15&amp;BY15=BY$5&amp;BW$5&amp;BX$5,BW15&amp;BX15&amp;BY15=BY$5&amp;BX$5&amp;BW$5),2,0),IF(AND(BW15=BW$5,BX$6&gt;=$D$129),1,0),IF(AND(BX15=BW$5,BX$6&gt;=$D$129),1,0),IF(AND(BY15=BW$5,BX$6&gt;=$D$129),1,0),IF(BW15&amp;BZ15=BZ$5,4,0),IF(AND(BW15=BW$5,BX$6&lt;=$D$104),-0.5,0),IF(AND(BX15=BW$5,BX$6&lt;=$D$104),-0.5,0),IF(AND(BY15=BW$5,BX$6&lt;=$D$104),-0.5,0))</f>
        <v/>
      </c>
      <c r="CB15" s="145" t="n"/>
      <c r="CC15" s="147" t="n"/>
      <c r="CD15" s="147" t="n"/>
      <c r="CE15" s="147" t="n"/>
      <c r="CF15" s="602">
        <f>SUM(IF(CB15=CB$5,4,0),IF(CB15&amp;CC15=CB$5&amp;CC$5,1,0),
IF(AND(CB15=CB$5,CC$6&gt;=$D$115),1,0),
IF(AND(CC15=CB$5,CC$6&gt;=$D$115),1,0),
IF(AND(CD15=CB$5,CC$6&gt;=$D$115),1,0),
IF(CB15&amp;CE15=CF$5,1,0),
IF(CC15=CB$5,2,0),
IF(CD15=CB$5,1,0),
IF(OR(CB15&amp;CC15&amp;CD15=CB$5&amp;CC$5&amp;CD$5,CB15&amp;CC15&amp;CD15=CB$5&amp;CD$5&amp;CC$5,CB15&amp;CC15&amp;CD15=CC$5&amp;CB$5&amp;CD$5,CB15&amp;CC15&amp;CD15=CC$5&amp;CD$5&amp;CB$5,CB15&amp;CC15&amp;CD15=CD$5&amp;CB$5&amp;CC$5,CB15&amp;CC15&amp;CD15=CD$5&amp;CC$5&amp;CB$5),2,0),IF(AND(CB15=CB$5,CC$6&gt;=$D$129),1,0),IF(AND(CC15=CB$5,CC$6&gt;=$D$129),1,0),IF(AND(CD15=CB$5,CC$6&gt;=$D$129),1,0),IF(CB15&amp;CE15=CE$5,4,0),IF(AND(CB15=CB$5,CC$6&lt;=$D$104),-0.5,0),IF(AND(CC15=CB$5,CC$6&lt;=$D$104),-0.5,0),IF(AND(CD15=CB$5,CC$6&lt;=$D$104),-0.5,0))</f>
        <v/>
      </c>
      <c r="CG15" s="164">
        <f>IF(BASE01[[#This Row],[1]]="",0,$B$4)</f>
        <v/>
      </c>
      <c r="CH15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5" s="166">
        <f>IF(BASE01[[#This Row],[Columna14]]=0,0,(CH15/CG15))</f>
        <v/>
      </c>
      <c r="CJ15" s="165">
        <f>IF(BASE01[[#This Row],[1]]="",0,$B$4)</f>
        <v/>
      </c>
      <c r="CK15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5" s="166">
        <f>IF(BASE01[[#This Row],[Columna14]]=0,0,(CK15/CJ15))</f>
        <v/>
      </c>
      <c r="CM15" s="164">
        <f>IF(BASE01[[#This Row],[1]]="",0,$B$4)</f>
        <v/>
      </c>
      <c r="CN15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5" s="166">
        <f>IF(BASE01[[#This Row],[Columna14]]=0,0,(CN15/CM15))</f>
        <v/>
      </c>
      <c r="CP15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5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Row],[Columna25]],$AX$5,BA15,"SF")+COUNTIFS(BASE01[[#This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5" s="166">
        <f>IF(BASE01[[#This Row],[Columna14]]=0,0,(CQ15/CP15))</f>
        <v/>
      </c>
      <c r="CS15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5" s="95" t="n"/>
      <c r="CU15" s="604">
        <f>SUM(CS15,CT15)</f>
        <v/>
      </c>
      <c r="CV15" s="96">
        <f>IF(BASE01[[#This Row],[TIPO]]="PREMIO",$O$3,"0,00")</f>
        <v/>
      </c>
      <c r="CW15" s="576" t="n"/>
      <c r="CY15" s="393" t="n">
        <v>8</v>
      </c>
      <c r="CZ15" s="354">
        <f>AO$6</f>
        <v/>
      </c>
      <c r="DB15" s="605">
        <f>BASE01[[#This Row],[COD]]</f>
        <v/>
      </c>
      <c r="DC15" s="395">
        <f t="array" ref="DC15">IFERROR(IF(AND(INDEX($E$8:$CE$57, MATCH($C15, $C$8:$C$57, 0), (COLUMNS($DC15:DC15)-1)*5 + 1) = INDEX($E$5:$CE$5, 1, (COLUMNS($DC15:DC15)-1)*5 + 1), INDEX($E$8:$CE$57, MATCH($C15, $C$8:$C$57, 0), (COLUMNS($DC15:DC15)-1)*5 + 4) = "F"), INDEX($CZ$8:$CZ$23, COLUMNS($DC15:DC15)), "0"), "")</f>
        <v/>
      </c>
      <c r="DD15" s="395">
        <f t="array" ref="DD15">IFERROR(IF(AND(INDEX($E$8:$CE$57, MATCH($C15, $C$8:$C$57, 0), (COLUMNS($DC15:DD15)-1)*5 + 1) = INDEX($E$5:$CE$5, 1, (COLUMNS($DC15:DD15)-1)*5 + 1), INDEX($E$8:$CE$57, MATCH($C15, $C$8:$C$57, 0), (COLUMNS($DC15:DD15)-1)*5 + 4) = "F"), INDEX($CZ$8:$CZ$23, COLUMNS($DC15:DD15)), "0"), "")</f>
        <v/>
      </c>
      <c r="DE15" s="395">
        <f t="array" ref="DE15">IFERROR(IF(AND(INDEX($E$8:$CE$57, MATCH($C15, $C$8:$C$57, 0), (COLUMNS($DC15:DE15)-1)*5 + 1) = INDEX($E$5:$CE$5, 1, (COLUMNS($DC15:DE15)-1)*5 + 1), INDEX($E$8:$CE$57, MATCH($C15, $C$8:$C$57, 0), (COLUMNS($DC15:DE15)-1)*5 + 4) = "F"), INDEX($CZ$8:$CZ$23, COLUMNS($DC15:DE15)), "0"), "")</f>
        <v/>
      </c>
      <c r="DF15" s="395">
        <f t="array" ref="DF15">IFERROR(IF(AND(INDEX($E$8:$CE$57, MATCH($C15, $C$8:$C$57, 0), (COLUMNS($DC15:DF15)-1)*5 + 1) = INDEX($E$5:$CE$5, 1, (COLUMNS($DC15:DF15)-1)*5 + 1), INDEX($E$8:$CE$57, MATCH($C15, $C$8:$C$57, 0), (COLUMNS($DC15:DF15)-1)*5 + 4) = "F"), INDEX($CZ$8:$CZ$23, COLUMNS($DC15:DF15)), "0"), "")</f>
        <v/>
      </c>
      <c r="DG15" s="395">
        <f t="array" ref="DG15">IFERROR(IF(AND(INDEX($E$8:$CE$57, MATCH($C15, $C$8:$C$57, 0), (COLUMNS($DC15:DG15)-1)*5 + 1) = INDEX($E$5:$CE$5, 1, (COLUMNS($DC15:DG15)-1)*5 + 1), INDEX($E$8:$CE$57, MATCH($C15, $C$8:$C$57, 0), (COLUMNS($DC15:DG15)-1)*5 + 4) = "F"), INDEX($CZ$8:$CZ$23, COLUMNS($DC15:DG15)), "0"), "")</f>
        <v/>
      </c>
      <c r="DH15" s="395">
        <f t="array" ref="DH15">IFERROR(IF(AND(INDEX($E$8:$CE$57, MATCH($C15, $C$8:$C$57, 0), (COLUMNS($DC15:DH15)-1)*5 + 1) = INDEX($E$5:$CE$5, 1, (COLUMNS($DC15:DH15)-1)*5 + 1), INDEX($E$8:$CE$57, MATCH($C15, $C$8:$C$57, 0), (COLUMNS($DC15:DH15)-1)*5 + 4) = "F"), INDEX($CZ$8:$CZ$23, COLUMNS($DC15:DH15)), "0"), "")</f>
        <v/>
      </c>
      <c r="DI15" s="395">
        <f t="array" ref="DI15">IFERROR(IF(AND(INDEX($E$8:$CE$57, MATCH($C15, $C$8:$C$57, 0), (COLUMNS($DC15:DI15)-1)*5 + 1) = INDEX($E$5:$CE$5, 1, (COLUMNS($DC15:DI15)-1)*5 + 1), INDEX($E$8:$CE$57, MATCH($C15, $C$8:$C$57, 0), (COLUMNS($DC15:DI15)-1)*5 + 4) = "F"), INDEX($CZ$8:$CZ$23, COLUMNS($DC15:DI15)), "0"), "")</f>
        <v/>
      </c>
      <c r="DJ15" s="395">
        <f t="array" ref="DJ15">IFERROR(IF(AND(INDEX($E$8:$CE$57, MATCH($C15, $C$8:$C$57, 0), (COLUMNS($DC15:DJ15)-1)*5 + 1) = INDEX($E$5:$CE$5, 1, (COLUMNS($DC15:DJ15)-1)*5 + 1), INDEX($E$8:$CE$57, MATCH($C15, $C$8:$C$57, 0), (COLUMNS($DC15:DJ15)-1)*5 + 4) = "F"), INDEX($CZ$8:$CZ$23, COLUMNS($DC15:DJ15)), "0"), "")</f>
        <v/>
      </c>
      <c r="DK15" s="395">
        <f t="array" ref="DK15">IFERROR(IF(AND(INDEX($E$8:$CE$57, MATCH($C15, $C$8:$C$57, 0), (COLUMNS($DC15:DK15)-1)*5 + 1) = INDEX($E$5:$CE$5, 1, (COLUMNS($DC15:DK15)-1)*5 + 1), INDEX($E$8:$CE$57, MATCH($C15, $C$8:$C$57, 0), (COLUMNS($DC15:DK15)-1)*5 + 4) = "F"), INDEX($CZ$8:$CZ$23, COLUMNS($DC15:DK15)), "0"), "")</f>
        <v/>
      </c>
      <c r="DL15" s="395">
        <f t="array" ref="DL15">IFERROR(IF(AND(INDEX($E$8:$CE$57, MATCH($C15, $C$8:$C$57, 0), (COLUMNS($DC15:DL15)-1)*5 + 1) = INDEX($E$5:$CE$5, 1, (COLUMNS($DC15:DL15)-1)*5 + 1), INDEX($E$8:$CE$57, MATCH($C15, $C$8:$C$57, 0), (COLUMNS($DC15:DL15)-1)*5 + 4) = "F"), INDEX($CZ$8:$CZ$23, COLUMNS($DC15:DL15)), "0"), "")</f>
        <v/>
      </c>
      <c r="DM15" s="395">
        <f t="array" ref="DM15">IFERROR(IF(AND(INDEX($E$8:$CE$57, MATCH($C15, $C$8:$C$57, 0), (COLUMNS($DC15:DM15)-1)*5 + 1) = INDEX($E$5:$CE$5, 1, (COLUMNS($DC15:DM15)-1)*5 + 1), INDEX($E$8:$CE$57, MATCH($C15, $C$8:$C$57, 0), (COLUMNS($DC15:DM15)-1)*5 + 4) = "F"), INDEX($CZ$8:$CZ$23, COLUMNS($DC15:DM15)), "0"), "")</f>
        <v/>
      </c>
      <c r="DN15" s="395">
        <f t="array" ref="DN15">IFERROR(IF(AND(INDEX($E$8:$CE$57, MATCH($C15, $C$8:$C$57, 0), (COLUMNS($DC15:DN15)-1)*5 + 1) = INDEX($E$5:$CE$5, 1, (COLUMNS($DC15:DN15)-1)*5 + 1), INDEX($E$8:$CE$57, MATCH($C15, $C$8:$C$57, 0), (COLUMNS($DC15:DN15)-1)*5 + 4) = "F"), INDEX($CZ$8:$CZ$23, COLUMNS($DC15:DN15)), "0"), "")</f>
        <v/>
      </c>
      <c r="DO15" s="395">
        <f t="array" ref="DO15">IFERROR(IF(AND(INDEX($E$8:$CE$57, MATCH($C15, $C$8:$C$57, 0), (COLUMNS($DC15:DO15)-1)*5 + 1) = INDEX($E$5:$CE$5, 1, (COLUMNS($DC15:DO15)-1)*5 + 1), INDEX($E$8:$CE$57, MATCH($C15, $C$8:$C$57, 0), (COLUMNS($DC15:DO15)-1)*5 + 4) = "F"), INDEX($CZ$8:$CZ$23, COLUMNS($DC15:DO15)), "0"), "")</f>
        <v/>
      </c>
      <c r="DP15" s="395">
        <f t="array" ref="DP15">IFERROR(IF(AND(INDEX($E$8:$CE$57, MATCH($C15, $C$8:$C$57, 0), (COLUMNS($DC15:DP15)-1)*5 + 1) = INDEX($E$5:$CE$5, 1, (COLUMNS($DC15:DP15)-1)*5 + 1), INDEX($E$8:$CE$57, MATCH($C15, $C$8:$C$57, 0), (COLUMNS($DC15:DP15)-1)*5 + 4) = "F"), INDEX($CZ$8:$CZ$23, COLUMNS($DC15:DP15)), "0"), "")</f>
        <v/>
      </c>
      <c r="DQ15" s="395">
        <f t="array" ref="DQ15">IFERROR(IF(AND(INDEX($E$8:$CE$57, MATCH($C15, $C$8:$C$57, 0), (COLUMNS($DC15:DQ15)-1)*5 + 1) = INDEX($E$5:$CE$5, 1, (COLUMNS($DC15:DQ15)-1)*5 + 1), INDEX($E$8:$CE$57, MATCH($C15, $C$8:$C$57, 0), (COLUMNS($DC15:DQ15)-1)*5 + 4) = "F"), INDEX($CZ$8:$CZ$23, COLUMNS($DC15:DQ15)), "0"), "")</f>
        <v/>
      </c>
      <c r="DR15" s="395">
        <f t="array" ref="DR15">IFERROR(IF(AND(INDEX($E$8:$CE$57, MATCH($C15, $C$8:$C$57, 0), (COLUMNS($DC15:DR15)-1)*5 + 1) = INDEX($E$5:$CE$5, 1, (COLUMNS($DC15:DR15)-1)*5 + 1), INDEX($E$8:$CE$57, MATCH($C15, $C$8:$C$57, 0), (COLUMNS($DC15:DR15)-1)*5 + 4) = "F"), INDEX($CZ$8:$CZ$23, COLUMNS($DC15:DR15)), "0"), "")</f>
        <v/>
      </c>
      <c r="DT15" s="605">
        <f>BASE01[[#This Row],[COD]]</f>
        <v/>
      </c>
      <c r="DU15" s="395">
        <f t="array" ref="DU15">IFERROR(IF(AND(INDEX($E$8:$CE$57, MATCH($C15, $C$8:$C$57, 0), (COLUMNS($DU15:DU15)-1)*5 + 1) = INDEX($E$5:$CE$5, 1, (COLUMNS($DU15:DU15)-1)*5 + 1), INDEX($E$8:$CE$57, MATCH($C15, $C$8:$C$57, 0), (COLUMNS($DU15:DU15)-1)*5 + 4) = "SF"), INDEX($CZ$8:$CZ$23, COLUMNS($DU15:DU15)), "0"), "")</f>
        <v/>
      </c>
      <c r="DV15" s="395">
        <f t="array" ref="DV15">IFERROR(IF(AND(INDEX($E$8:$CE$57, MATCH($C15, $C$8:$C$57, 0), (COLUMNS($DU15:DV15)-1)*5 + 1) = INDEX($E$5:$CE$5, 1, (COLUMNS($DU15:DV15)-1)*5 + 1), INDEX($E$8:$CE$57, MATCH($C15, $C$8:$C$57, 0), (COLUMNS($DU15:DV15)-1)*5 + 4) = "SF"), INDEX($CZ$8:$CZ$23, COLUMNS($DU15:DV15)), "0"), "")</f>
        <v/>
      </c>
      <c r="DW15" s="395">
        <f t="array" ref="DW15">IFERROR(IF(AND(INDEX($E$8:$CE$57, MATCH($C15, $C$8:$C$57, 0), (COLUMNS($DU15:DW15)-1)*5 + 1) = INDEX($E$5:$CE$5, 1, (COLUMNS($DU15:DW15)-1)*5 + 1), INDEX($E$8:$CE$57, MATCH($C15, $C$8:$C$57, 0), (COLUMNS($DU15:DW15)-1)*5 + 4) = "SF"), INDEX($CZ$8:$CZ$23, COLUMNS($DU15:DW15)), "0"), "")</f>
        <v/>
      </c>
      <c r="DX15" s="395">
        <f t="array" ref="DX15">IFERROR(IF(AND(INDEX($E$8:$CE$57, MATCH($C15, $C$8:$C$57, 0), (COLUMNS($DU15:DX15)-1)*5 + 1) = INDEX($E$5:$CE$5, 1, (COLUMNS($DU15:DX15)-1)*5 + 1), INDEX($E$8:$CE$57, MATCH($C15, $C$8:$C$57, 0), (COLUMNS($DU15:DX15)-1)*5 + 4) = "SF"), INDEX($CZ$8:$CZ$23, COLUMNS($DU15:DX15)), "0"), "")</f>
        <v/>
      </c>
      <c r="DY15" s="395">
        <f t="array" ref="DY15">IFERROR(IF(AND(INDEX($E$8:$CE$57, MATCH($C15, $C$8:$C$57, 0), (COLUMNS($DU15:DY15)-1)*5 + 1) = INDEX($E$5:$CE$5, 1, (COLUMNS($DU15:DY15)-1)*5 + 1), INDEX($E$8:$CE$57, MATCH($C15, $C$8:$C$57, 0), (COLUMNS($DU15:DY15)-1)*5 + 4) = "SF"), INDEX($CZ$8:$CZ$23, COLUMNS($DU15:DY15)), "0"), "")</f>
        <v/>
      </c>
      <c r="DZ15" s="395">
        <f t="array" ref="DZ15">IFERROR(IF(AND(INDEX($E$8:$CE$57, MATCH($C15, $C$8:$C$57, 0), (COLUMNS($DU15:DZ15)-1)*5 + 1) = INDEX($E$5:$CE$5, 1, (COLUMNS($DU15:DZ15)-1)*5 + 1), INDEX($E$8:$CE$57, MATCH($C15, $C$8:$C$57, 0), (COLUMNS($DU15:DZ15)-1)*5 + 4) = "SF"), INDEX($CZ$8:$CZ$23, COLUMNS($DU15:DZ15)), "0"), "")</f>
        <v/>
      </c>
      <c r="EA15" s="395">
        <f t="array" ref="EA15">IFERROR(IF(AND(INDEX($E$8:$CE$57, MATCH($C15, $C$8:$C$57, 0), (COLUMNS($DU15:EA15)-1)*5 + 1) = INDEX($E$5:$CE$5, 1, (COLUMNS($DU15:EA15)-1)*5 + 1), INDEX($E$8:$CE$57, MATCH($C15, $C$8:$C$57, 0), (COLUMNS($DU15:EA15)-1)*5 + 4) = "SF"), INDEX($CZ$8:$CZ$23, COLUMNS($DU15:EA15)), "0"), "")</f>
        <v/>
      </c>
      <c r="EB15" s="395">
        <f t="array" ref="EB15">IFERROR(IF(AND(INDEX($E$8:$CE$57, MATCH($C15, $C$8:$C$57, 0), (COLUMNS($DU15:EB15)-1)*5 + 1) = INDEX($E$5:$CE$5, 1, (COLUMNS($DU15:EB15)-1)*5 + 1), INDEX($E$8:$CE$57, MATCH($C15, $C$8:$C$57, 0), (COLUMNS($DU15:EB15)-1)*5 + 4) = "SF"), INDEX($CZ$8:$CZ$23, COLUMNS($DU15:EB15)), "0"), "")</f>
        <v/>
      </c>
      <c r="EC15" s="395">
        <f t="array" ref="EC15">IFERROR(IF(AND(INDEX($E$8:$CE$57, MATCH($C15, $C$8:$C$57, 0), (COLUMNS($DU15:EC15)-1)*5 + 1) = INDEX($E$5:$CE$5, 1, (COLUMNS($DU15:EC15)-1)*5 + 1), INDEX($E$8:$CE$57, MATCH($C15, $C$8:$C$57, 0), (COLUMNS($DU15:EC15)-1)*5 + 4) = "SF"), INDEX($CZ$8:$CZ$23, COLUMNS($DU15:EC15)), "0"), "")</f>
        <v/>
      </c>
      <c r="ED15" s="395">
        <f t="array" ref="ED15">IFERROR(IF(AND(INDEX($E$8:$CE$57, MATCH($C15, $C$8:$C$57, 0), (COLUMNS($DU15:ED15)-1)*5 + 1) = INDEX($E$5:$CE$5, 1, (COLUMNS($DU15:ED15)-1)*5 + 1), INDEX($E$8:$CE$57, MATCH($C15, $C$8:$C$57, 0), (COLUMNS($DU15:ED15)-1)*5 + 4) = "SF"), INDEX($CZ$8:$CZ$23, COLUMNS($DU15:ED15)), "0"), "")</f>
        <v/>
      </c>
      <c r="EE15" s="395">
        <f t="array" ref="EE15">IFERROR(IF(AND(INDEX($E$8:$CE$57, MATCH($C15, $C$8:$C$57, 0), (COLUMNS($DU15:EE15)-1)*5 + 1) = INDEX($E$5:$CE$5, 1, (COLUMNS($DU15:EE15)-1)*5 + 1), INDEX($E$8:$CE$57, MATCH($C15, $C$8:$C$57, 0), (COLUMNS($DU15:EE15)-1)*5 + 4) = "SF"), INDEX($CZ$8:$CZ$23, COLUMNS($DU15:EE15)), "0"), "")</f>
        <v/>
      </c>
      <c r="EF15" s="395">
        <f t="array" ref="EF15">IFERROR(IF(AND(INDEX($E$8:$CE$57, MATCH($C15, $C$8:$C$57, 0), (COLUMNS($DU15:EF15)-1)*5 + 1) = INDEX($E$5:$CE$5, 1, (COLUMNS($DU15:EF15)-1)*5 + 1), INDEX($E$8:$CE$57, MATCH($C15, $C$8:$C$57, 0), (COLUMNS($DU15:EF15)-1)*5 + 4) = "SF"), INDEX($CZ$8:$CZ$23, COLUMNS($DU15:EF15)), "0"), "")</f>
        <v/>
      </c>
      <c r="EG15" s="395">
        <f t="array" ref="EG15">IFERROR(IF(AND(INDEX($E$8:$CE$57, MATCH($C15, $C$8:$C$57, 0), (COLUMNS($DU15:EG15)-1)*5 + 1) = INDEX($E$5:$CE$5, 1, (COLUMNS($DU15:EG15)-1)*5 + 1), INDEX($E$8:$CE$57, MATCH($C15, $C$8:$C$57, 0), (COLUMNS($DU15:EG15)-1)*5 + 4) = "SF"), INDEX($CZ$8:$CZ$23, COLUMNS($DU15:EG15)), "0"), "")</f>
        <v/>
      </c>
      <c r="EH15" s="395">
        <f t="array" ref="EH15">IFERROR(IF(AND(INDEX($E$8:$CE$57, MATCH($C15, $C$8:$C$57, 0), (COLUMNS($DU15:EH15)-1)*5 + 1) = INDEX($E$5:$CE$5, 1, (COLUMNS($DU15:EH15)-1)*5 + 1), INDEX($E$8:$CE$57, MATCH($C15, $C$8:$C$57, 0), (COLUMNS($DU15:EH15)-1)*5 + 4) = "SF"), INDEX($CZ$8:$CZ$23, COLUMNS($DU15:EH15)), "0"), "")</f>
        <v/>
      </c>
      <c r="EI15" s="395">
        <f t="array" ref="EI15">IFERROR(IF(AND(INDEX($E$8:$CE$57, MATCH($C15, $C$8:$C$57, 0), (COLUMNS($DU15:EI15)-1)*5 + 1) = INDEX($E$5:$CE$5, 1, (COLUMNS($DU15:EI15)-1)*5 + 1), INDEX($E$8:$CE$57, MATCH($C15, $C$8:$C$57, 0), (COLUMNS($DU15:EI15)-1)*5 + 4) = "SF"), INDEX($CZ$8:$CZ$23, COLUMNS($DU15:EI15)), "0"), "")</f>
        <v/>
      </c>
      <c r="EJ15" s="395">
        <f t="array" ref="EJ15">IFERROR(IF(AND(INDEX($E$8:$CE$57, MATCH($C15, $C$8:$C$57, 0), (COLUMNS($DU15:EJ15)-1)*5 + 1) = INDEX($E$5:$CE$5, 1, (COLUMNS($DU15:EJ15)-1)*5 + 1), INDEX($E$8:$CE$57, MATCH($C15, $C$8:$C$57, 0), (COLUMNS($DU15:EJ15)-1)*5 + 4) = "SF"), INDEX($CZ$8:$CZ$23, COLUMNS($DU15:EJ15)), "0"), "")</f>
        <v/>
      </c>
    </row>
    <row r="16" ht="20.1" customHeight="1" s="568">
      <c r="A16" s="576" t="n"/>
      <c r="B16" s="92">
        <f>IF(BASE01[[#This Row],[COD]]&lt;&gt;"",B15+1,"")</f>
        <v/>
      </c>
      <c r="C16" s="601" t="inlineStr">
        <is>
          <t>COD 09</t>
        </is>
      </c>
      <c r="D16" s="93">
        <f t="array" ref="D16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6" s="148" t="n">
        <v>1</v>
      </c>
      <c r="F16" s="149" t="n">
        <v>8</v>
      </c>
      <c r="G16" s="150" t="n">
        <v>6</v>
      </c>
      <c r="H16" s="149" t="n"/>
      <c r="I16" s="602">
        <f>SUM(IF(E16=E$5,4,0),IF(E16&amp;F16=E$5&amp;F$5,1,0),
IF(AND(E16=E$5,F$6&gt;=$D$115),1,0),
IF(AND(F16=E$5,F$6&gt;=$D$115),1,0),
IF(AND(G16=E$5,F$6&gt;=$D$115),1,0),
IF(E16&amp;H16=I$5,1,0),
IF(F16=E$5,2,0),
IF(G16=E$5,1,0),
IF(OR(E16&amp;F16&amp;G16=E$5&amp;F$5&amp;G$5,E16&amp;F16&amp;G16=E$5&amp;G$5&amp;F$5,E16&amp;F16&amp;G16=F$5&amp;E$5&amp;G$5,E16&amp;F16&amp;G16=F$5&amp;G$5&amp;E$5,E16&amp;F16&amp;G16=G$5&amp;E$5&amp;F$5,E16&amp;F16&amp;G16=G$5&amp;F$5&amp;E$5),2,0),IF(AND(E16=E$5,F$6&gt;=$D$129),1,0),IF(AND(F16=E$5,F$6&gt;=$D$129),1,0),IF(AND(G16=E$5,F$6&gt;=$D$129),1,0),IF(E16&amp;H16=H$5,4,0),IF(AND(E16=E$5,F$6&lt;=$D$104),-0.5,0),IF(AND(F16=E$5,F$6&lt;=$D$104),-0.5,0),IF(AND(G16=E$5,F$6&lt;=$D$104),-0.5,0))</f>
        <v/>
      </c>
      <c r="J16" s="148" t="n">
        <v>8</v>
      </c>
      <c r="K16" s="149" t="n"/>
      <c r="L16" s="150" t="n"/>
      <c r="M16" s="149" t="inlineStr">
        <is>
          <t>SF</t>
        </is>
      </c>
      <c r="N16" s="602">
        <f>SUM(IF(J16=J$5,4,0),IF(J16&amp;K16=J$5&amp;K$5,1,0),
IF(AND(J16=J$5,K$6&gt;=$D$115),1,0),
IF(AND(K16=J$5,K$6&gt;=$D$115),1,0),
IF(AND(L16=J$5,K$6&gt;=$D$115),1,0),
IF(J16&amp;M16=N$5,1,0),
IF(K16=J$5,2,0),
IF(L16=J$5,1,0),
IF(OR(J16&amp;K16&amp;L16=J$5&amp;K$5&amp;L$5,J16&amp;K16&amp;L16=J$5&amp;L$5&amp;K$5,J16&amp;K16&amp;L16=K$5&amp;J$5&amp;L$5,J16&amp;K16&amp;L16=K$5&amp;L$5&amp;J$5,J16&amp;K16&amp;L16=L$5&amp;J$5&amp;K$5,J16&amp;K16&amp;L16=L$5&amp;K$5&amp;J$5),2,0),IF(AND(J16=J$5,K$6&gt;=$D$129),1,0),IF(AND(K16=J$5,K$6&gt;=$D$129),1,0),IF(AND(L16=J$5,K$6&gt;=$D$129),1,0),IF(J16&amp;M16=M$5,4,0),IF(AND(J16=J$5,K$6&lt;=$D$104),-0.5,0),IF(AND(K16=J$5,K$6&lt;=$D$104),-0.5,0),IF(AND(L16=J$5,K$6&lt;=$D$104),-0.5,0))</f>
        <v/>
      </c>
      <c r="O16" s="148" t="n">
        <v>6</v>
      </c>
      <c r="P16" s="149" t="n">
        <v>8</v>
      </c>
      <c r="Q16" s="150" t="n">
        <v>3</v>
      </c>
      <c r="R16" s="149" t="n"/>
      <c r="S16" s="602">
        <f>SUM(IF(O16=O$5,4,0),IF(O16&amp;P16=O$5&amp;P$5,1,0),
IF(AND(O16=O$5,P$6&gt;=$D$115),1,0),
IF(AND(P16=O$5,P$6&gt;=$D$115),1,0),
IF(AND(Q16=O$5,P$6&gt;=$D$115),1,0),
IF(O16&amp;R16=S$5,1,0),
IF(P16=O$5,2,0),
IF(Q16=O$5,1,0),
IF(OR(O16&amp;P16&amp;Q16=O$5&amp;P$5&amp;Q$5,O16&amp;P16&amp;Q16=O$5&amp;Q$5&amp;P$5,O16&amp;P16&amp;Q16=P$5&amp;O$5&amp;Q$5,O16&amp;P16&amp;Q16=P$5&amp;Q$5&amp;O$5,O16&amp;P16&amp;Q16=Q$5&amp;O$5&amp;P$5,O16&amp;P16&amp;Q16=Q$5&amp;P$5&amp;O$5),2,0),IF(AND(O16=O$5,P$6&gt;=$D$129),1,0),IF(AND(P16=O$5,P$6&gt;=$D$129),1,0),IF(AND(Q16=O$5,P$6&gt;=$D$129),1,0),IF(O16&amp;R16=R$5,4,0),IF(AND(O16=O$5,P$6&lt;=$D$104),-0.5,0),IF(AND(P16=O$5,P$6&lt;=$D$104),-0.5,0),IF(AND(Q16=O$5,P$6&lt;=$D$104),-0.5,0))</f>
        <v/>
      </c>
      <c r="T16" s="148" t="n">
        <v>6</v>
      </c>
      <c r="U16" s="149" t="n">
        <v>8</v>
      </c>
      <c r="V16" s="150" t="n">
        <v>4</v>
      </c>
      <c r="W16" s="149" t="inlineStr">
        <is>
          <t>F</t>
        </is>
      </c>
      <c r="X16" s="602">
        <f>SUM(IF(T16=T$5,4,0),IF(T16&amp;U16=T$5&amp;U$5,1,0),
IF(AND(T16=T$5,U$6&gt;=$D$115),1,0),
IF(AND(U16=T$5,U$6&gt;=$D$115),1,0),
IF(AND(V16=T$5,U$6&gt;=$D$115),1,0),
IF(T16&amp;W16=X$5,1,0),
IF(U16=T$5,2,0),
IF(V16=T$5,1,0),
IF(OR(T16&amp;U16&amp;V16=T$5&amp;U$5&amp;V$5,T16&amp;U16&amp;V16=T$5&amp;V$5&amp;U$5,T16&amp;U16&amp;V16=U$5&amp;T$5&amp;V$5,T16&amp;U16&amp;V16=U$5&amp;V$5&amp;T$5,T16&amp;U16&amp;V16=V$5&amp;T$5&amp;U$5,T16&amp;U16&amp;V16=V$5&amp;U$5&amp;T$5),2,0),IF(AND(T16=T$5,U$6&gt;=$D$129),1,0),IF(AND(U16=T$5,U$6&gt;=$D$129),1,0),IF(AND(V16=T$5,U$6&gt;=$D$129),1,0),IF(T16&amp;W16=W$5,4,0),IF(AND(T16=T$5,U$6&lt;=$D$104),-0.5,0),IF(AND(U16=T$5,U$6&lt;=$D$104),-0.5,0),IF(AND(V16=T$5,U$6&lt;=$D$104),-0.5,0))</f>
        <v/>
      </c>
      <c r="Y16" s="148" t="n">
        <v>5</v>
      </c>
      <c r="Z16" s="149" t="n">
        <v>10</v>
      </c>
      <c r="AA16" s="150" t="n">
        <v>1</v>
      </c>
      <c r="AB16" s="149" t="n"/>
      <c r="AC16" s="602">
        <f>SUM(IF(Y16=Y$5,4,0),IF(Y16&amp;Z16=Y$5&amp;Z$5,1,0),
IF(AND(Y16=Y$5,Z$6&gt;=$D$115),1,0),
IF(AND(Z16=Y$5,Z$6&gt;=$D$115),1,0),
IF(AND(AA16=Y$5,Z$6&gt;=$D$115),1,0),
IF(Y16&amp;AB16=AC$5,1,0),
IF(Z16=Y$5,2,0),
IF(AA16=Y$5,1,0),
IF(OR(Y16&amp;Z16&amp;AA16=Y$5&amp;Z$5&amp;AA$5,Y16&amp;Z16&amp;AA16=Y$5&amp;AA$5&amp;Z$5,Y16&amp;Z16&amp;AA16=Z$5&amp;Y$5&amp;AA$5,Y16&amp;Z16&amp;AA16=Z$5&amp;AA$5&amp;Y$5,Y16&amp;Z16&amp;AA16=AA$5&amp;Y$5&amp;Z$5,Y16&amp;Z16&amp;AA16=AA$5&amp;Z$5&amp;Y$5),2,0),IF(AND(Y16=Y$5,Z$6&gt;=$D$129),1,0),IF(AND(Z16=Y$5,Z$6&gt;=$D$129),1,0),IF(AND(AA16=Y$5,Z$6&gt;=$D$129),1,0),IF(Y16&amp;AB16=AB$5,4,0),IF(AND(Y16=Y$5,Z$6&lt;=$D$104),-0.5,0),IF(AND(Z16=Y$5,Z$6&lt;=$D$104),-0.5,0),IF(AND(AA16=Y$5,Z$6&lt;=$D$104),-0.5,0))</f>
        <v/>
      </c>
      <c r="AD16" s="148" t="n">
        <v>2</v>
      </c>
      <c r="AE16" s="149" t="n">
        <v>7</v>
      </c>
      <c r="AF16" s="150" t="n">
        <v>5</v>
      </c>
      <c r="AG16" s="149" t="n"/>
      <c r="AH16" s="602">
        <f>SUM(IF(AD16=AD$5,4,0),IF(AD16&amp;AE16=AD$5&amp;AE$5,1,0),
IF(AND(AD16=AD$5,AE$6&gt;=$D$115),1,0),
IF(AND(AE16=AD$5,AE$6&gt;=$D$115),1,0),
IF(AND(AF16=AD$5,AE$6&gt;=$D$115),1,0),
IF(AD16&amp;AG16=AH$5,1,0),
IF(AE16=AD$5,2,0),
IF(AF16=AD$5,1,0),
IF(OR(AD16&amp;AE16&amp;AF16=AD$5&amp;AE$5&amp;AF$5,AD16&amp;AE16&amp;AF16=AD$5&amp;AF$5&amp;AE$5,AD16&amp;AE16&amp;AF16=AE$5&amp;AD$5&amp;AF$5,AD16&amp;AE16&amp;AF16=AE$5&amp;AF$5&amp;AD$5,AD16&amp;AE16&amp;AF16=AF$5&amp;AD$5&amp;AE$5,AD16&amp;AE16&amp;AF16=AF$5&amp;AE$5&amp;AD$5),2,0),IF(AND(AD16=AD$5,AE$6&gt;=$D$129),1,0),IF(AND(AE16=AD$5,AE$6&gt;=$D$129),1,0),IF(AND(AF16=AD$5,AE$6&gt;=$D$129),1,0),IF(AD16&amp;AG16=AG$5,4,0),IF(AND(AD16=AD$5,AE$6&lt;=$D$104),-0.5,0),IF(AND(AE16=AD$5,AE$6&lt;=$D$104),-0.5,0),IF(AND(AF16=AD$5,AE$6&lt;=$D$104),-0.5,0))</f>
        <v/>
      </c>
      <c r="AI16" s="148" t="n">
        <v>3</v>
      </c>
      <c r="AJ16" s="149" t="n">
        <v>7</v>
      </c>
      <c r="AK16" s="150" t="n">
        <v>4</v>
      </c>
      <c r="AL16" s="149" t="n"/>
      <c r="AM16" s="602">
        <f>SUM(IF(AI16=AI$5,4,0),IF(AI16&amp;AJ16=AI$5&amp;AJ$5,1,0),
IF(AND(AI16=AI$5,AJ$6&gt;=$D$115),1,0),
IF(AND(AJ16=AI$5,AJ$6&gt;=$D$115),1,0),
IF(AND(AK16=AI$5,AJ$6&gt;=$D$115),1,0),
IF(AI16&amp;AL16=AM$5,1,0),
IF(AJ16=AI$5,2,0),
IF(AK16=AI$5,1,0),
IF(OR(AI16&amp;AJ16&amp;AK16=AI$5&amp;AJ$5&amp;AK$5,AI16&amp;AJ16&amp;AK16=AI$5&amp;AK$5&amp;AJ$5,AI16&amp;AJ16&amp;AK16=AJ$5&amp;AI$5&amp;AK$5,AI16&amp;AJ16&amp;AK16=AJ$5&amp;AK$5&amp;AI$5,AI16&amp;AJ16&amp;AK16=AK$5&amp;AI$5&amp;AJ$5,AI16&amp;AJ16&amp;AK16=AK$5&amp;AJ$5&amp;AI$5),2,0),IF(AND(AI16=AI$5,AJ$6&gt;=$D$129),1,0),IF(AND(AJ16=AI$5,AJ$6&gt;=$D$129),1,0),IF(AND(AK16=AI$5,AJ$6&gt;=$D$129),1,0),IF(AI16&amp;AL16=AL$5,4,0),IF(AND(AI16=AI$5,AJ$6&lt;=$D$104),-0.5,0),IF(AND(AJ16=AI$5,AJ$6&lt;=$D$104),-0.5,0),IF(AND(AK16=AI$5,AJ$6&lt;=$D$104),-0.5,0))</f>
        <v/>
      </c>
      <c r="AN16" s="148" t="n">
        <v>8</v>
      </c>
      <c r="AO16" s="149" t="n">
        <v>9</v>
      </c>
      <c r="AP16" s="150" t="n">
        <v>7</v>
      </c>
      <c r="AQ16" s="149" t="inlineStr">
        <is>
          <t>F</t>
        </is>
      </c>
      <c r="AR16" s="602">
        <f>SUM(IF(AN16=AN$5,4,0),IF(AN16&amp;AO16=AN$5&amp;AO$5,1,0),
IF(AND(AN16=AN$5,AO$6&gt;=$D$115),1,0),
IF(AND(AO16=AN$5,AO$6&gt;=$D$115),1,0),
IF(AND(AP16=AN$5,AO$6&gt;=$D$115),1,0),
IF(AN16&amp;AQ16=AR$5,1,0),
IF(AO16=AN$5,2,0),
IF(AP16=AN$5,1,0),
IF(OR(AN16&amp;AO16&amp;AP16=AN$5&amp;AO$5&amp;AP$5,AN16&amp;AO16&amp;AP16=AN$5&amp;AP$5&amp;AO$5,AN16&amp;AO16&amp;AP16=AO$5&amp;AN$5&amp;AP$5,AN16&amp;AO16&amp;AP16=AO$5&amp;AP$5&amp;AN$5,AN16&amp;AO16&amp;AP16=AP$5&amp;AN$5&amp;AO$5,AN16&amp;AO16&amp;AP16=AP$5&amp;AO$5&amp;AN$5),2,0),IF(AND(AN16=AN$5,AO$6&gt;=$D$129),1,0),IF(AND(AO16=AN$5,AO$6&gt;=$D$129),1,0),IF(AND(AP16=AN$5,AO$6&gt;=$D$129),1,0),IF(AN16&amp;AQ16=AQ$5,4,0),IF(AND(AN16=AN$5,AO$6&lt;=$D$104),-0.5,0),IF(AND(AO16=AN$5,AO$6&lt;=$D$104),-0.5,0),IF(AND(AP16=AN$5,AO$6&lt;=$D$104),-0.5,0))</f>
        <v/>
      </c>
      <c r="AS16" s="148" t="n">
        <v>7</v>
      </c>
      <c r="AT16" s="149" t="n">
        <v>1</v>
      </c>
      <c r="AU16" s="150" t="n">
        <v>6</v>
      </c>
      <c r="AV16" s="149" t="n"/>
      <c r="AW16" s="602">
        <f>SUM(IF(AS16=AS$5,4,0),IF(AS16&amp;AT16=AS$5&amp;AT$5,1,0),
IF(AND(AS16=AS$5,AT$6&gt;=$D$115),1,0),
IF(AND(AT16=AS$5,AT$6&gt;=$D$115),1,0),
IF(AND(AU16=AS$5,AT$6&gt;=$D$115),1,0),
IF(AS16&amp;AV16=AW$5,1,0),
IF(AT16=AS$5,2,0),
IF(AU16=AS$5,1,0),
IF(OR(AS16&amp;AT16&amp;AU16=AS$5&amp;AT$5&amp;AU$5,AS16&amp;AT16&amp;AU16=AS$5&amp;AU$5&amp;AT$5,AS16&amp;AT16&amp;AU16=AT$5&amp;AS$5&amp;AU$5,AS16&amp;AT16&amp;AU16=AT$5&amp;AU$5&amp;AS$5,AS16&amp;AT16&amp;AU16=AU$5&amp;AS$5&amp;AT$5,AS16&amp;AT16&amp;AU16=AU$5&amp;AT$5&amp;AS$5),2,0),IF(AND(AS16=AS$5,AT$6&gt;=$D$129),1,0),IF(AND(AT16=AS$5,AT$6&gt;=$D$129),1,0),IF(AND(AU16=AS$5,AT$6&gt;=$D$129),1,0),IF(AS16&amp;AV16=AV$5,4,0),IF(AND(AS16=AS$5,AT$6&lt;=$D$104),-0.5,0),IF(AND(AT16=AS$5,AT$6&lt;=$D$104),-0.5,0),IF(AND(AU16=AS$5,AT$6&lt;=$D$104),-0.5,0))</f>
        <v/>
      </c>
      <c r="AX16" s="148" t="n">
        <v>9</v>
      </c>
      <c r="AY16" s="149" t="n">
        <v>3</v>
      </c>
      <c r="AZ16" s="150" t="n">
        <v>1</v>
      </c>
      <c r="BA16" s="149" t="n"/>
      <c r="BB16" s="602">
        <f>SUM(IF(AX16=AX$5,4,0),IF(AX16&amp;AY16=AX$5&amp;AY$5,1,0),
IF(AND(AX16=AX$5,AY$6&gt;=$D$115),1,0),
IF(AND(AY16=AX$5,AY$6&gt;=$D$115),1,0),
IF(AND(AZ16=AX$5,AY$6&gt;=$D$115),1,0),
IF(AX16&amp;BA16=BB$5,1,0),
IF(AY16=AX$5,2,0),
IF(AZ16=AX$5,1,0),
IF(OR(AX16&amp;AY16&amp;AZ16=AX$5&amp;AY$5&amp;AZ$5,AX16&amp;AY16&amp;AZ16=AX$5&amp;AZ$5&amp;AY$5,AX16&amp;AY16&amp;AZ16=AY$5&amp;AX$5&amp;AZ$5,AX16&amp;AY16&amp;AZ16=AY$5&amp;AZ$5&amp;AX$5,AX16&amp;AY16&amp;AZ16=AZ$5&amp;AX$5&amp;AY$5,AX16&amp;AY16&amp;AZ16=AZ$5&amp;AY$5&amp;AX$5),2,0),IF(AND(AX16=AX$5,AY$6&gt;=$D$129),1,0),IF(AND(AY16=AX$5,AY$6&gt;=$D$129),1,0),IF(AND(AZ16=AX$5,AY$6&gt;=$D$129),1,0),IF(AX16&amp;BA16=BA$5,4,0),IF(AND(AX16=AX$5,AY$6&lt;=$D$104),-0.5,0),IF(AND(AY16=AX$5,AY$6&lt;=$D$104),-0.5,0),IF(AND(AZ16=AX$5,AY$6&lt;=$D$104),-0.5,0))</f>
        <v/>
      </c>
      <c r="BC16" s="148" t="n">
        <v>4</v>
      </c>
      <c r="BD16" s="149" t="n">
        <v>2</v>
      </c>
      <c r="BE16" s="150" t="n">
        <v>3</v>
      </c>
      <c r="BF16" s="149" t="n"/>
      <c r="BG16" s="602">
        <f>SUM(IF(BC16=BC$5,4,0),IF(BC16&amp;BD16=BC$5&amp;BD$5,1,0),
IF(AND(BC16=BC$5,BD$6&gt;=$D$115),1,0),
IF(AND(BD16=BC$5,BD$6&gt;=$D$115),1,0),
IF(AND(BE16=BC$5,BD$6&gt;=$D$115),1,0),
IF(BC16&amp;BF16=BG$5,1,0),
IF(BD16=BC$5,2,0),
IF(BE16=BC$5,1,0),
IF(OR(BC16&amp;BD16&amp;BE16=BC$5&amp;BD$5&amp;BE$5,BC16&amp;BD16&amp;BE16=BC$5&amp;BE$5&amp;BD$5,BC16&amp;BD16&amp;BE16=BD$5&amp;BC$5&amp;BE$5,BC16&amp;BD16&amp;BE16=BD$5&amp;BE$5&amp;BC$5,BC16&amp;BD16&amp;BE16=BE$5&amp;BC$5&amp;BD$5,BC16&amp;BD16&amp;BE16=BE$5&amp;BD$5&amp;BC$5),2,0),IF(AND(BC16=BC$5,BD$6&gt;=$D$129),1,0),IF(AND(BD16=BC$5,BD$6&gt;=$D$129),1,0),IF(AND(BE16=BC$5,BD$6&gt;=$D$129),1,0),IF(BC16&amp;BF16=BF$5,4,0),IF(AND(BC16=BC$5,BD$6&lt;=$D$104),-0.5,0),IF(AND(BD16=BC$5,BD$6&lt;=$D$104),-0.5,0),IF(AND(BE16=BC$5,BD$6&lt;=$D$104),-0.5,0))</f>
        <v/>
      </c>
      <c r="BH16" s="148" t="n">
        <v>5</v>
      </c>
      <c r="BI16" s="149" t="n">
        <v>2</v>
      </c>
      <c r="BJ16" s="150" t="n">
        <v>1</v>
      </c>
      <c r="BK16" s="149" t="n"/>
      <c r="BL16" s="602">
        <f>SUM(IF(BH16=BH$5,4,0),IF(BH16&amp;BI16=BH$5&amp;BI$5,1,0),
IF(AND(BH16=BH$5,BI$6&gt;=$D$115),1,0),
IF(AND(BI16=BH$5,BI$6&gt;=$D$115),1,0),
IF(AND(BJ16=BH$5,BI$6&gt;=$D$115),1,0),
IF(BH16&amp;BK16=BL$5,1,0),
IF(BI16=BH$5,2,0),
IF(BJ16=BH$5,1,0),
IF(OR(BH16&amp;BI16&amp;BJ16=BH$5&amp;BI$5&amp;BJ$5,BH16&amp;BI16&amp;BJ16=BH$5&amp;BJ$5&amp;BI$5,BH16&amp;BI16&amp;BJ16=BI$5&amp;BH$5&amp;BJ$5,BH16&amp;BI16&amp;BJ16=BI$5&amp;BJ$5&amp;BH$5,BH16&amp;BI16&amp;BJ16=BJ$5&amp;BH$5&amp;BI$5,BH16&amp;BI16&amp;BJ16=BJ$5&amp;BI$5&amp;BH$5),2,0),IF(AND(BH16=BH$5,BI$6&gt;=$D$129),1,0),IF(AND(BI16=BH$5,BI$6&gt;=$D$129),1,0),IF(AND(BJ16=BH$5,BI$6&gt;=$D$129),1,0),IF(BH16&amp;BK16=BK$5,4,0),IF(AND(BH16=BH$5,BI$6&lt;=$D$104),-0.5,0),IF(AND(BI16=BH$5,BI$6&lt;=$D$104),-0.5,0),IF(AND(BJ16=BH$5,BI$6&lt;=$D$104),-0.5,0))</f>
        <v/>
      </c>
      <c r="BM16" s="148" t="n">
        <v>3</v>
      </c>
      <c r="BN16" s="149" t="n">
        <v>9</v>
      </c>
      <c r="BO16" s="150" t="n">
        <v>2</v>
      </c>
      <c r="BP16" s="149" t="n"/>
      <c r="BQ16" s="602">
        <f>SUM(IF(BM16=BM$5,4,0),IF(BM16&amp;BN16=BM$5&amp;BN$5,1,0),
IF(AND(BM16=BM$5,BN$6&gt;=$D$115),1,0),
IF(AND(BN16=BM$5,BN$6&gt;=$D$115),1,0),
IF(AND(BO16=BM$5,BN$6&gt;=$D$115),1,0),
IF(BM16&amp;BP16=BQ$5,1,0),
IF(BN16=BM$5,2,0),
IF(BO16=BM$5,1,0),
IF(OR(BM16&amp;BN16&amp;BO16=BM$5&amp;BN$5&amp;BO$5,BM16&amp;BN16&amp;BO16=BM$5&amp;BO$5&amp;BN$5,BM16&amp;BN16&amp;BO16=BN$5&amp;BM$5&amp;BO$5,BM16&amp;BN16&amp;BO16=BN$5&amp;BO$5&amp;BM$5,BM16&amp;BN16&amp;BO16=BO$5&amp;BM$5&amp;BN$5,BM16&amp;BN16&amp;BO16=BO$5&amp;BN$5&amp;BM$5),2,0),IF(AND(BM16=BM$5,BN$6&gt;=$D$129),1,0),IF(AND(BN16=BM$5,BN$6&gt;=$D$129),1,0),IF(AND(BO16=BM$5,BN$6&gt;=$D$129),1,0),IF(BM16&amp;BP16=BP$5,4,0),IF(AND(BM16=BM$5,BN$6&lt;=$D$104),-0.5,0),IF(AND(BN16=BM$5,BN$6&lt;=$D$104),-0.5,0),IF(AND(BO16=BM$5,BN$6&lt;=$D$104),-0.5,0))</f>
        <v/>
      </c>
      <c r="BR16" s="148" t="n"/>
      <c r="BS16" s="149" t="n"/>
      <c r="BT16" s="150" t="n"/>
      <c r="BU16" s="149" t="n"/>
      <c r="BV16" s="602">
        <f>SUM(IF(BR16=BR$5,4,0),IF(BR16&amp;BS16=BR$5&amp;BS$5,1,0),
IF(AND(BR16=BR$5,BS$6&gt;=$D$115),1,0),
IF(AND(BS16=BR$5,BS$6&gt;=$D$115),1,0),
IF(AND(BT16=BR$5,BS$6&gt;=$D$115),1,0),
IF(BR16&amp;BU16=BV$5,1,0),
IF(BS16=BR$5,2,0),
IF(BT16=BR$5,1,0),
IF(OR(BR16&amp;BS16&amp;BT16=BR$5&amp;BS$5&amp;BT$5,BR16&amp;BS16&amp;BT16=BR$5&amp;BT$5&amp;BS$5,BR16&amp;BS16&amp;BT16=BS$5&amp;BR$5&amp;BT$5,BR16&amp;BS16&amp;BT16=BS$5&amp;BT$5&amp;BR$5,BR16&amp;BS16&amp;BT16=BT$5&amp;BR$5&amp;BS$5,BR16&amp;BS16&amp;BT16=BT$5&amp;BS$5&amp;BR$5),2,0),IF(AND(BR16=BR$5,BS$6&gt;=$D$129),1,0),IF(AND(BS16=BR$5,BS$6&gt;=$D$129),1,0),IF(AND(BT16=BR$5,BS$6&gt;=$D$129),1,0),IF(BR16&amp;BU16=BU$5,4,0),IF(AND(BR16=BR$5,BS$6&lt;=$D$104),-0.5,0),IF(AND(BS16=BR$5,BS$6&lt;=$D$104),-0.5,0),IF(AND(BT16=BR$5,BS$6&lt;=$D$104),-0.5,0))</f>
        <v/>
      </c>
      <c r="BW16" s="148" t="n"/>
      <c r="BX16" s="149" t="n"/>
      <c r="BY16" s="150" t="n"/>
      <c r="BZ16" s="149" t="n"/>
      <c r="CA16" s="602">
        <f>SUM(IF(BW16=BW$5,4,0),IF(BW16&amp;BX16=BW$5&amp;BX$5,1,0),
IF(AND(BW16=BW$5,BX$6&gt;=$D$115),1,0),
IF(AND(BX16=BW$5,BX$6&gt;=$D$115),1,0),
IF(AND(BY16=BW$5,BX$6&gt;=$D$115),1,0),
IF(BW16&amp;BZ16=CA$5,1,0),
IF(BX16=BW$5,2,0),
IF(BY16=BW$5,1,0),
IF(OR(BW16&amp;BX16&amp;BY16=BW$5&amp;BX$5&amp;BY$5,BW16&amp;BX16&amp;BY16=BW$5&amp;BY$5&amp;BX$5,BW16&amp;BX16&amp;BY16=BX$5&amp;BW$5&amp;BY$5,BW16&amp;BX16&amp;BY16=BX$5&amp;BY$5&amp;BW$5,BW16&amp;BX16&amp;BY16=BY$5&amp;BW$5&amp;BX$5,BW16&amp;BX16&amp;BY16=BY$5&amp;BX$5&amp;BW$5),2,0),IF(AND(BW16=BW$5,BX$6&gt;=$D$129),1,0),IF(AND(BX16=BW$5,BX$6&gt;=$D$129),1,0),IF(AND(BY16=BW$5,BX$6&gt;=$D$129),1,0),IF(BW16&amp;BZ16=BZ$5,4,0),IF(AND(BW16=BW$5,BX$6&lt;=$D$104),-0.5,0),IF(AND(BX16=BW$5,BX$6&lt;=$D$104),-0.5,0),IF(AND(BY16=BW$5,BX$6&lt;=$D$104),-0.5,0))</f>
        <v/>
      </c>
      <c r="CB16" s="148" t="n"/>
      <c r="CC16" s="149" t="n"/>
      <c r="CD16" s="150" t="n"/>
      <c r="CE16" s="149" t="n"/>
      <c r="CF16" s="602">
        <f>SUM(IF(CB16=CB$5,4,0),IF(CB16&amp;CC16=CB$5&amp;CC$5,1,0),
IF(AND(CB16=CB$5,CC$6&gt;=$D$115),1,0),
IF(AND(CC16=CB$5,CC$6&gt;=$D$115),1,0),
IF(AND(CD16=CB$5,CC$6&gt;=$D$115),1,0),
IF(CB16&amp;CE16=CF$5,1,0),
IF(CC16=CB$5,2,0),
IF(CD16=CB$5,1,0),
IF(OR(CB16&amp;CC16&amp;CD16=CB$5&amp;CC$5&amp;CD$5,CB16&amp;CC16&amp;CD16=CB$5&amp;CD$5&amp;CC$5,CB16&amp;CC16&amp;CD16=CC$5&amp;CB$5&amp;CD$5,CB16&amp;CC16&amp;CD16=CC$5&amp;CD$5&amp;CB$5,CB16&amp;CC16&amp;CD16=CD$5&amp;CB$5&amp;CC$5,CB16&amp;CC16&amp;CD16=CD$5&amp;CC$5&amp;CB$5),2,0),IF(AND(CB16=CB$5,CC$6&gt;=$D$129),1,0),IF(AND(CC16=CB$5,CC$6&gt;=$D$129),1,0),IF(AND(CD16=CB$5,CC$6&gt;=$D$129),1,0),IF(CB16&amp;CE16=CE$5,4,0),IF(AND(CB16=CB$5,CC$6&lt;=$D$104),-0.5,0),IF(AND(CC16=CB$5,CC$6&lt;=$D$104),-0.5,0),IF(AND(CD16=CB$5,CC$6&lt;=$D$104),-0.5,0))</f>
        <v/>
      </c>
      <c r="CG16" s="164">
        <f>IF(BASE01[[#This Row],[1]]="",0,$B$4)</f>
        <v/>
      </c>
      <c r="CH16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6" s="166">
        <f>IF(BASE01[[#This Row],[Columna14]]=0,0,(CH16/CG16))</f>
        <v/>
      </c>
      <c r="CJ16" s="165">
        <f>IF(BASE01[[#This Row],[1]]="",0,$B$4)</f>
        <v/>
      </c>
      <c r="CK16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6" s="166">
        <f>IF(BASE01[[#This Row],[Columna14]]=0,0,(CK16/CJ16))</f>
        <v/>
      </c>
      <c r="CM16" s="164">
        <f>IF(BASE01[[#This Row],[1]]="",0,$B$4)</f>
        <v/>
      </c>
      <c r="CN16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6" s="166">
        <f>IF(BASE01[[#This Row],[Columna14]]=0,0,(CN16/CM16))</f>
        <v/>
      </c>
      <c r="CP16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6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Row],[Columna25]],$AX$5,BA16,"SF")+COUNTIFS(BASE01[[#This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6" s="166">
        <f>IF(BASE01[[#This Row],[Columna14]]=0,0,(CQ16/CP16))</f>
        <v/>
      </c>
      <c r="CS16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6" s="95" t="n"/>
      <c r="CU16" s="604">
        <f>SUM(CS16,CT16)</f>
        <v/>
      </c>
      <c r="CV16" s="96">
        <f>IF(BASE01[[#This Row],[TIPO]]="PREMIO",$O$3,"0,00")</f>
        <v/>
      </c>
      <c r="CW16" s="576" t="n"/>
      <c r="CY16" s="393" t="n">
        <v>9</v>
      </c>
      <c r="CZ16" s="354">
        <f>AT$6</f>
        <v/>
      </c>
      <c r="DB16" s="605">
        <f>BASE01[[#This Row],[COD]]</f>
        <v/>
      </c>
      <c r="DC16" s="395">
        <f t="array" ref="DC16">IFERROR(IF(AND(INDEX($E$8:$CE$57, MATCH($C16, $C$8:$C$57, 0), (COLUMNS($DC16:DC16)-1)*5 + 1) = INDEX($E$5:$CE$5, 1, (COLUMNS($DC16:DC16)-1)*5 + 1), INDEX($E$8:$CE$57, MATCH($C16, $C$8:$C$57, 0), (COLUMNS($DC16:DC16)-1)*5 + 4) = "F"), INDEX($CZ$8:$CZ$23, COLUMNS($DC16:DC16)), "0"), "")</f>
        <v/>
      </c>
      <c r="DD16" s="395">
        <f t="array" ref="DD16">IFERROR(IF(AND(INDEX($E$8:$CE$57, MATCH($C16, $C$8:$C$57, 0), (COLUMNS($DC16:DD16)-1)*5 + 1) = INDEX($E$5:$CE$5, 1, (COLUMNS($DC16:DD16)-1)*5 + 1), INDEX($E$8:$CE$57, MATCH($C16, $C$8:$C$57, 0), (COLUMNS($DC16:DD16)-1)*5 + 4) = "F"), INDEX($CZ$8:$CZ$23, COLUMNS($DC16:DD16)), "0"), "")</f>
        <v/>
      </c>
      <c r="DE16" s="395">
        <f t="array" ref="DE16">IFERROR(IF(AND(INDEX($E$8:$CE$57, MATCH($C16, $C$8:$C$57, 0), (COLUMNS($DC16:DE16)-1)*5 + 1) = INDEX($E$5:$CE$5, 1, (COLUMNS($DC16:DE16)-1)*5 + 1), INDEX($E$8:$CE$57, MATCH($C16, $C$8:$C$57, 0), (COLUMNS($DC16:DE16)-1)*5 + 4) = "F"), INDEX($CZ$8:$CZ$23, COLUMNS($DC16:DE16)), "0"), "")</f>
        <v/>
      </c>
      <c r="DF16" s="395">
        <f t="array" ref="DF16">IFERROR(IF(AND(INDEX($E$8:$CE$57, MATCH($C16, $C$8:$C$57, 0), (COLUMNS($DC16:DF16)-1)*5 + 1) = INDEX($E$5:$CE$5, 1, (COLUMNS($DC16:DF16)-1)*5 + 1), INDEX($E$8:$CE$57, MATCH($C16, $C$8:$C$57, 0), (COLUMNS($DC16:DF16)-1)*5 + 4) = "F"), INDEX($CZ$8:$CZ$23, COLUMNS($DC16:DF16)), "0"), "")</f>
        <v/>
      </c>
      <c r="DG16" s="395">
        <f t="array" ref="DG16">IFERROR(IF(AND(INDEX($E$8:$CE$57, MATCH($C16, $C$8:$C$57, 0), (COLUMNS($DC16:DG16)-1)*5 + 1) = INDEX($E$5:$CE$5, 1, (COLUMNS($DC16:DG16)-1)*5 + 1), INDEX($E$8:$CE$57, MATCH($C16, $C$8:$C$57, 0), (COLUMNS($DC16:DG16)-1)*5 + 4) = "F"), INDEX($CZ$8:$CZ$23, COLUMNS($DC16:DG16)), "0"), "")</f>
        <v/>
      </c>
      <c r="DH16" s="395">
        <f t="array" ref="DH16">IFERROR(IF(AND(INDEX($E$8:$CE$57, MATCH($C16, $C$8:$C$57, 0), (COLUMNS($DC16:DH16)-1)*5 + 1) = INDEX($E$5:$CE$5, 1, (COLUMNS($DC16:DH16)-1)*5 + 1), INDEX($E$8:$CE$57, MATCH($C16, $C$8:$C$57, 0), (COLUMNS($DC16:DH16)-1)*5 + 4) = "F"), INDEX($CZ$8:$CZ$23, COLUMNS($DC16:DH16)), "0"), "")</f>
        <v/>
      </c>
      <c r="DI16" s="395">
        <f t="array" ref="DI16">IFERROR(IF(AND(INDEX($E$8:$CE$57, MATCH($C16, $C$8:$C$57, 0), (COLUMNS($DC16:DI16)-1)*5 + 1) = INDEX($E$5:$CE$5, 1, (COLUMNS($DC16:DI16)-1)*5 + 1), INDEX($E$8:$CE$57, MATCH($C16, $C$8:$C$57, 0), (COLUMNS($DC16:DI16)-1)*5 + 4) = "F"), INDEX($CZ$8:$CZ$23, COLUMNS($DC16:DI16)), "0"), "")</f>
        <v/>
      </c>
      <c r="DJ16" s="395">
        <f t="array" ref="DJ16">IFERROR(IF(AND(INDEX($E$8:$CE$57, MATCH($C16, $C$8:$C$57, 0), (COLUMNS($DC16:DJ16)-1)*5 + 1) = INDEX($E$5:$CE$5, 1, (COLUMNS($DC16:DJ16)-1)*5 + 1), INDEX($E$8:$CE$57, MATCH($C16, $C$8:$C$57, 0), (COLUMNS($DC16:DJ16)-1)*5 + 4) = "F"), INDEX($CZ$8:$CZ$23, COLUMNS($DC16:DJ16)), "0"), "")</f>
        <v/>
      </c>
      <c r="DK16" s="395">
        <f t="array" ref="DK16">IFERROR(IF(AND(INDEX($E$8:$CE$57, MATCH($C16, $C$8:$C$57, 0), (COLUMNS($DC16:DK16)-1)*5 + 1) = INDEX($E$5:$CE$5, 1, (COLUMNS($DC16:DK16)-1)*5 + 1), INDEX($E$8:$CE$57, MATCH($C16, $C$8:$C$57, 0), (COLUMNS($DC16:DK16)-1)*5 + 4) = "F"), INDEX($CZ$8:$CZ$23, COLUMNS($DC16:DK16)), "0"), "")</f>
        <v/>
      </c>
      <c r="DL16" s="395">
        <f t="array" ref="DL16">IFERROR(IF(AND(INDEX($E$8:$CE$57, MATCH($C16, $C$8:$C$57, 0), (COLUMNS($DC16:DL16)-1)*5 + 1) = INDEX($E$5:$CE$5, 1, (COLUMNS($DC16:DL16)-1)*5 + 1), INDEX($E$8:$CE$57, MATCH($C16, $C$8:$C$57, 0), (COLUMNS($DC16:DL16)-1)*5 + 4) = "F"), INDEX($CZ$8:$CZ$23, COLUMNS($DC16:DL16)), "0"), "")</f>
        <v/>
      </c>
      <c r="DM16" s="395">
        <f t="array" ref="DM16">IFERROR(IF(AND(INDEX($E$8:$CE$57, MATCH($C16, $C$8:$C$57, 0), (COLUMNS($DC16:DM16)-1)*5 + 1) = INDEX($E$5:$CE$5, 1, (COLUMNS($DC16:DM16)-1)*5 + 1), INDEX($E$8:$CE$57, MATCH($C16, $C$8:$C$57, 0), (COLUMNS($DC16:DM16)-1)*5 + 4) = "F"), INDEX($CZ$8:$CZ$23, COLUMNS($DC16:DM16)), "0"), "")</f>
        <v/>
      </c>
      <c r="DN16" s="395">
        <f t="array" ref="DN16">IFERROR(IF(AND(INDEX($E$8:$CE$57, MATCH($C16, $C$8:$C$57, 0), (COLUMNS($DC16:DN16)-1)*5 + 1) = INDEX($E$5:$CE$5, 1, (COLUMNS($DC16:DN16)-1)*5 + 1), INDEX($E$8:$CE$57, MATCH($C16, $C$8:$C$57, 0), (COLUMNS($DC16:DN16)-1)*5 + 4) = "F"), INDEX($CZ$8:$CZ$23, COLUMNS($DC16:DN16)), "0"), "")</f>
        <v/>
      </c>
      <c r="DO16" s="395">
        <f t="array" ref="DO16">IFERROR(IF(AND(INDEX($E$8:$CE$57, MATCH($C16, $C$8:$C$57, 0), (COLUMNS($DC16:DO16)-1)*5 + 1) = INDEX($E$5:$CE$5, 1, (COLUMNS($DC16:DO16)-1)*5 + 1), INDEX($E$8:$CE$57, MATCH($C16, $C$8:$C$57, 0), (COLUMNS($DC16:DO16)-1)*5 + 4) = "F"), INDEX($CZ$8:$CZ$23, COLUMNS($DC16:DO16)), "0"), "")</f>
        <v/>
      </c>
      <c r="DP16" s="395">
        <f t="array" ref="DP16">IFERROR(IF(AND(INDEX($E$8:$CE$57, MATCH($C16, $C$8:$C$57, 0), (COLUMNS($DC16:DP16)-1)*5 + 1) = INDEX($E$5:$CE$5, 1, (COLUMNS($DC16:DP16)-1)*5 + 1), INDEX($E$8:$CE$57, MATCH($C16, $C$8:$C$57, 0), (COLUMNS($DC16:DP16)-1)*5 + 4) = "F"), INDEX($CZ$8:$CZ$23, COLUMNS($DC16:DP16)), "0"), "")</f>
        <v/>
      </c>
      <c r="DQ16" s="395">
        <f t="array" ref="DQ16">IFERROR(IF(AND(INDEX($E$8:$CE$57, MATCH($C16, $C$8:$C$57, 0), (COLUMNS($DC16:DQ16)-1)*5 + 1) = INDEX($E$5:$CE$5, 1, (COLUMNS($DC16:DQ16)-1)*5 + 1), INDEX($E$8:$CE$57, MATCH($C16, $C$8:$C$57, 0), (COLUMNS($DC16:DQ16)-1)*5 + 4) = "F"), INDEX($CZ$8:$CZ$23, COLUMNS($DC16:DQ16)), "0"), "")</f>
        <v/>
      </c>
      <c r="DR16" s="395">
        <f t="array" ref="DR16">IFERROR(IF(AND(INDEX($E$8:$CE$57, MATCH($C16, $C$8:$C$57, 0), (COLUMNS($DC16:DR16)-1)*5 + 1) = INDEX($E$5:$CE$5, 1, (COLUMNS($DC16:DR16)-1)*5 + 1), INDEX($E$8:$CE$57, MATCH($C16, $C$8:$C$57, 0), (COLUMNS($DC16:DR16)-1)*5 + 4) = "F"), INDEX($CZ$8:$CZ$23, COLUMNS($DC16:DR16)), "0"), "")</f>
        <v/>
      </c>
      <c r="DT16" s="605">
        <f>BASE01[[#This Row],[COD]]</f>
        <v/>
      </c>
      <c r="DU16" s="395">
        <f t="array" ref="DU16">IFERROR(IF(AND(INDEX($E$8:$CE$57, MATCH($C16, $C$8:$C$57, 0), (COLUMNS($DU16:DU16)-1)*5 + 1) = INDEX($E$5:$CE$5, 1, (COLUMNS($DU16:DU16)-1)*5 + 1), INDEX($E$8:$CE$57, MATCH($C16, $C$8:$C$57, 0), (COLUMNS($DU16:DU16)-1)*5 + 4) = "SF"), INDEX($CZ$8:$CZ$23, COLUMNS($DU16:DU16)), "0"), "")</f>
        <v/>
      </c>
      <c r="DV16" s="395">
        <f t="array" ref="DV16">IFERROR(IF(AND(INDEX($E$8:$CE$57, MATCH($C16, $C$8:$C$57, 0), (COLUMNS($DU16:DV16)-1)*5 + 1) = INDEX($E$5:$CE$5, 1, (COLUMNS($DU16:DV16)-1)*5 + 1), INDEX($E$8:$CE$57, MATCH($C16, $C$8:$C$57, 0), (COLUMNS($DU16:DV16)-1)*5 + 4) = "SF"), INDEX($CZ$8:$CZ$23, COLUMNS($DU16:DV16)), "0"), "")</f>
        <v/>
      </c>
      <c r="DW16" s="395">
        <f t="array" ref="DW16">IFERROR(IF(AND(INDEX($E$8:$CE$57, MATCH($C16, $C$8:$C$57, 0), (COLUMNS($DU16:DW16)-1)*5 + 1) = INDEX($E$5:$CE$5, 1, (COLUMNS($DU16:DW16)-1)*5 + 1), INDEX($E$8:$CE$57, MATCH($C16, $C$8:$C$57, 0), (COLUMNS($DU16:DW16)-1)*5 + 4) = "SF"), INDEX($CZ$8:$CZ$23, COLUMNS($DU16:DW16)), "0"), "")</f>
        <v/>
      </c>
      <c r="DX16" s="395">
        <f t="array" ref="DX16">IFERROR(IF(AND(INDEX($E$8:$CE$57, MATCH($C16, $C$8:$C$57, 0), (COLUMNS($DU16:DX16)-1)*5 + 1) = INDEX($E$5:$CE$5, 1, (COLUMNS($DU16:DX16)-1)*5 + 1), INDEX($E$8:$CE$57, MATCH($C16, $C$8:$C$57, 0), (COLUMNS($DU16:DX16)-1)*5 + 4) = "SF"), INDEX($CZ$8:$CZ$23, COLUMNS($DU16:DX16)), "0"), "")</f>
        <v/>
      </c>
      <c r="DY16" s="395">
        <f t="array" ref="DY16">IFERROR(IF(AND(INDEX($E$8:$CE$57, MATCH($C16, $C$8:$C$57, 0), (COLUMNS($DU16:DY16)-1)*5 + 1) = INDEX($E$5:$CE$5, 1, (COLUMNS($DU16:DY16)-1)*5 + 1), INDEX($E$8:$CE$57, MATCH($C16, $C$8:$C$57, 0), (COLUMNS($DU16:DY16)-1)*5 + 4) = "SF"), INDEX($CZ$8:$CZ$23, COLUMNS($DU16:DY16)), "0"), "")</f>
        <v/>
      </c>
      <c r="DZ16" s="395">
        <f t="array" ref="DZ16">IFERROR(IF(AND(INDEX($E$8:$CE$57, MATCH($C16, $C$8:$C$57, 0), (COLUMNS($DU16:DZ16)-1)*5 + 1) = INDEX($E$5:$CE$5, 1, (COLUMNS($DU16:DZ16)-1)*5 + 1), INDEX($E$8:$CE$57, MATCH($C16, $C$8:$C$57, 0), (COLUMNS($DU16:DZ16)-1)*5 + 4) = "SF"), INDEX($CZ$8:$CZ$23, COLUMNS($DU16:DZ16)), "0"), "")</f>
        <v/>
      </c>
      <c r="EA16" s="395">
        <f t="array" ref="EA16">IFERROR(IF(AND(INDEX($E$8:$CE$57, MATCH($C16, $C$8:$C$57, 0), (COLUMNS($DU16:EA16)-1)*5 + 1) = INDEX($E$5:$CE$5, 1, (COLUMNS($DU16:EA16)-1)*5 + 1), INDEX($E$8:$CE$57, MATCH($C16, $C$8:$C$57, 0), (COLUMNS($DU16:EA16)-1)*5 + 4) = "SF"), INDEX($CZ$8:$CZ$23, COLUMNS($DU16:EA16)), "0"), "")</f>
        <v/>
      </c>
      <c r="EB16" s="395">
        <f t="array" ref="EB16">IFERROR(IF(AND(INDEX($E$8:$CE$57, MATCH($C16, $C$8:$C$57, 0), (COLUMNS($DU16:EB16)-1)*5 + 1) = INDEX($E$5:$CE$5, 1, (COLUMNS($DU16:EB16)-1)*5 + 1), INDEX($E$8:$CE$57, MATCH($C16, $C$8:$C$57, 0), (COLUMNS($DU16:EB16)-1)*5 + 4) = "SF"), INDEX($CZ$8:$CZ$23, COLUMNS($DU16:EB16)), "0"), "")</f>
        <v/>
      </c>
      <c r="EC16" s="395">
        <f t="array" ref="EC16">IFERROR(IF(AND(INDEX($E$8:$CE$57, MATCH($C16, $C$8:$C$57, 0), (COLUMNS($DU16:EC16)-1)*5 + 1) = INDEX($E$5:$CE$5, 1, (COLUMNS($DU16:EC16)-1)*5 + 1), INDEX($E$8:$CE$57, MATCH($C16, $C$8:$C$57, 0), (COLUMNS($DU16:EC16)-1)*5 + 4) = "SF"), INDEX($CZ$8:$CZ$23, COLUMNS($DU16:EC16)), "0"), "")</f>
        <v/>
      </c>
      <c r="ED16" s="395">
        <f t="array" ref="ED16">IFERROR(IF(AND(INDEX($E$8:$CE$57, MATCH($C16, $C$8:$C$57, 0), (COLUMNS($DU16:ED16)-1)*5 + 1) = INDEX($E$5:$CE$5, 1, (COLUMNS($DU16:ED16)-1)*5 + 1), INDEX($E$8:$CE$57, MATCH($C16, $C$8:$C$57, 0), (COLUMNS($DU16:ED16)-1)*5 + 4) = "SF"), INDEX($CZ$8:$CZ$23, COLUMNS($DU16:ED16)), "0"), "")</f>
        <v/>
      </c>
      <c r="EE16" s="395">
        <f t="array" ref="EE16">IFERROR(IF(AND(INDEX($E$8:$CE$57, MATCH($C16, $C$8:$C$57, 0), (COLUMNS($DU16:EE16)-1)*5 + 1) = INDEX($E$5:$CE$5, 1, (COLUMNS($DU16:EE16)-1)*5 + 1), INDEX($E$8:$CE$57, MATCH($C16, $C$8:$C$57, 0), (COLUMNS($DU16:EE16)-1)*5 + 4) = "SF"), INDEX($CZ$8:$CZ$23, COLUMNS($DU16:EE16)), "0"), "")</f>
        <v/>
      </c>
      <c r="EF16" s="395">
        <f t="array" ref="EF16">IFERROR(IF(AND(INDEX($E$8:$CE$57, MATCH($C16, $C$8:$C$57, 0), (COLUMNS($DU16:EF16)-1)*5 + 1) = INDEX($E$5:$CE$5, 1, (COLUMNS($DU16:EF16)-1)*5 + 1), INDEX($E$8:$CE$57, MATCH($C16, $C$8:$C$57, 0), (COLUMNS($DU16:EF16)-1)*5 + 4) = "SF"), INDEX($CZ$8:$CZ$23, COLUMNS($DU16:EF16)), "0"), "")</f>
        <v/>
      </c>
      <c r="EG16" s="395">
        <f t="array" ref="EG16">IFERROR(IF(AND(INDEX($E$8:$CE$57, MATCH($C16, $C$8:$C$57, 0), (COLUMNS($DU16:EG16)-1)*5 + 1) = INDEX($E$5:$CE$5, 1, (COLUMNS($DU16:EG16)-1)*5 + 1), INDEX($E$8:$CE$57, MATCH($C16, $C$8:$C$57, 0), (COLUMNS($DU16:EG16)-1)*5 + 4) = "SF"), INDEX($CZ$8:$CZ$23, COLUMNS($DU16:EG16)), "0"), "")</f>
        <v/>
      </c>
      <c r="EH16" s="395">
        <f t="array" ref="EH16">IFERROR(IF(AND(INDEX($E$8:$CE$57, MATCH($C16, $C$8:$C$57, 0), (COLUMNS($DU16:EH16)-1)*5 + 1) = INDEX($E$5:$CE$5, 1, (COLUMNS($DU16:EH16)-1)*5 + 1), INDEX($E$8:$CE$57, MATCH($C16, $C$8:$C$57, 0), (COLUMNS($DU16:EH16)-1)*5 + 4) = "SF"), INDEX($CZ$8:$CZ$23, COLUMNS($DU16:EH16)), "0"), "")</f>
        <v/>
      </c>
      <c r="EI16" s="395">
        <f t="array" ref="EI16">IFERROR(IF(AND(INDEX($E$8:$CE$57, MATCH($C16, $C$8:$C$57, 0), (COLUMNS($DU16:EI16)-1)*5 + 1) = INDEX($E$5:$CE$5, 1, (COLUMNS($DU16:EI16)-1)*5 + 1), INDEX($E$8:$CE$57, MATCH($C16, $C$8:$C$57, 0), (COLUMNS($DU16:EI16)-1)*5 + 4) = "SF"), INDEX($CZ$8:$CZ$23, COLUMNS($DU16:EI16)), "0"), "")</f>
        <v/>
      </c>
      <c r="EJ16" s="395">
        <f t="array" ref="EJ16">IFERROR(IF(AND(INDEX($E$8:$CE$57, MATCH($C16, $C$8:$C$57, 0), (COLUMNS($DU16:EJ16)-1)*5 + 1) = INDEX($E$5:$CE$5, 1, (COLUMNS($DU16:EJ16)-1)*5 + 1), INDEX($E$8:$CE$57, MATCH($C16, $C$8:$C$57, 0), (COLUMNS($DU16:EJ16)-1)*5 + 4) = "SF"), INDEX($CZ$8:$CZ$23, COLUMNS($DU16:EJ16)), "0"), "")</f>
        <v/>
      </c>
    </row>
    <row r="17" ht="20.1" customHeight="1" s="568">
      <c r="A17" s="576" t="n"/>
      <c r="B17" s="92">
        <f>IF(BASE01[[#This Row],[COD]]&lt;&gt;"",B16+1,"")</f>
        <v/>
      </c>
      <c r="C17" s="601" t="inlineStr">
        <is>
          <t>COD 10</t>
        </is>
      </c>
      <c r="D17" s="93">
        <f t="array" ref="D17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7" s="148" t="n">
        <v>8</v>
      </c>
      <c r="F17" s="149" t="n">
        <v>6</v>
      </c>
      <c r="G17" s="150" t="n">
        <v>1</v>
      </c>
      <c r="H17" s="145" t="n"/>
      <c r="I17" s="602">
        <f>SUM(IF(E17=E$5,4,0),IF(E17&amp;F17=E$5&amp;F$5,1,0),
IF(AND(E17=E$5,F$6&gt;=$D$115),1,0),
IF(AND(F17=E$5,F$6&gt;=$D$115),1,0),
IF(AND(G17=E$5,F$6&gt;=$D$115),1,0),
IF(E17&amp;H17=I$5,1,0),
IF(F17=E$5,2,0),
IF(G17=E$5,1,0),
IF(OR(E17&amp;F17&amp;G17=E$5&amp;F$5&amp;G$5,E17&amp;F17&amp;G17=E$5&amp;G$5&amp;F$5,E17&amp;F17&amp;G17=F$5&amp;E$5&amp;G$5,E17&amp;F17&amp;G17=F$5&amp;G$5&amp;E$5,E17&amp;F17&amp;G17=G$5&amp;E$5&amp;F$5,E17&amp;F17&amp;G17=G$5&amp;F$5&amp;E$5),2,0),IF(AND(E17=E$5,F$6&gt;=$D$129),1,0),IF(AND(F17=E$5,F$6&gt;=$D$129),1,0),IF(AND(G17=E$5,F$6&gt;=$D$129),1,0),IF(E17&amp;H17=H$5,4,0),IF(AND(E17=E$5,F$6&lt;=$D$104),-0.5,0),IF(AND(F17=E$5,F$6&lt;=$D$104),-0.5,0),IF(AND(G17=E$5,F$6&lt;=$D$104),-0.5,0))</f>
        <v/>
      </c>
      <c r="J17" s="148" t="n">
        <v>3</v>
      </c>
      <c r="K17" s="149" t="n">
        <v>8</v>
      </c>
      <c r="L17" s="150" t="n">
        <v>5</v>
      </c>
      <c r="M17" s="145" t="n"/>
      <c r="N17" s="602">
        <f>SUM(IF(J17=J$5,4,0),IF(J17&amp;K17=J$5&amp;K$5,1,0),
IF(AND(J17=J$5,K$6&gt;=$D$115),1,0),
IF(AND(K17=J$5,K$6&gt;=$D$115),1,0),
IF(AND(L17=J$5,K$6&gt;=$D$115),1,0),
IF(J17&amp;M17=N$5,1,0),
IF(K17=J$5,2,0),
IF(L17=J$5,1,0),
IF(OR(J17&amp;K17&amp;L17=J$5&amp;K$5&amp;L$5,J17&amp;K17&amp;L17=J$5&amp;L$5&amp;K$5,J17&amp;K17&amp;L17=K$5&amp;J$5&amp;L$5,J17&amp;K17&amp;L17=K$5&amp;L$5&amp;J$5,J17&amp;K17&amp;L17=L$5&amp;J$5&amp;K$5,J17&amp;K17&amp;L17=L$5&amp;K$5&amp;J$5),2,0),IF(AND(J17=J$5,K$6&gt;=$D$129),1,0),IF(AND(K17=J$5,K$6&gt;=$D$129),1,0),IF(AND(L17=J$5,K$6&gt;=$D$129),1,0),IF(J17&amp;M17=M$5,4,0),IF(AND(J17=J$5,K$6&lt;=$D$104),-0.5,0),IF(AND(K17=J$5,K$6&lt;=$D$104),-0.5,0),IF(AND(L17=J$5,K$6&lt;=$D$104),-0.5,0))</f>
        <v/>
      </c>
      <c r="O17" s="148" t="n">
        <v>8</v>
      </c>
      <c r="P17" s="149" t="n">
        <v>3</v>
      </c>
      <c r="Q17" s="150" t="n">
        <v>6</v>
      </c>
      <c r="R17" s="145" t="n"/>
      <c r="S17" s="602">
        <f>SUM(IF(O17=O$5,4,0),IF(O17&amp;P17=O$5&amp;P$5,1,0),
IF(AND(O17=O$5,P$6&gt;=$D$115),1,0),
IF(AND(P17=O$5,P$6&gt;=$D$115),1,0),
IF(AND(Q17=O$5,P$6&gt;=$D$115),1,0),
IF(O17&amp;R17=S$5,1,0),
IF(P17=O$5,2,0),
IF(Q17=O$5,1,0),
IF(OR(O17&amp;P17&amp;Q17=O$5&amp;P$5&amp;Q$5,O17&amp;P17&amp;Q17=O$5&amp;Q$5&amp;P$5,O17&amp;P17&amp;Q17=P$5&amp;O$5&amp;Q$5,O17&amp;P17&amp;Q17=P$5&amp;Q$5&amp;O$5,O17&amp;P17&amp;Q17=Q$5&amp;O$5&amp;P$5,O17&amp;P17&amp;Q17=Q$5&amp;P$5&amp;O$5),2,0),IF(AND(O17=O$5,P$6&gt;=$D$129),1,0),IF(AND(P17=O$5,P$6&gt;=$D$129),1,0),IF(AND(Q17=O$5,P$6&gt;=$D$129),1,0),IF(O17&amp;R17=R$5,4,0),IF(AND(O17=O$5,P$6&lt;=$D$104),-0.5,0),IF(AND(P17=O$5,P$6&lt;=$D$104),-0.5,0),IF(AND(Q17=O$5,P$6&lt;=$D$104),-0.5,0))</f>
        <v/>
      </c>
      <c r="T17" s="148" t="n">
        <v>6</v>
      </c>
      <c r="U17" s="149" t="n">
        <v>8</v>
      </c>
      <c r="V17" s="150" t="n">
        <v>1</v>
      </c>
      <c r="W17" s="145" t="inlineStr">
        <is>
          <t>F</t>
        </is>
      </c>
      <c r="X17" s="602">
        <f>SUM(IF(T17=T$5,4,0),IF(T17&amp;U17=T$5&amp;U$5,1,0),
IF(AND(T17=T$5,U$6&gt;=$D$115),1,0),
IF(AND(U17=T$5,U$6&gt;=$D$115),1,0),
IF(AND(V17=T$5,U$6&gt;=$D$115),1,0),
IF(T17&amp;W17=X$5,1,0),
IF(U17=T$5,2,0),
IF(V17=T$5,1,0),
IF(OR(T17&amp;U17&amp;V17=T$5&amp;U$5&amp;V$5,T17&amp;U17&amp;V17=T$5&amp;V$5&amp;U$5,T17&amp;U17&amp;V17=U$5&amp;T$5&amp;V$5,T17&amp;U17&amp;V17=U$5&amp;V$5&amp;T$5,T17&amp;U17&amp;V17=V$5&amp;T$5&amp;U$5,T17&amp;U17&amp;V17=V$5&amp;U$5&amp;T$5),2,0),IF(AND(T17=T$5,U$6&gt;=$D$129),1,0),IF(AND(U17=T$5,U$6&gt;=$D$129),1,0),IF(AND(V17=T$5,U$6&gt;=$D$129),1,0),IF(T17&amp;W17=W$5,4,0),IF(AND(T17=T$5,U$6&lt;=$D$104),-0.5,0),IF(AND(U17=T$5,U$6&lt;=$D$104),-0.5,0),IF(AND(V17=T$5,U$6&lt;=$D$104),-0.5,0))</f>
        <v/>
      </c>
      <c r="Y17" s="148" t="n">
        <v>5</v>
      </c>
      <c r="Z17" s="149" t="n"/>
      <c r="AA17" s="150" t="n"/>
      <c r="AB17" s="145" t="inlineStr">
        <is>
          <t>SF</t>
        </is>
      </c>
      <c r="AC17" s="602">
        <f>SUM(IF(Y17=Y$5,4,0),IF(Y17&amp;Z17=Y$5&amp;Z$5,1,0),
IF(AND(Y17=Y$5,Z$6&gt;=$D$115),1,0),
IF(AND(Z17=Y$5,Z$6&gt;=$D$115),1,0),
IF(AND(AA17=Y$5,Z$6&gt;=$D$115),1,0),
IF(Y17&amp;AB17=AC$5,1,0),
IF(Z17=Y$5,2,0),
IF(AA17=Y$5,1,0),
IF(OR(Y17&amp;Z17&amp;AA17=Y$5&amp;Z$5&amp;AA$5,Y17&amp;Z17&amp;AA17=Y$5&amp;AA$5&amp;Z$5,Y17&amp;Z17&amp;AA17=Z$5&amp;Y$5&amp;AA$5,Y17&amp;Z17&amp;AA17=Z$5&amp;AA$5&amp;Y$5,Y17&amp;Z17&amp;AA17=AA$5&amp;Y$5&amp;Z$5,Y17&amp;Z17&amp;AA17=AA$5&amp;Z$5&amp;Y$5),2,0),IF(AND(Y17=Y$5,Z$6&gt;=$D$129),1,0),IF(AND(Z17=Y$5,Z$6&gt;=$D$129),1,0),IF(AND(AA17=Y$5,Z$6&gt;=$D$129),1,0),IF(Y17&amp;AB17=AB$5,4,0),IF(AND(Y17=Y$5,Z$6&lt;=$D$104),-0.5,0),IF(AND(Z17=Y$5,Z$6&lt;=$D$104),-0.5,0),IF(AND(AA17=Y$5,Z$6&lt;=$D$104),-0.5,0))</f>
        <v/>
      </c>
      <c r="AD17" s="148" t="n">
        <v>2</v>
      </c>
      <c r="AE17" s="149" t="n">
        <v>5</v>
      </c>
      <c r="AF17" s="150" t="n">
        <v>7</v>
      </c>
      <c r="AG17" s="145" t="n"/>
      <c r="AH17" s="602">
        <f>SUM(IF(AD17=AD$5,4,0),IF(AD17&amp;AE17=AD$5&amp;AE$5,1,0),
IF(AND(AD17=AD$5,AE$6&gt;=$D$115),1,0),
IF(AND(AE17=AD$5,AE$6&gt;=$D$115),1,0),
IF(AND(AF17=AD$5,AE$6&gt;=$D$115),1,0),
IF(AD17&amp;AG17=AH$5,1,0),
IF(AE17=AD$5,2,0),
IF(AF17=AD$5,1,0),
IF(OR(AD17&amp;AE17&amp;AF17=AD$5&amp;AE$5&amp;AF$5,AD17&amp;AE17&amp;AF17=AD$5&amp;AF$5&amp;AE$5,AD17&amp;AE17&amp;AF17=AE$5&amp;AD$5&amp;AF$5,AD17&amp;AE17&amp;AF17=AE$5&amp;AF$5&amp;AD$5,AD17&amp;AE17&amp;AF17=AF$5&amp;AD$5&amp;AE$5,AD17&amp;AE17&amp;AF17=AF$5&amp;AE$5&amp;AD$5),2,0),IF(AND(AD17=AD$5,AE$6&gt;=$D$129),1,0),IF(AND(AE17=AD$5,AE$6&gt;=$D$129),1,0),IF(AND(AF17=AD$5,AE$6&gt;=$D$129),1,0),IF(AD17&amp;AG17=AG$5,4,0),IF(AND(AD17=AD$5,AE$6&lt;=$D$104),-0.5,0),IF(AND(AE17=AD$5,AE$6&lt;=$D$104),-0.5,0),IF(AND(AF17=AD$5,AE$6&lt;=$D$104),-0.5,0))</f>
        <v/>
      </c>
      <c r="AI17" s="148" t="n">
        <v>7</v>
      </c>
      <c r="AJ17" s="149" t="n">
        <v>4</v>
      </c>
      <c r="AK17" s="150" t="n">
        <v>3</v>
      </c>
      <c r="AL17" s="145" t="n"/>
      <c r="AM17" s="602">
        <f>SUM(IF(AI17=AI$5,4,0),IF(AI17&amp;AJ17=AI$5&amp;AJ$5,1,0),
IF(AND(AI17=AI$5,AJ$6&gt;=$D$115),1,0),
IF(AND(AJ17=AI$5,AJ$6&gt;=$D$115),1,0),
IF(AND(AK17=AI$5,AJ$6&gt;=$D$115),1,0),
IF(AI17&amp;AL17=AM$5,1,0),
IF(AJ17=AI$5,2,0),
IF(AK17=AI$5,1,0),
IF(OR(AI17&amp;AJ17&amp;AK17=AI$5&amp;AJ$5&amp;AK$5,AI17&amp;AJ17&amp;AK17=AI$5&amp;AK$5&amp;AJ$5,AI17&amp;AJ17&amp;AK17=AJ$5&amp;AI$5&amp;AK$5,AI17&amp;AJ17&amp;AK17=AJ$5&amp;AK$5&amp;AI$5,AI17&amp;AJ17&amp;AK17=AK$5&amp;AI$5&amp;AJ$5,AI17&amp;AJ17&amp;AK17=AK$5&amp;AJ$5&amp;AI$5),2,0),IF(AND(AI17=AI$5,AJ$6&gt;=$D$129),1,0),IF(AND(AJ17=AI$5,AJ$6&gt;=$D$129),1,0),IF(AND(AK17=AI$5,AJ$6&gt;=$D$129),1,0),IF(AI17&amp;AL17=AL$5,4,0),IF(AND(AI17=AI$5,AJ$6&lt;=$D$104),-0.5,0),IF(AND(AJ17=AI$5,AJ$6&lt;=$D$104),-0.5,0),IF(AND(AK17=AI$5,AJ$6&lt;=$D$104),-0.5,0))</f>
        <v/>
      </c>
      <c r="AN17" s="148" t="n">
        <v>11</v>
      </c>
      <c r="AO17" s="149" t="n">
        <v>8</v>
      </c>
      <c r="AP17" s="150" t="n">
        <v>9</v>
      </c>
      <c r="AQ17" s="145" t="n"/>
      <c r="AR17" s="602">
        <f>SUM(IF(AN17=AN$5,4,0),IF(AN17&amp;AO17=AN$5&amp;AO$5,1,0),
IF(AND(AN17=AN$5,AO$6&gt;=$D$115),1,0),
IF(AND(AO17=AN$5,AO$6&gt;=$D$115),1,0),
IF(AND(AP17=AN$5,AO$6&gt;=$D$115),1,0),
IF(AN17&amp;AQ17=AR$5,1,0),
IF(AO17=AN$5,2,0),
IF(AP17=AN$5,1,0),
IF(OR(AN17&amp;AO17&amp;AP17=AN$5&amp;AO$5&amp;AP$5,AN17&amp;AO17&amp;AP17=AN$5&amp;AP$5&amp;AO$5,AN17&amp;AO17&amp;AP17=AO$5&amp;AN$5&amp;AP$5,AN17&amp;AO17&amp;AP17=AO$5&amp;AP$5&amp;AN$5,AN17&amp;AO17&amp;AP17=AP$5&amp;AN$5&amp;AO$5,AN17&amp;AO17&amp;AP17=AP$5&amp;AO$5&amp;AN$5),2,0),IF(AND(AN17=AN$5,AO$6&gt;=$D$129),1,0),IF(AND(AO17=AN$5,AO$6&gt;=$D$129),1,0),IF(AND(AP17=AN$5,AO$6&gt;=$D$129),1,0),IF(AN17&amp;AQ17=AQ$5,4,0),IF(AND(AN17=AN$5,AO$6&lt;=$D$104),-0.5,0),IF(AND(AO17=AN$5,AO$6&lt;=$D$104),-0.5,0),IF(AND(AP17=AN$5,AO$6&lt;=$D$104),-0.5,0))</f>
        <v/>
      </c>
      <c r="AS17" s="148" t="n">
        <v>7</v>
      </c>
      <c r="AT17" s="149" t="n">
        <v>1</v>
      </c>
      <c r="AU17" s="150" t="n">
        <v>3</v>
      </c>
      <c r="AV17" s="145" t="n"/>
      <c r="AW17" s="602">
        <f>SUM(IF(AS17=AS$5,4,0),IF(AS17&amp;AT17=AS$5&amp;AT$5,1,0),
IF(AND(AS17=AS$5,AT$6&gt;=$D$115),1,0),
IF(AND(AT17=AS$5,AT$6&gt;=$D$115),1,0),
IF(AND(AU17=AS$5,AT$6&gt;=$D$115),1,0),
IF(AS17&amp;AV17=AW$5,1,0),
IF(AT17=AS$5,2,0),
IF(AU17=AS$5,1,0),
IF(OR(AS17&amp;AT17&amp;AU17=AS$5&amp;AT$5&amp;AU$5,AS17&amp;AT17&amp;AU17=AS$5&amp;AU$5&amp;AT$5,AS17&amp;AT17&amp;AU17=AT$5&amp;AS$5&amp;AU$5,AS17&amp;AT17&amp;AU17=AT$5&amp;AU$5&amp;AS$5,AS17&amp;AT17&amp;AU17=AU$5&amp;AS$5&amp;AT$5,AS17&amp;AT17&amp;AU17=AU$5&amp;AT$5&amp;AS$5),2,0),IF(AND(AS17=AS$5,AT$6&gt;=$D$129),1,0),IF(AND(AT17=AS$5,AT$6&gt;=$D$129),1,0),IF(AND(AU17=AS$5,AT$6&gt;=$D$129),1,0),IF(AS17&amp;AV17=AV$5,4,0),IF(AND(AS17=AS$5,AT$6&lt;=$D$104),-0.5,0),IF(AND(AT17=AS$5,AT$6&lt;=$D$104),-0.5,0),IF(AND(AU17=AS$5,AT$6&lt;=$D$104),-0.5,0))</f>
        <v/>
      </c>
      <c r="AX17" s="148" t="n">
        <v>1</v>
      </c>
      <c r="AY17" s="149" t="n">
        <v>9</v>
      </c>
      <c r="AZ17" s="150" t="n">
        <v>8</v>
      </c>
      <c r="BA17" s="145" t="n"/>
      <c r="BB17" s="602">
        <f>SUM(IF(AX17=AX$5,4,0),IF(AX17&amp;AY17=AX$5&amp;AY$5,1,0),
IF(AND(AX17=AX$5,AY$6&gt;=$D$115),1,0),
IF(AND(AY17=AX$5,AY$6&gt;=$D$115),1,0),
IF(AND(AZ17=AX$5,AY$6&gt;=$D$115),1,0),
IF(AX17&amp;BA17=BB$5,1,0),
IF(AY17=AX$5,2,0),
IF(AZ17=AX$5,1,0),
IF(OR(AX17&amp;AY17&amp;AZ17=AX$5&amp;AY$5&amp;AZ$5,AX17&amp;AY17&amp;AZ17=AX$5&amp;AZ$5&amp;AY$5,AX17&amp;AY17&amp;AZ17=AY$5&amp;AX$5&amp;AZ$5,AX17&amp;AY17&amp;AZ17=AY$5&amp;AZ$5&amp;AX$5,AX17&amp;AY17&amp;AZ17=AZ$5&amp;AX$5&amp;AY$5,AX17&amp;AY17&amp;AZ17=AZ$5&amp;AY$5&amp;AX$5),2,0),IF(AND(AX17=AX$5,AY$6&gt;=$D$129),1,0),IF(AND(AY17=AX$5,AY$6&gt;=$D$129),1,0),IF(AND(AZ17=AX$5,AY$6&gt;=$D$129),1,0),IF(AX17&amp;BA17=BA$5,4,0),IF(AND(AX17=AX$5,AY$6&lt;=$D$104),-0.5,0),IF(AND(AY17=AX$5,AY$6&lt;=$D$104),-0.5,0),IF(AND(AZ17=AX$5,AY$6&lt;=$D$104),-0.5,0))</f>
        <v/>
      </c>
      <c r="BC17" s="148" t="n">
        <v>7</v>
      </c>
      <c r="BD17" s="149" t="n">
        <v>4</v>
      </c>
      <c r="BE17" s="150" t="n">
        <v>3</v>
      </c>
      <c r="BF17" s="145" t="n"/>
      <c r="BG17" s="602">
        <f>SUM(IF(BC17=BC$5,4,0),IF(BC17&amp;BD17=BC$5&amp;BD$5,1,0),
IF(AND(BC17=BC$5,BD$6&gt;=$D$115),1,0),
IF(AND(BD17=BC$5,BD$6&gt;=$D$115),1,0),
IF(AND(BE17=BC$5,BD$6&gt;=$D$115),1,0),
IF(BC17&amp;BF17=BG$5,1,0),
IF(BD17=BC$5,2,0),
IF(BE17=BC$5,1,0),
IF(OR(BC17&amp;BD17&amp;BE17=BC$5&amp;BD$5&amp;BE$5,BC17&amp;BD17&amp;BE17=BC$5&amp;BE$5&amp;BD$5,BC17&amp;BD17&amp;BE17=BD$5&amp;BC$5&amp;BE$5,BC17&amp;BD17&amp;BE17=BD$5&amp;BE$5&amp;BC$5,BC17&amp;BD17&amp;BE17=BE$5&amp;BC$5&amp;BD$5,BC17&amp;BD17&amp;BE17=BE$5&amp;BD$5&amp;BC$5),2,0),IF(AND(BC17=BC$5,BD$6&gt;=$D$129),1,0),IF(AND(BD17=BC$5,BD$6&gt;=$D$129),1,0),IF(AND(BE17=BC$5,BD$6&gt;=$D$129),1,0),IF(BC17&amp;BF17=BF$5,4,0),IF(AND(BC17=BC$5,BD$6&lt;=$D$104),-0.5,0),IF(AND(BD17=BC$5,BD$6&lt;=$D$104),-0.5,0),IF(AND(BE17=BC$5,BD$6&lt;=$D$104),-0.5,0))</f>
        <v/>
      </c>
      <c r="BH17" s="148" t="n">
        <v>5</v>
      </c>
      <c r="BI17" s="149" t="n">
        <v>1</v>
      </c>
      <c r="BJ17" s="150" t="n">
        <v>6</v>
      </c>
      <c r="BK17" s="145" t="n"/>
      <c r="BL17" s="602">
        <f>SUM(IF(BH17=BH$5,4,0),IF(BH17&amp;BI17=BH$5&amp;BI$5,1,0),
IF(AND(BH17=BH$5,BI$6&gt;=$D$115),1,0),
IF(AND(BI17=BH$5,BI$6&gt;=$D$115),1,0),
IF(AND(BJ17=BH$5,BI$6&gt;=$D$115),1,0),
IF(BH17&amp;BK17=BL$5,1,0),
IF(BI17=BH$5,2,0),
IF(BJ17=BH$5,1,0),
IF(OR(BH17&amp;BI17&amp;BJ17=BH$5&amp;BI$5&amp;BJ$5,BH17&amp;BI17&amp;BJ17=BH$5&amp;BJ$5&amp;BI$5,BH17&amp;BI17&amp;BJ17=BI$5&amp;BH$5&amp;BJ$5,BH17&amp;BI17&amp;BJ17=BI$5&amp;BJ$5&amp;BH$5,BH17&amp;BI17&amp;BJ17=BJ$5&amp;BH$5&amp;BI$5,BH17&amp;BI17&amp;BJ17=BJ$5&amp;BI$5&amp;BH$5),2,0),IF(AND(BH17=BH$5,BI$6&gt;=$D$129),1,0),IF(AND(BI17=BH$5,BI$6&gt;=$D$129),1,0),IF(AND(BJ17=BH$5,BI$6&gt;=$D$129),1,0),IF(BH17&amp;BK17=BK$5,4,0),IF(AND(BH17=BH$5,BI$6&lt;=$D$104),-0.5,0),IF(AND(BI17=BH$5,BI$6&lt;=$D$104),-0.5,0),IF(AND(BJ17=BH$5,BI$6&lt;=$D$104),-0.5,0))</f>
        <v/>
      </c>
      <c r="BM17" s="148" t="n">
        <v>1</v>
      </c>
      <c r="BN17" s="149" t="n">
        <v>3</v>
      </c>
      <c r="BO17" s="150" t="n">
        <v>12</v>
      </c>
      <c r="BP17" s="145" t="inlineStr">
        <is>
          <t>F</t>
        </is>
      </c>
      <c r="BQ17" s="602">
        <f>SUM(IF(BM17=BM$5,4,0),IF(BM17&amp;BN17=BM$5&amp;BN$5,1,0),
IF(AND(BM17=BM$5,BN$6&gt;=$D$115),1,0),
IF(AND(BN17=BM$5,BN$6&gt;=$D$115),1,0),
IF(AND(BO17=BM$5,BN$6&gt;=$D$115),1,0),
IF(BM17&amp;BP17=BQ$5,1,0),
IF(BN17=BM$5,2,0),
IF(BO17=BM$5,1,0),
IF(OR(BM17&amp;BN17&amp;BO17=BM$5&amp;BN$5&amp;BO$5,BM17&amp;BN17&amp;BO17=BM$5&amp;BO$5&amp;BN$5,BM17&amp;BN17&amp;BO17=BN$5&amp;BM$5&amp;BO$5,BM17&amp;BN17&amp;BO17=BN$5&amp;BO$5&amp;BM$5,BM17&amp;BN17&amp;BO17=BO$5&amp;BM$5&amp;BN$5,BM17&amp;BN17&amp;BO17=BO$5&amp;BN$5&amp;BM$5),2,0),IF(AND(BM17=BM$5,BN$6&gt;=$D$129),1,0),IF(AND(BN17=BM$5,BN$6&gt;=$D$129),1,0),IF(AND(BO17=BM$5,BN$6&gt;=$D$129),1,0),IF(BM17&amp;BP17=BP$5,4,0),IF(AND(BM17=BM$5,BN$6&lt;=$D$104),-0.5,0),IF(AND(BN17=BM$5,BN$6&lt;=$D$104),-0.5,0),IF(AND(BO17=BM$5,BN$6&lt;=$D$104),-0.5,0))</f>
        <v/>
      </c>
      <c r="BR17" s="148" t="n"/>
      <c r="BS17" s="149" t="n"/>
      <c r="BT17" s="150" t="n"/>
      <c r="BU17" s="145" t="n"/>
      <c r="BV17" s="602">
        <f>SUM(IF(BR17=BR$5,4,0),IF(BR17&amp;BS17=BR$5&amp;BS$5,1,0),
IF(AND(BR17=BR$5,BS$6&gt;=$D$115),1,0),
IF(AND(BS17=BR$5,BS$6&gt;=$D$115),1,0),
IF(AND(BT17=BR$5,BS$6&gt;=$D$115),1,0),
IF(BR17&amp;BU17=BV$5,1,0),
IF(BS17=BR$5,2,0),
IF(BT17=BR$5,1,0),
IF(OR(BR17&amp;BS17&amp;BT17=BR$5&amp;BS$5&amp;BT$5,BR17&amp;BS17&amp;BT17=BR$5&amp;BT$5&amp;BS$5,BR17&amp;BS17&amp;BT17=BS$5&amp;BR$5&amp;BT$5,BR17&amp;BS17&amp;BT17=BS$5&amp;BT$5&amp;BR$5,BR17&amp;BS17&amp;BT17=BT$5&amp;BR$5&amp;BS$5,BR17&amp;BS17&amp;BT17=BT$5&amp;BS$5&amp;BR$5),2,0),IF(AND(BR17=BR$5,BS$6&gt;=$D$129),1,0),IF(AND(BS17=BR$5,BS$6&gt;=$D$129),1,0),IF(AND(BT17=BR$5,BS$6&gt;=$D$129),1,0),IF(BR17&amp;BU17=BU$5,4,0),IF(AND(BR17=BR$5,BS$6&lt;=$D$104),-0.5,0),IF(AND(BS17=BR$5,BS$6&lt;=$D$104),-0.5,0),IF(AND(BT17=BR$5,BS$6&lt;=$D$104),-0.5,0))</f>
        <v/>
      </c>
      <c r="BW17" s="148" t="n"/>
      <c r="BX17" s="149" t="n"/>
      <c r="BY17" s="150" t="n"/>
      <c r="BZ17" s="145" t="n"/>
      <c r="CA17" s="602">
        <f>SUM(IF(BW17=BW$5,4,0),IF(BW17&amp;BX17=BW$5&amp;BX$5,1,0),
IF(AND(BW17=BW$5,BX$6&gt;=$D$115),1,0),
IF(AND(BX17=BW$5,BX$6&gt;=$D$115),1,0),
IF(AND(BY17=BW$5,BX$6&gt;=$D$115),1,0),
IF(BW17&amp;BZ17=CA$5,1,0),
IF(BX17=BW$5,2,0),
IF(BY17=BW$5,1,0),
IF(OR(BW17&amp;BX17&amp;BY17=BW$5&amp;BX$5&amp;BY$5,BW17&amp;BX17&amp;BY17=BW$5&amp;BY$5&amp;BX$5,BW17&amp;BX17&amp;BY17=BX$5&amp;BW$5&amp;BY$5,BW17&amp;BX17&amp;BY17=BX$5&amp;BY$5&amp;BW$5,BW17&amp;BX17&amp;BY17=BY$5&amp;BW$5&amp;BX$5,BW17&amp;BX17&amp;BY17=BY$5&amp;BX$5&amp;BW$5),2,0),IF(AND(BW17=BW$5,BX$6&gt;=$D$129),1,0),IF(AND(BX17=BW$5,BX$6&gt;=$D$129),1,0),IF(AND(BY17=BW$5,BX$6&gt;=$D$129),1,0),IF(BW17&amp;BZ17=BZ$5,4,0),IF(AND(BW17=BW$5,BX$6&lt;=$D$104),-0.5,0),IF(AND(BX17=BW$5,BX$6&lt;=$D$104),-0.5,0),IF(AND(BY17=BW$5,BX$6&lt;=$D$104),-0.5,0))</f>
        <v/>
      </c>
      <c r="CB17" s="148" t="n"/>
      <c r="CC17" s="149" t="n"/>
      <c r="CD17" s="150" t="n"/>
      <c r="CE17" s="145" t="n"/>
      <c r="CF17" s="602">
        <f>SUM(IF(CB17=CB$5,4,0),IF(CB17&amp;CC17=CB$5&amp;CC$5,1,0),
IF(AND(CB17=CB$5,CC$6&gt;=$D$115),1,0),
IF(AND(CC17=CB$5,CC$6&gt;=$D$115),1,0),
IF(AND(CD17=CB$5,CC$6&gt;=$D$115),1,0),
IF(CB17&amp;CE17=CF$5,1,0),
IF(CC17=CB$5,2,0),
IF(CD17=CB$5,1,0),
IF(OR(CB17&amp;CC17&amp;CD17=CB$5&amp;CC$5&amp;CD$5,CB17&amp;CC17&amp;CD17=CB$5&amp;CD$5&amp;CC$5,CB17&amp;CC17&amp;CD17=CC$5&amp;CB$5&amp;CD$5,CB17&amp;CC17&amp;CD17=CC$5&amp;CD$5&amp;CB$5,CB17&amp;CC17&amp;CD17=CD$5&amp;CB$5&amp;CC$5,CB17&amp;CC17&amp;CD17=CD$5&amp;CC$5&amp;CB$5),2,0),IF(AND(CB17=CB$5,CC$6&gt;=$D$129),1,0),IF(AND(CC17=CB$5,CC$6&gt;=$D$129),1,0),IF(AND(CD17=CB$5,CC$6&gt;=$D$129),1,0),IF(CB17&amp;CE17=CE$5,4,0),IF(AND(CB17=CB$5,CC$6&lt;=$D$104),-0.5,0),IF(AND(CC17=CB$5,CC$6&lt;=$D$104),-0.5,0),IF(AND(CD17=CB$5,CC$6&lt;=$D$104),-0.5,0))</f>
        <v/>
      </c>
      <c r="CG17" s="164">
        <f>IF(BASE01[[#This Row],[1]]="",0,$B$4)</f>
        <v/>
      </c>
      <c r="CH17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7" s="166">
        <f>IF(BASE01[[#This Row],[Columna14]]=0,0,(CH17/CG17))</f>
        <v/>
      </c>
      <c r="CJ17" s="165">
        <f>IF(BASE01[[#This Row],[1]]="",0,$B$4)</f>
        <v/>
      </c>
      <c r="CK17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7" s="166">
        <f>IF(BASE01[[#This Row],[Columna14]]=0,0,(CK17/CJ17))</f>
        <v/>
      </c>
      <c r="CM17" s="164">
        <f>IF(BASE01[[#This Row],[1]]="",0,$B$4)</f>
        <v/>
      </c>
      <c r="CN17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7" s="166">
        <f>IF(BASE01[[#This Row],[Columna14]]=0,0,(CN17/CM17))</f>
        <v/>
      </c>
      <c r="CP17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7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Row],[Columna25]],$AX$5,BA17,"SF")+COUNTIFS(BASE01[[#This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7" s="166">
        <f>IF(BASE01[[#This Row],[Columna14]]=0,0,(CQ17/CP17))</f>
        <v/>
      </c>
      <c r="CS17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7" s="95" t="n"/>
      <c r="CU17" s="604">
        <f>SUM(CS17,CT17)</f>
        <v/>
      </c>
      <c r="CV17" s="96">
        <f>IF(BASE01[[#This Row],[TIPO]]="PREMIO",$O$3,"0,00")</f>
        <v/>
      </c>
      <c r="CW17" s="576" t="n"/>
      <c r="CY17" s="393" t="n">
        <v>10</v>
      </c>
      <c r="CZ17" s="354">
        <f>$AY$6</f>
        <v/>
      </c>
      <c r="DB17" s="605">
        <f>BASE01[[#This Row],[COD]]</f>
        <v/>
      </c>
      <c r="DC17" s="395">
        <f t="array" ref="DC17">IFERROR(IF(AND(INDEX($E$8:$CE$57, MATCH($C17, $C$8:$C$57, 0), (COLUMNS($DC17:DC17)-1)*5 + 1) = INDEX($E$5:$CE$5, 1, (COLUMNS($DC17:DC17)-1)*5 + 1), INDEX($E$8:$CE$57, MATCH($C17, $C$8:$C$57, 0), (COLUMNS($DC17:DC17)-1)*5 + 4) = "F"), INDEX($CZ$8:$CZ$23, COLUMNS($DC17:DC17)), "0"), "")</f>
        <v/>
      </c>
      <c r="DD17" s="395">
        <f t="array" ref="DD17">IFERROR(IF(AND(INDEX($E$8:$CE$57, MATCH($C17, $C$8:$C$57, 0), (COLUMNS($DC17:DD17)-1)*5 + 1) = INDEX($E$5:$CE$5, 1, (COLUMNS($DC17:DD17)-1)*5 + 1), INDEX($E$8:$CE$57, MATCH($C17, $C$8:$C$57, 0), (COLUMNS($DC17:DD17)-1)*5 + 4) = "F"), INDEX($CZ$8:$CZ$23, COLUMNS($DC17:DD17)), "0"), "")</f>
        <v/>
      </c>
      <c r="DE17" s="395">
        <f t="array" ref="DE17">IFERROR(IF(AND(INDEX($E$8:$CE$57, MATCH($C17, $C$8:$C$57, 0), (COLUMNS($DC17:DE17)-1)*5 + 1) = INDEX($E$5:$CE$5, 1, (COLUMNS($DC17:DE17)-1)*5 + 1), INDEX($E$8:$CE$57, MATCH($C17, $C$8:$C$57, 0), (COLUMNS($DC17:DE17)-1)*5 + 4) = "F"), INDEX($CZ$8:$CZ$23, COLUMNS($DC17:DE17)), "0"), "")</f>
        <v/>
      </c>
      <c r="DF17" s="395">
        <f t="array" ref="DF17">IFERROR(IF(AND(INDEX($E$8:$CE$57, MATCH($C17, $C$8:$C$57, 0), (COLUMNS($DC17:DF17)-1)*5 + 1) = INDEX($E$5:$CE$5, 1, (COLUMNS($DC17:DF17)-1)*5 + 1), INDEX($E$8:$CE$57, MATCH($C17, $C$8:$C$57, 0), (COLUMNS($DC17:DF17)-1)*5 + 4) = "F"), INDEX($CZ$8:$CZ$23, COLUMNS($DC17:DF17)), "0"), "")</f>
        <v/>
      </c>
      <c r="DG17" s="395">
        <f t="array" ref="DG17">IFERROR(IF(AND(INDEX($E$8:$CE$57, MATCH($C17, $C$8:$C$57, 0), (COLUMNS($DC17:DG17)-1)*5 + 1) = INDEX($E$5:$CE$5, 1, (COLUMNS($DC17:DG17)-1)*5 + 1), INDEX($E$8:$CE$57, MATCH($C17, $C$8:$C$57, 0), (COLUMNS($DC17:DG17)-1)*5 + 4) = "F"), INDEX($CZ$8:$CZ$23, COLUMNS($DC17:DG17)), "0"), "")</f>
        <v/>
      </c>
      <c r="DH17" s="395">
        <f t="array" ref="DH17">IFERROR(IF(AND(INDEX($E$8:$CE$57, MATCH($C17, $C$8:$C$57, 0), (COLUMNS($DC17:DH17)-1)*5 + 1) = INDEX($E$5:$CE$5, 1, (COLUMNS($DC17:DH17)-1)*5 + 1), INDEX($E$8:$CE$57, MATCH($C17, $C$8:$C$57, 0), (COLUMNS($DC17:DH17)-1)*5 + 4) = "F"), INDEX($CZ$8:$CZ$23, COLUMNS($DC17:DH17)), "0"), "")</f>
        <v/>
      </c>
      <c r="DI17" s="395">
        <f t="array" ref="DI17">IFERROR(IF(AND(INDEX($E$8:$CE$57, MATCH($C17, $C$8:$C$57, 0), (COLUMNS($DC17:DI17)-1)*5 + 1) = INDEX($E$5:$CE$5, 1, (COLUMNS($DC17:DI17)-1)*5 + 1), INDEX($E$8:$CE$57, MATCH($C17, $C$8:$C$57, 0), (COLUMNS($DC17:DI17)-1)*5 + 4) = "F"), INDEX($CZ$8:$CZ$23, COLUMNS($DC17:DI17)), "0"), "")</f>
        <v/>
      </c>
      <c r="DJ17" s="395">
        <f t="array" ref="DJ17">IFERROR(IF(AND(INDEX($E$8:$CE$57, MATCH($C17, $C$8:$C$57, 0), (COLUMNS($DC17:DJ17)-1)*5 + 1) = INDEX($E$5:$CE$5, 1, (COLUMNS($DC17:DJ17)-1)*5 + 1), INDEX($E$8:$CE$57, MATCH($C17, $C$8:$C$57, 0), (COLUMNS($DC17:DJ17)-1)*5 + 4) = "F"), INDEX($CZ$8:$CZ$23, COLUMNS($DC17:DJ17)), "0"), "")</f>
        <v/>
      </c>
      <c r="DK17" s="395">
        <f t="array" ref="DK17">IFERROR(IF(AND(INDEX($E$8:$CE$57, MATCH($C17, $C$8:$C$57, 0), (COLUMNS($DC17:DK17)-1)*5 + 1) = INDEX($E$5:$CE$5, 1, (COLUMNS($DC17:DK17)-1)*5 + 1), INDEX($E$8:$CE$57, MATCH($C17, $C$8:$C$57, 0), (COLUMNS($DC17:DK17)-1)*5 + 4) = "F"), INDEX($CZ$8:$CZ$23, COLUMNS($DC17:DK17)), "0"), "")</f>
        <v/>
      </c>
      <c r="DL17" s="395">
        <f t="array" ref="DL17">IFERROR(IF(AND(INDEX($E$8:$CE$57, MATCH($C17, $C$8:$C$57, 0), (COLUMNS($DC17:DL17)-1)*5 + 1) = INDEX($E$5:$CE$5, 1, (COLUMNS($DC17:DL17)-1)*5 + 1), INDEX($E$8:$CE$57, MATCH($C17, $C$8:$C$57, 0), (COLUMNS($DC17:DL17)-1)*5 + 4) = "F"), INDEX($CZ$8:$CZ$23, COLUMNS($DC17:DL17)), "0"), "")</f>
        <v/>
      </c>
      <c r="DM17" s="395">
        <f t="array" ref="DM17">IFERROR(IF(AND(INDEX($E$8:$CE$57, MATCH($C17, $C$8:$C$57, 0), (COLUMNS($DC17:DM17)-1)*5 + 1) = INDEX($E$5:$CE$5, 1, (COLUMNS($DC17:DM17)-1)*5 + 1), INDEX($E$8:$CE$57, MATCH($C17, $C$8:$C$57, 0), (COLUMNS($DC17:DM17)-1)*5 + 4) = "F"), INDEX($CZ$8:$CZ$23, COLUMNS($DC17:DM17)), "0"), "")</f>
        <v/>
      </c>
      <c r="DN17" s="395">
        <f t="array" ref="DN17">IFERROR(IF(AND(INDEX($E$8:$CE$57, MATCH($C17, $C$8:$C$57, 0), (COLUMNS($DC17:DN17)-1)*5 + 1) = INDEX($E$5:$CE$5, 1, (COLUMNS($DC17:DN17)-1)*5 + 1), INDEX($E$8:$CE$57, MATCH($C17, $C$8:$C$57, 0), (COLUMNS($DC17:DN17)-1)*5 + 4) = "F"), INDEX($CZ$8:$CZ$23, COLUMNS($DC17:DN17)), "0"), "")</f>
        <v/>
      </c>
      <c r="DO17" s="395">
        <f t="array" ref="DO17">IFERROR(IF(AND(INDEX($E$8:$CE$57, MATCH($C17, $C$8:$C$57, 0), (COLUMNS($DC17:DO17)-1)*5 + 1) = INDEX($E$5:$CE$5, 1, (COLUMNS($DC17:DO17)-1)*5 + 1), INDEX($E$8:$CE$57, MATCH($C17, $C$8:$C$57, 0), (COLUMNS($DC17:DO17)-1)*5 + 4) = "F"), INDEX($CZ$8:$CZ$23, COLUMNS($DC17:DO17)), "0"), "")</f>
        <v/>
      </c>
      <c r="DP17" s="395">
        <f t="array" ref="DP17">IFERROR(IF(AND(INDEX($E$8:$CE$57, MATCH($C17, $C$8:$C$57, 0), (COLUMNS($DC17:DP17)-1)*5 + 1) = INDEX($E$5:$CE$5, 1, (COLUMNS($DC17:DP17)-1)*5 + 1), INDEX($E$8:$CE$57, MATCH($C17, $C$8:$C$57, 0), (COLUMNS($DC17:DP17)-1)*5 + 4) = "F"), INDEX($CZ$8:$CZ$23, COLUMNS($DC17:DP17)), "0"), "")</f>
        <v/>
      </c>
      <c r="DQ17" s="395">
        <f t="array" ref="DQ17">IFERROR(IF(AND(INDEX($E$8:$CE$57, MATCH($C17, $C$8:$C$57, 0), (COLUMNS($DC17:DQ17)-1)*5 + 1) = INDEX($E$5:$CE$5, 1, (COLUMNS($DC17:DQ17)-1)*5 + 1), INDEX($E$8:$CE$57, MATCH($C17, $C$8:$C$57, 0), (COLUMNS($DC17:DQ17)-1)*5 + 4) = "F"), INDEX($CZ$8:$CZ$23, COLUMNS($DC17:DQ17)), "0"), "")</f>
        <v/>
      </c>
      <c r="DR17" s="395">
        <f t="array" ref="DR17">IFERROR(IF(AND(INDEX($E$8:$CE$57, MATCH($C17, $C$8:$C$57, 0), (COLUMNS($DC17:DR17)-1)*5 + 1) = INDEX($E$5:$CE$5, 1, (COLUMNS($DC17:DR17)-1)*5 + 1), INDEX($E$8:$CE$57, MATCH($C17, $C$8:$C$57, 0), (COLUMNS($DC17:DR17)-1)*5 + 4) = "F"), INDEX($CZ$8:$CZ$23, COLUMNS($DC17:DR17)), "0"), "")</f>
        <v/>
      </c>
      <c r="DT17" s="605">
        <f>BASE01[[#This Row],[COD]]</f>
        <v/>
      </c>
      <c r="DU17" s="395">
        <f t="array" ref="DU17">IFERROR(IF(AND(INDEX($E$8:$CE$57, MATCH($C17, $C$8:$C$57, 0), (COLUMNS($DU17:DU17)-1)*5 + 1) = INDEX($E$5:$CE$5, 1, (COLUMNS($DU17:DU17)-1)*5 + 1), INDEX($E$8:$CE$57, MATCH($C17, $C$8:$C$57, 0), (COLUMNS($DU17:DU17)-1)*5 + 4) = "SF"), INDEX($CZ$8:$CZ$23, COLUMNS($DU17:DU17)), "0"), "")</f>
        <v/>
      </c>
      <c r="DV17" s="395">
        <f t="array" ref="DV17">IFERROR(IF(AND(INDEX($E$8:$CE$57, MATCH($C17, $C$8:$C$57, 0), (COLUMNS($DU17:DV17)-1)*5 + 1) = INDEX($E$5:$CE$5, 1, (COLUMNS($DU17:DV17)-1)*5 + 1), INDEX($E$8:$CE$57, MATCH($C17, $C$8:$C$57, 0), (COLUMNS($DU17:DV17)-1)*5 + 4) = "SF"), INDEX($CZ$8:$CZ$23, COLUMNS($DU17:DV17)), "0"), "")</f>
        <v/>
      </c>
      <c r="DW17" s="395">
        <f t="array" ref="DW17">IFERROR(IF(AND(INDEX($E$8:$CE$57, MATCH($C17, $C$8:$C$57, 0), (COLUMNS($DU17:DW17)-1)*5 + 1) = INDEX($E$5:$CE$5, 1, (COLUMNS($DU17:DW17)-1)*5 + 1), INDEX($E$8:$CE$57, MATCH($C17, $C$8:$C$57, 0), (COLUMNS($DU17:DW17)-1)*5 + 4) = "SF"), INDEX($CZ$8:$CZ$23, COLUMNS($DU17:DW17)), "0"), "")</f>
        <v/>
      </c>
      <c r="DX17" s="395">
        <f t="array" ref="DX17">IFERROR(IF(AND(INDEX($E$8:$CE$57, MATCH($C17, $C$8:$C$57, 0), (COLUMNS($DU17:DX17)-1)*5 + 1) = INDEX($E$5:$CE$5, 1, (COLUMNS($DU17:DX17)-1)*5 + 1), INDEX($E$8:$CE$57, MATCH($C17, $C$8:$C$57, 0), (COLUMNS($DU17:DX17)-1)*5 + 4) = "SF"), INDEX($CZ$8:$CZ$23, COLUMNS($DU17:DX17)), "0"), "")</f>
        <v/>
      </c>
      <c r="DY17" s="395">
        <f t="array" ref="DY17">IFERROR(IF(AND(INDEX($E$8:$CE$57, MATCH($C17, $C$8:$C$57, 0), (COLUMNS($DU17:DY17)-1)*5 + 1) = INDEX($E$5:$CE$5, 1, (COLUMNS($DU17:DY17)-1)*5 + 1), INDEX($E$8:$CE$57, MATCH($C17, $C$8:$C$57, 0), (COLUMNS($DU17:DY17)-1)*5 + 4) = "SF"), INDEX($CZ$8:$CZ$23, COLUMNS($DU17:DY17)), "0"), "")</f>
        <v/>
      </c>
      <c r="DZ17" s="395">
        <f t="array" ref="DZ17">IFERROR(IF(AND(INDEX($E$8:$CE$57, MATCH($C17, $C$8:$C$57, 0), (COLUMNS($DU17:DZ17)-1)*5 + 1) = INDEX($E$5:$CE$5, 1, (COLUMNS($DU17:DZ17)-1)*5 + 1), INDEX($E$8:$CE$57, MATCH($C17, $C$8:$C$57, 0), (COLUMNS($DU17:DZ17)-1)*5 + 4) = "SF"), INDEX($CZ$8:$CZ$23, COLUMNS($DU17:DZ17)), "0"), "")</f>
        <v/>
      </c>
      <c r="EA17" s="395">
        <f t="array" ref="EA17">IFERROR(IF(AND(INDEX($E$8:$CE$57, MATCH($C17, $C$8:$C$57, 0), (COLUMNS($DU17:EA17)-1)*5 + 1) = INDEX($E$5:$CE$5, 1, (COLUMNS($DU17:EA17)-1)*5 + 1), INDEX($E$8:$CE$57, MATCH($C17, $C$8:$C$57, 0), (COLUMNS($DU17:EA17)-1)*5 + 4) = "SF"), INDEX($CZ$8:$CZ$23, COLUMNS($DU17:EA17)), "0"), "")</f>
        <v/>
      </c>
      <c r="EB17" s="395">
        <f t="array" ref="EB17">IFERROR(IF(AND(INDEX($E$8:$CE$57, MATCH($C17, $C$8:$C$57, 0), (COLUMNS($DU17:EB17)-1)*5 + 1) = INDEX($E$5:$CE$5, 1, (COLUMNS($DU17:EB17)-1)*5 + 1), INDEX($E$8:$CE$57, MATCH($C17, $C$8:$C$57, 0), (COLUMNS($DU17:EB17)-1)*5 + 4) = "SF"), INDEX($CZ$8:$CZ$23, COLUMNS($DU17:EB17)), "0"), "")</f>
        <v/>
      </c>
      <c r="EC17" s="395">
        <f t="array" ref="EC17">IFERROR(IF(AND(INDEX($E$8:$CE$57, MATCH($C17, $C$8:$C$57, 0), (COLUMNS($DU17:EC17)-1)*5 + 1) = INDEX($E$5:$CE$5, 1, (COLUMNS($DU17:EC17)-1)*5 + 1), INDEX($E$8:$CE$57, MATCH($C17, $C$8:$C$57, 0), (COLUMNS($DU17:EC17)-1)*5 + 4) = "SF"), INDEX($CZ$8:$CZ$23, COLUMNS($DU17:EC17)), "0"), "")</f>
        <v/>
      </c>
      <c r="ED17" s="395">
        <f t="array" ref="ED17">IFERROR(IF(AND(INDEX($E$8:$CE$57, MATCH($C17, $C$8:$C$57, 0), (COLUMNS($DU17:ED17)-1)*5 + 1) = INDEX($E$5:$CE$5, 1, (COLUMNS($DU17:ED17)-1)*5 + 1), INDEX($E$8:$CE$57, MATCH($C17, $C$8:$C$57, 0), (COLUMNS($DU17:ED17)-1)*5 + 4) = "SF"), INDEX($CZ$8:$CZ$23, COLUMNS($DU17:ED17)), "0"), "")</f>
        <v/>
      </c>
      <c r="EE17" s="395">
        <f t="array" ref="EE17">IFERROR(IF(AND(INDEX($E$8:$CE$57, MATCH($C17, $C$8:$C$57, 0), (COLUMNS($DU17:EE17)-1)*5 + 1) = INDEX($E$5:$CE$5, 1, (COLUMNS($DU17:EE17)-1)*5 + 1), INDEX($E$8:$CE$57, MATCH($C17, $C$8:$C$57, 0), (COLUMNS($DU17:EE17)-1)*5 + 4) = "SF"), INDEX($CZ$8:$CZ$23, COLUMNS($DU17:EE17)), "0"), "")</f>
        <v/>
      </c>
      <c r="EF17" s="395">
        <f t="array" ref="EF17">IFERROR(IF(AND(INDEX($E$8:$CE$57, MATCH($C17, $C$8:$C$57, 0), (COLUMNS($DU17:EF17)-1)*5 + 1) = INDEX($E$5:$CE$5, 1, (COLUMNS($DU17:EF17)-1)*5 + 1), INDEX($E$8:$CE$57, MATCH($C17, $C$8:$C$57, 0), (COLUMNS($DU17:EF17)-1)*5 + 4) = "SF"), INDEX($CZ$8:$CZ$23, COLUMNS($DU17:EF17)), "0"), "")</f>
        <v/>
      </c>
      <c r="EG17" s="395">
        <f t="array" ref="EG17">IFERROR(IF(AND(INDEX($E$8:$CE$57, MATCH($C17, $C$8:$C$57, 0), (COLUMNS($DU17:EG17)-1)*5 + 1) = INDEX($E$5:$CE$5, 1, (COLUMNS($DU17:EG17)-1)*5 + 1), INDEX($E$8:$CE$57, MATCH($C17, $C$8:$C$57, 0), (COLUMNS($DU17:EG17)-1)*5 + 4) = "SF"), INDEX($CZ$8:$CZ$23, COLUMNS($DU17:EG17)), "0"), "")</f>
        <v/>
      </c>
      <c r="EH17" s="395">
        <f t="array" ref="EH17">IFERROR(IF(AND(INDEX($E$8:$CE$57, MATCH($C17, $C$8:$C$57, 0), (COLUMNS($DU17:EH17)-1)*5 + 1) = INDEX($E$5:$CE$5, 1, (COLUMNS($DU17:EH17)-1)*5 + 1), INDEX($E$8:$CE$57, MATCH($C17, $C$8:$C$57, 0), (COLUMNS($DU17:EH17)-1)*5 + 4) = "SF"), INDEX($CZ$8:$CZ$23, COLUMNS($DU17:EH17)), "0"), "")</f>
        <v/>
      </c>
      <c r="EI17" s="395">
        <f t="array" ref="EI17">IFERROR(IF(AND(INDEX($E$8:$CE$57, MATCH($C17, $C$8:$C$57, 0), (COLUMNS($DU17:EI17)-1)*5 + 1) = INDEX($E$5:$CE$5, 1, (COLUMNS($DU17:EI17)-1)*5 + 1), INDEX($E$8:$CE$57, MATCH($C17, $C$8:$C$57, 0), (COLUMNS($DU17:EI17)-1)*5 + 4) = "SF"), INDEX($CZ$8:$CZ$23, COLUMNS($DU17:EI17)), "0"), "")</f>
        <v/>
      </c>
      <c r="EJ17" s="395">
        <f t="array" ref="EJ17">IFERROR(IF(AND(INDEX($E$8:$CE$57, MATCH($C17, $C$8:$C$57, 0), (COLUMNS($DU17:EJ17)-1)*5 + 1) = INDEX($E$5:$CE$5, 1, (COLUMNS($DU17:EJ17)-1)*5 + 1), INDEX($E$8:$CE$57, MATCH($C17, $C$8:$C$57, 0), (COLUMNS($DU17:EJ17)-1)*5 + 4) = "SF"), INDEX($CZ$8:$CZ$23, COLUMNS($DU17:EJ17)), "0"), "")</f>
        <v/>
      </c>
    </row>
    <row r="18" ht="20.1" customHeight="1" s="568">
      <c r="A18" s="576" t="n"/>
      <c r="B18" s="92">
        <f>IF(BASE01[[#This Row],[COD]]&lt;&gt;"",B17+1,"")</f>
        <v/>
      </c>
      <c r="C18" s="601" t="inlineStr">
        <is>
          <t>COD 11</t>
        </is>
      </c>
      <c r="D18" s="93">
        <f t="array" ref="D18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8" s="145" t="n">
        <v>1</v>
      </c>
      <c r="F18" s="145" t="n">
        <v>8</v>
      </c>
      <c r="G18" s="145" t="n">
        <v>6</v>
      </c>
      <c r="H18" s="145" t="n"/>
      <c r="I18" s="602">
        <f>SUM(IF(E18=E$5,4,0),IF(E18&amp;F18=E$5&amp;F$5,1,0),
IF(AND(E18=E$5,F$6&gt;=$D$115),1,0),
IF(AND(F18=E$5,F$6&gt;=$D$115),1,0),
IF(AND(G18=E$5,F$6&gt;=$D$115),1,0),
IF(E18&amp;H18=I$5,1,0),
IF(F18=E$5,2,0),
IF(G18=E$5,1,0),
IF(OR(E18&amp;F18&amp;G18=E$5&amp;F$5&amp;G$5,E18&amp;F18&amp;G18=E$5&amp;G$5&amp;F$5,E18&amp;F18&amp;G18=F$5&amp;E$5&amp;G$5,E18&amp;F18&amp;G18=F$5&amp;G$5&amp;E$5,E18&amp;F18&amp;G18=G$5&amp;E$5&amp;F$5,E18&amp;F18&amp;G18=G$5&amp;F$5&amp;E$5),2,0),IF(AND(E18=E$5,F$6&gt;=$D$129),1,0),IF(AND(F18=E$5,F$6&gt;=$D$129),1,0),IF(AND(G18=E$5,F$6&gt;=$D$129),1,0),IF(E18&amp;H18=H$5,4,0),IF(AND(E18=E$5,F$6&lt;=$D$104),-0.5,0),IF(AND(F18=E$5,F$6&lt;=$D$104),-0.5,0),IF(AND(G18=E$5,F$6&lt;=$D$104),-0.5,0))</f>
        <v/>
      </c>
      <c r="J18" s="145" t="n">
        <v>3</v>
      </c>
      <c r="K18" s="145" t="n">
        <v>5</v>
      </c>
      <c r="L18" s="145" t="n">
        <v>8</v>
      </c>
      <c r="M18" s="145" t="n"/>
      <c r="N18" s="602">
        <f>SUM(IF(J18=J$5,4,0),IF(J18&amp;K18=J$5&amp;K$5,1,0),
IF(AND(J18=J$5,K$6&gt;=$D$115),1,0),
IF(AND(K18=J$5,K$6&gt;=$D$115),1,0),
IF(AND(L18=J$5,K$6&gt;=$D$115),1,0),
IF(J18&amp;M18=N$5,1,0),
IF(K18=J$5,2,0),
IF(L18=J$5,1,0),
IF(OR(J18&amp;K18&amp;L18=J$5&amp;K$5&amp;L$5,J18&amp;K18&amp;L18=J$5&amp;L$5&amp;K$5,J18&amp;K18&amp;L18=K$5&amp;J$5&amp;L$5,J18&amp;K18&amp;L18=K$5&amp;L$5&amp;J$5,J18&amp;K18&amp;L18=L$5&amp;J$5&amp;K$5,J18&amp;K18&amp;L18=L$5&amp;K$5&amp;J$5),2,0),IF(AND(J18=J$5,K$6&gt;=$D$129),1,0),IF(AND(K18=J$5,K$6&gt;=$D$129),1,0),IF(AND(L18=J$5,K$6&gt;=$D$129),1,0),IF(J18&amp;M18=M$5,4,0),IF(AND(J18=J$5,K$6&lt;=$D$104),-0.5,0),IF(AND(K18=J$5,K$6&lt;=$D$104),-0.5,0),IF(AND(L18=J$5,K$6&lt;=$D$104),-0.5,0))</f>
        <v/>
      </c>
      <c r="O18" s="145" t="n">
        <v>2</v>
      </c>
      <c r="P18" s="145" t="n">
        <v>3</v>
      </c>
      <c r="Q18" s="145" t="n">
        <v>6</v>
      </c>
      <c r="R18" s="145" t="n"/>
      <c r="S18" s="602">
        <f>SUM(IF(O18=O$5,4,0),IF(O18&amp;P18=O$5&amp;P$5,1,0),
IF(AND(O18=O$5,P$6&gt;=$D$115),1,0),
IF(AND(P18=O$5,P$6&gt;=$D$115),1,0),
IF(AND(Q18=O$5,P$6&gt;=$D$115),1,0),
IF(O18&amp;R18=S$5,1,0),
IF(P18=O$5,2,0),
IF(Q18=O$5,1,0),
IF(OR(O18&amp;P18&amp;Q18=O$5&amp;P$5&amp;Q$5,O18&amp;P18&amp;Q18=O$5&amp;Q$5&amp;P$5,O18&amp;P18&amp;Q18=P$5&amp;O$5&amp;Q$5,O18&amp;P18&amp;Q18=P$5&amp;Q$5&amp;O$5,O18&amp;P18&amp;Q18=Q$5&amp;O$5&amp;P$5,O18&amp;P18&amp;Q18=Q$5&amp;P$5&amp;O$5),2,0),IF(AND(O18=O$5,P$6&gt;=$D$129),1,0),IF(AND(P18=O$5,P$6&gt;=$D$129),1,0),IF(AND(Q18=O$5,P$6&gt;=$D$129),1,0),IF(O18&amp;R18=R$5,4,0),IF(AND(O18=O$5,P$6&lt;=$D$104),-0.5,0),IF(AND(P18=O$5,P$6&lt;=$D$104),-0.5,0),IF(AND(Q18=O$5,P$6&lt;=$D$104),-0.5,0))</f>
        <v/>
      </c>
      <c r="T18" s="145" t="n">
        <v>6</v>
      </c>
      <c r="U18" s="145" t="n">
        <v>1</v>
      </c>
      <c r="V18" s="145" t="n">
        <v>8</v>
      </c>
      <c r="W18" s="145" t="n"/>
      <c r="X18" s="602">
        <f>SUM(IF(T18=T$5,4,0),IF(T18&amp;U18=T$5&amp;U$5,1,0),
IF(AND(T18=T$5,U$6&gt;=$D$115),1,0),
IF(AND(U18=T$5,U$6&gt;=$D$115),1,0),
IF(AND(V18=T$5,U$6&gt;=$D$115),1,0),
IF(T18&amp;W18=X$5,1,0),
IF(U18=T$5,2,0),
IF(V18=T$5,1,0),
IF(OR(T18&amp;U18&amp;V18=T$5&amp;U$5&amp;V$5,T18&amp;U18&amp;V18=T$5&amp;V$5&amp;U$5,T18&amp;U18&amp;V18=U$5&amp;T$5&amp;V$5,T18&amp;U18&amp;V18=U$5&amp;V$5&amp;T$5,T18&amp;U18&amp;V18=V$5&amp;T$5&amp;U$5,T18&amp;U18&amp;V18=V$5&amp;U$5&amp;T$5),2,0),IF(AND(T18=T$5,U$6&gt;=$D$129),1,0),IF(AND(U18=T$5,U$6&gt;=$D$129),1,0),IF(AND(V18=T$5,U$6&gt;=$D$129),1,0),IF(T18&amp;W18=W$5,4,0),IF(AND(T18=T$5,U$6&lt;=$D$104),-0.5,0),IF(AND(U18=T$5,U$6&lt;=$D$104),-0.5,0),IF(AND(V18=T$5,U$6&lt;=$D$104),-0.5,0))</f>
        <v/>
      </c>
      <c r="Y18" s="145" t="n">
        <v>5</v>
      </c>
      <c r="Z18" s="145" t="n"/>
      <c r="AA18" s="145" t="n"/>
      <c r="AB18" s="145" t="inlineStr">
        <is>
          <t>SF</t>
        </is>
      </c>
      <c r="AC18" s="602">
        <f>SUM(IF(Y18=Y$5,4,0),IF(Y18&amp;Z18=Y$5&amp;Z$5,1,0),
IF(AND(Y18=Y$5,Z$6&gt;=$D$115),1,0),
IF(AND(Z18=Y$5,Z$6&gt;=$D$115),1,0),
IF(AND(AA18=Y$5,Z$6&gt;=$D$115),1,0),
IF(Y18&amp;AB18=AC$5,1,0),
IF(Z18=Y$5,2,0),
IF(AA18=Y$5,1,0),
IF(OR(Y18&amp;Z18&amp;AA18=Y$5&amp;Z$5&amp;AA$5,Y18&amp;Z18&amp;AA18=Y$5&amp;AA$5&amp;Z$5,Y18&amp;Z18&amp;AA18=Z$5&amp;Y$5&amp;AA$5,Y18&amp;Z18&amp;AA18=Z$5&amp;AA$5&amp;Y$5,Y18&amp;Z18&amp;AA18=AA$5&amp;Y$5&amp;Z$5,Y18&amp;Z18&amp;AA18=AA$5&amp;Z$5&amp;Y$5),2,0),IF(AND(Y18=Y$5,Z$6&gt;=$D$129),1,0),IF(AND(Z18=Y$5,Z$6&gt;=$D$129),1,0),IF(AND(AA18=Y$5,Z$6&gt;=$D$129),1,0),IF(Y18&amp;AB18=AB$5,4,0),IF(AND(Y18=Y$5,Z$6&lt;=$D$104),-0.5,0),IF(AND(Z18=Y$5,Z$6&lt;=$D$104),-0.5,0),IF(AND(AA18=Y$5,Z$6&lt;=$D$104),-0.5,0))</f>
        <v/>
      </c>
      <c r="AD18" s="145" t="n">
        <v>7</v>
      </c>
      <c r="AE18" s="145" t="n">
        <v>2</v>
      </c>
      <c r="AF18" s="145" t="n">
        <v>5</v>
      </c>
      <c r="AG18" s="145" t="n"/>
      <c r="AH18" s="602">
        <f>SUM(IF(AD18=AD$5,4,0),IF(AD18&amp;AE18=AD$5&amp;AE$5,1,0),
IF(AND(AD18=AD$5,AE$6&gt;=$D$115),1,0),
IF(AND(AE18=AD$5,AE$6&gt;=$D$115),1,0),
IF(AND(AF18=AD$5,AE$6&gt;=$D$115),1,0),
IF(AD18&amp;AG18=AH$5,1,0),
IF(AE18=AD$5,2,0),
IF(AF18=AD$5,1,0),
IF(OR(AD18&amp;AE18&amp;AF18=AD$5&amp;AE$5&amp;AF$5,AD18&amp;AE18&amp;AF18=AD$5&amp;AF$5&amp;AE$5,AD18&amp;AE18&amp;AF18=AE$5&amp;AD$5&amp;AF$5,AD18&amp;AE18&amp;AF18=AE$5&amp;AF$5&amp;AD$5,AD18&amp;AE18&amp;AF18=AF$5&amp;AD$5&amp;AE$5,AD18&amp;AE18&amp;AF18=AF$5&amp;AE$5&amp;AD$5),2,0),IF(AND(AD18=AD$5,AE$6&gt;=$D$129),1,0),IF(AND(AE18=AD$5,AE$6&gt;=$D$129),1,0),IF(AND(AF18=AD$5,AE$6&gt;=$D$129),1,0),IF(AD18&amp;AG18=AG$5,4,0),IF(AND(AD18=AD$5,AE$6&lt;=$D$104),-0.5,0),IF(AND(AE18=AD$5,AE$6&lt;=$D$104),-0.5,0),IF(AND(AF18=AD$5,AE$6&lt;=$D$104),-0.5,0))</f>
        <v/>
      </c>
      <c r="AI18" s="145" t="n">
        <v>7</v>
      </c>
      <c r="AJ18" s="145" t="n">
        <v>4</v>
      </c>
      <c r="AK18" s="145" t="n">
        <v>3</v>
      </c>
      <c r="AL18" s="145" t="inlineStr">
        <is>
          <t>F</t>
        </is>
      </c>
      <c r="AM18" s="602">
        <f>SUM(IF(AI18=AI$5,4,0),IF(AI18&amp;AJ18=AI$5&amp;AJ$5,1,0),
IF(AND(AI18=AI$5,AJ$6&gt;=$D$115),1,0),
IF(AND(AJ18=AI$5,AJ$6&gt;=$D$115),1,0),
IF(AND(AK18=AI$5,AJ$6&gt;=$D$115),1,0),
IF(AI18&amp;AL18=AM$5,1,0),
IF(AJ18=AI$5,2,0),
IF(AK18=AI$5,1,0),
IF(OR(AI18&amp;AJ18&amp;AK18=AI$5&amp;AJ$5&amp;AK$5,AI18&amp;AJ18&amp;AK18=AI$5&amp;AK$5&amp;AJ$5,AI18&amp;AJ18&amp;AK18=AJ$5&amp;AI$5&amp;AK$5,AI18&amp;AJ18&amp;AK18=AJ$5&amp;AK$5&amp;AI$5,AI18&amp;AJ18&amp;AK18=AK$5&amp;AI$5&amp;AJ$5,AI18&amp;AJ18&amp;AK18=AK$5&amp;AJ$5&amp;AI$5),2,0),IF(AND(AI18=AI$5,AJ$6&gt;=$D$129),1,0),IF(AND(AJ18=AI$5,AJ$6&gt;=$D$129),1,0),IF(AND(AK18=AI$5,AJ$6&gt;=$D$129),1,0),IF(AI18&amp;AL18=AL$5,4,0),IF(AND(AI18=AI$5,AJ$6&lt;=$D$104),-0.5,0),IF(AND(AJ18=AI$5,AJ$6&lt;=$D$104),-0.5,0),IF(AND(AK18=AI$5,AJ$6&lt;=$D$104),-0.5,0))</f>
        <v/>
      </c>
      <c r="AN18" s="145" t="n">
        <v>11</v>
      </c>
      <c r="AO18" s="145" t="n">
        <v>9</v>
      </c>
      <c r="AP18" s="145" t="n">
        <v>8</v>
      </c>
      <c r="AQ18" s="145" t="n"/>
      <c r="AR18" s="602">
        <f>SUM(IF(AN18=AN$5,4,0),IF(AN18&amp;AO18=AN$5&amp;AO$5,1,0),
IF(AND(AN18=AN$5,AO$6&gt;=$D$115),1,0),
IF(AND(AO18=AN$5,AO$6&gt;=$D$115),1,0),
IF(AND(AP18=AN$5,AO$6&gt;=$D$115),1,0),
IF(AN18&amp;AQ18=AR$5,1,0),
IF(AO18=AN$5,2,0),
IF(AP18=AN$5,1,0),
IF(OR(AN18&amp;AO18&amp;AP18=AN$5&amp;AO$5&amp;AP$5,AN18&amp;AO18&amp;AP18=AN$5&amp;AP$5&amp;AO$5,AN18&amp;AO18&amp;AP18=AO$5&amp;AN$5&amp;AP$5,AN18&amp;AO18&amp;AP18=AO$5&amp;AP$5&amp;AN$5,AN18&amp;AO18&amp;AP18=AP$5&amp;AN$5&amp;AO$5,AN18&amp;AO18&amp;AP18=AP$5&amp;AO$5&amp;AN$5),2,0),IF(AND(AN18=AN$5,AO$6&gt;=$D$129),1,0),IF(AND(AO18=AN$5,AO$6&gt;=$D$129),1,0),IF(AND(AP18=AN$5,AO$6&gt;=$D$129),1,0),IF(AN18&amp;AQ18=AQ$5,4,0),IF(AND(AN18=AN$5,AO$6&lt;=$D$104),-0.5,0),IF(AND(AO18=AN$5,AO$6&lt;=$D$104),-0.5,0),IF(AND(AP18=AN$5,AO$6&lt;=$D$104),-0.5,0))</f>
        <v/>
      </c>
      <c r="AS18" s="145" t="n">
        <v>1</v>
      </c>
      <c r="AT18" s="145" t="n">
        <v>7</v>
      </c>
      <c r="AU18" s="145" t="n">
        <v>4</v>
      </c>
      <c r="AV18" s="145" t="inlineStr">
        <is>
          <t>F</t>
        </is>
      </c>
      <c r="AW18" s="602">
        <f>SUM(IF(AS18=AS$5,4,0),IF(AS18&amp;AT18=AS$5&amp;AT$5,1,0),
IF(AND(AS18=AS$5,AT$6&gt;=$D$115),1,0),
IF(AND(AT18=AS$5,AT$6&gt;=$D$115),1,0),
IF(AND(AU18=AS$5,AT$6&gt;=$D$115),1,0),
IF(AS18&amp;AV18=AW$5,1,0),
IF(AT18=AS$5,2,0),
IF(AU18=AS$5,1,0),
IF(OR(AS18&amp;AT18&amp;AU18=AS$5&amp;AT$5&amp;AU$5,AS18&amp;AT18&amp;AU18=AS$5&amp;AU$5&amp;AT$5,AS18&amp;AT18&amp;AU18=AT$5&amp;AS$5&amp;AU$5,AS18&amp;AT18&amp;AU18=AT$5&amp;AU$5&amp;AS$5,AS18&amp;AT18&amp;AU18=AU$5&amp;AS$5&amp;AT$5,AS18&amp;AT18&amp;AU18=AU$5&amp;AT$5&amp;AS$5),2,0),IF(AND(AS18=AS$5,AT$6&gt;=$D$129),1,0),IF(AND(AT18=AS$5,AT$6&gt;=$D$129),1,0),IF(AND(AU18=AS$5,AT$6&gt;=$D$129),1,0),IF(AS18&amp;AV18=AV$5,4,0),IF(AND(AS18=AS$5,AT$6&lt;=$D$104),-0.5,0),IF(AND(AT18=AS$5,AT$6&lt;=$D$104),-0.5,0),IF(AND(AU18=AS$5,AT$6&lt;=$D$104),-0.5,0))</f>
        <v/>
      </c>
      <c r="AX18" s="145" t="n">
        <v>1</v>
      </c>
      <c r="AY18" s="145" t="n">
        <v>9</v>
      </c>
      <c r="AZ18" s="145" t="n">
        <v>8</v>
      </c>
      <c r="BA18" s="145" t="n"/>
      <c r="BB18" s="602">
        <f>SUM(IF(AX18=AX$5,4,0),IF(AX18&amp;AY18=AX$5&amp;AY$5,1,0),
IF(AND(AX18=AX$5,AY$6&gt;=$D$115),1,0),
IF(AND(AY18=AX$5,AY$6&gt;=$D$115),1,0),
IF(AND(AZ18=AX$5,AY$6&gt;=$D$115),1,0),
IF(AX18&amp;BA18=BB$5,1,0),
IF(AY18=AX$5,2,0),
IF(AZ18=AX$5,1,0),
IF(OR(AX18&amp;AY18&amp;AZ18=AX$5&amp;AY$5&amp;AZ$5,AX18&amp;AY18&amp;AZ18=AX$5&amp;AZ$5&amp;AY$5,AX18&amp;AY18&amp;AZ18=AY$5&amp;AX$5&amp;AZ$5,AX18&amp;AY18&amp;AZ18=AY$5&amp;AZ$5&amp;AX$5,AX18&amp;AY18&amp;AZ18=AZ$5&amp;AX$5&amp;AY$5,AX18&amp;AY18&amp;AZ18=AZ$5&amp;AY$5&amp;AX$5),2,0),IF(AND(AX18=AX$5,AY$6&gt;=$D$129),1,0),IF(AND(AY18=AX$5,AY$6&gt;=$D$129),1,0),IF(AND(AZ18=AX$5,AY$6&gt;=$D$129),1,0),IF(AX18&amp;BA18=BA$5,4,0),IF(AND(AX18=AX$5,AY$6&lt;=$D$104),-0.5,0),IF(AND(AY18=AX$5,AY$6&lt;=$D$104),-0.5,0),IF(AND(AZ18=AX$5,AY$6&lt;=$D$104),-0.5,0))</f>
        <v/>
      </c>
      <c r="BC18" s="145" t="n">
        <v>2</v>
      </c>
      <c r="BD18" s="145" t="n">
        <v>8</v>
      </c>
      <c r="BE18" s="145" t="n">
        <v>4</v>
      </c>
      <c r="BF18" s="145" t="n"/>
      <c r="BG18" s="602">
        <f>SUM(IF(BC18=BC$5,4,0),IF(BC18&amp;BD18=BC$5&amp;BD$5,1,0),
IF(AND(BC18=BC$5,BD$6&gt;=$D$115),1,0),
IF(AND(BD18=BC$5,BD$6&gt;=$D$115),1,0),
IF(AND(BE18=BC$5,BD$6&gt;=$D$115),1,0),
IF(BC18&amp;BF18=BG$5,1,0),
IF(BD18=BC$5,2,0),
IF(BE18=BC$5,1,0),
IF(OR(BC18&amp;BD18&amp;BE18=BC$5&amp;BD$5&amp;BE$5,BC18&amp;BD18&amp;BE18=BC$5&amp;BE$5&amp;BD$5,BC18&amp;BD18&amp;BE18=BD$5&amp;BC$5&amp;BE$5,BC18&amp;BD18&amp;BE18=BD$5&amp;BE$5&amp;BC$5,BC18&amp;BD18&amp;BE18=BE$5&amp;BC$5&amp;BD$5,BC18&amp;BD18&amp;BE18=BE$5&amp;BD$5&amp;BC$5),2,0),IF(AND(BC18=BC$5,BD$6&gt;=$D$129),1,0),IF(AND(BD18=BC$5,BD$6&gt;=$D$129),1,0),IF(AND(BE18=BC$5,BD$6&gt;=$D$129),1,0),IF(BC18&amp;BF18=BF$5,4,0),IF(AND(BC18=BC$5,BD$6&lt;=$D$104),-0.5,0),IF(AND(BD18=BC$5,BD$6&lt;=$D$104),-0.5,0),IF(AND(BE18=BC$5,BD$6&lt;=$D$104),-0.5,0))</f>
        <v/>
      </c>
      <c r="BH18" s="145" t="n">
        <v>5</v>
      </c>
      <c r="BI18" s="145" t="n">
        <v>1</v>
      </c>
      <c r="BJ18" s="145" t="n">
        <v>3</v>
      </c>
      <c r="BK18" s="145" t="n"/>
      <c r="BL18" s="602">
        <f>SUM(IF(BH18=BH$5,4,0),IF(BH18&amp;BI18=BH$5&amp;BI$5,1,0),
IF(AND(BH18=BH$5,BI$6&gt;=$D$115),1,0),
IF(AND(BI18=BH$5,BI$6&gt;=$D$115),1,0),
IF(AND(BJ18=BH$5,BI$6&gt;=$D$115),1,0),
IF(BH18&amp;BK18=BL$5,1,0),
IF(BI18=BH$5,2,0),
IF(BJ18=BH$5,1,0),
IF(OR(BH18&amp;BI18&amp;BJ18=BH$5&amp;BI$5&amp;BJ$5,BH18&amp;BI18&amp;BJ18=BH$5&amp;BJ$5&amp;BI$5,BH18&amp;BI18&amp;BJ18=BI$5&amp;BH$5&amp;BJ$5,BH18&amp;BI18&amp;BJ18=BI$5&amp;BJ$5&amp;BH$5,BH18&amp;BI18&amp;BJ18=BJ$5&amp;BH$5&amp;BI$5,BH18&amp;BI18&amp;BJ18=BJ$5&amp;BI$5&amp;BH$5),2,0),IF(AND(BH18=BH$5,BI$6&gt;=$D$129),1,0),IF(AND(BI18=BH$5,BI$6&gt;=$D$129),1,0),IF(AND(BJ18=BH$5,BI$6&gt;=$D$129),1,0),IF(BH18&amp;BK18=BK$5,4,0),IF(AND(BH18=BH$5,BI$6&lt;=$D$104),-0.5,0),IF(AND(BI18=BH$5,BI$6&lt;=$D$104),-0.5,0),IF(AND(BJ18=BH$5,BI$6&lt;=$D$104),-0.5,0))</f>
        <v/>
      </c>
      <c r="BM18" s="145" t="n">
        <v>1</v>
      </c>
      <c r="BN18" s="145" t="n">
        <v>2</v>
      </c>
      <c r="BO18" s="145" t="n">
        <v>9</v>
      </c>
      <c r="BP18" s="145" t="n"/>
      <c r="BQ18" s="602">
        <f>SUM(IF(BM18=BM$5,4,0),IF(BM18&amp;BN18=BM$5&amp;BN$5,1,0),
IF(AND(BM18=BM$5,BN$6&gt;=$D$115),1,0),
IF(AND(BN18=BM$5,BN$6&gt;=$D$115),1,0),
IF(AND(BO18=BM$5,BN$6&gt;=$D$115),1,0),
IF(BM18&amp;BP18=BQ$5,1,0),
IF(BN18=BM$5,2,0),
IF(BO18=BM$5,1,0),
IF(OR(BM18&amp;BN18&amp;BO18=BM$5&amp;BN$5&amp;BO$5,BM18&amp;BN18&amp;BO18=BM$5&amp;BO$5&amp;BN$5,BM18&amp;BN18&amp;BO18=BN$5&amp;BM$5&amp;BO$5,BM18&amp;BN18&amp;BO18=BN$5&amp;BO$5&amp;BM$5,BM18&amp;BN18&amp;BO18=BO$5&amp;BM$5&amp;BN$5,BM18&amp;BN18&amp;BO18=BO$5&amp;BN$5&amp;BM$5),2,0),IF(AND(BM18=BM$5,BN$6&gt;=$D$129),1,0),IF(AND(BN18=BM$5,BN$6&gt;=$D$129),1,0),IF(AND(BO18=BM$5,BN$6&gt;=$D$129),1,0),IF(BM18&amp;BP18=BP$5,4,0),IF(AND(BM18=BM$5,BN$6&lt;=$D$104),-0.5,0),IF(AND(BN18=BM$5,BN$6&lt;=$D$104),-0.5,0),IF(AND(BO18=BM$5,BN$6&lt;=$D$104),-0.5,0))</f>
        <v/>
      </c>
      <c r="BR18" s="145" t="n"/>
      <c r="BS18" s="145" t="n"/>
      <c r="BT18" s="145" t="n"/>
      <c r="BU18" s="145" t="n"/>
      <c r="BV18" s="602">
        <f>SUM(IF(BR18=BR$5,4,0),IF(BR18&amp;BS18=BR$5&amp;BS$5,1,0),
IF(AND(BR18=BR$5,BS$6&gt;=$D$115),1,0),
IF(AND(BS18=BR$5,BS$6&gt;=$D$115),1,0),
IF(AND(BT18=BR$5,BS$6&gt;=$D$115),1,0),
IF(BR18&amp;BU18=BV$5,1,0),
IF(BS18=BR$5,2,0),
IF(BT18=BR$5,1,0),
IF(OR(BR18&amp;BS18&amp;BT18=BR$5&amp;BS$5&amp;BT$5,BR18&amp;BS18&amp;BT18=BR$5&amp;BT$5&amp;BS$5,BR18&amp;BS18&amp;BT18=BS$5&amp;BR$5&amp;BT$5,BR18&amp;BS18&amp;BT18=BS$5&amp;BT$5&amp;BR$5,BR18&amp;BS18&amp;BT18=BT$5&amp;BR$5&amp;BS$5,BR18&amp;BS18&amp;BT18=BT$5&amp;BS$5&amp;BR$5),2,0),IF(AND(BR18=BR$5,BS$6&gt;=$D$129),1,0),IF(AND(BS18=BR$5,BS$6&gt;=$D$129),1,0),IF(AND(BT18=BR$5,BS$6&gt;=$D$129),1,0),IF(BR18&amp;BU18=BU$5,4,0),IF(AND(BR18=BR$5,BS$6&lt;=$D$104),-0.5,0),IF(AND(BS18=BR$5,BS$6&lt;=$D$104),-0.5,0),IF(AND(BT18=BR$5,BS$6&lt;=$D$104),-0.5,0))</f>
        <v/>
      </c>
      <c r="BW18" s="145" t="n"/>
      <c r="BX18" s="145" t="n"/>
      <c r="BY18" s="145" t="n"/>
      <c r="BZ18" s="145" t="n"/>
      <c r="CA18" s="602">
        <f>SUM(IF(BW18=BW$5,4,0),IF(BW18&amp;BX18=BW$5&amp;BX$5,1,0),
IF(AND(BW18=BW$5,BX$6&gt;=$D$115),1,0),
IF(AND(BX18=BW$5,BX$6&gt;=$D$115),1,0),
IF(AND(BY18=BW$5,BX$6&gt;=$D$115),1,0),
IF(BW18&amp;BZ18=CA$5,1,0),
IF(BX18=BW$5,2,0),
IF(BY18=BW$5,1,0),
IF(OR(BW18&amp;BX18&amp;BY18=BW$5&amp;BX$5&amp;BY$5,BW18&amp;BX18&amp;BY18=BW$5&amp;BY$5&amp;BX$5,BW18&amp;BX18&amp;BY18=BX$5&amp;BW$5&amp;BY$5,BW18&amp;BX18&amp;BY18=BX$5&amp;BY$5&amp;BW$5,BW18&amp;BX18&amp;BY18=BY$5&amp;BW$5&amp;BX$5,BW18&amp;BX18&amp;BY18=BY$5&amp;BX$5&amp;BW$5),2,0),IF(AND(BW18=BW$5,BX$6&gt;=$D$129),1,0),IF(AND(BX18=BW$5,BX$6&gt;=$D$129),1,0),IF(AND(BY18=BW$5,BX$6&gt;=$D$129),1,0),IF(BW18&amp;BZ18=BZ$5,4,0),IF(AND(BW18=BW$5,BX$6&lt;=$D$104),-0.5,0),IF(AND(BX18=BW$5,BX$6&lt;=$D$104),-0.5,0),IF(AND(BY18=BW$5,BX$6&lt;=$D$104),-0.5,0))</f>
        <v/>
      </c>
      <c r="CB18" s="145" t="n"/>
      <c r="CC18" s="145" t="n"/>
      <c r="CD18" s="145" t="n"/>
      <c r="CE18" s="145" t="n"/>
      <c r="CF18" s="602">
        <f>SUM(IF(CB18=CB$5,4,0),IF(CB18&amp;CC18=CB$5&amp;CC$5,1,0),
IF(AND(CB18=CB$5,CC$6&gt;=$D$115),1,0),
IF(AND(CC18=CB$5,CC$6&gt;=$D$115),1,0),
IF(AND(CD18=CB$5,CC$6&gt;=$D$115),1,0),
IF(CB18&amp;CE18=CF$5,1,0),
IF(CC18=CB$5,2,0),
IF(CD18=CB$5,1,0),
IF(OR(CB18&amp;CC18&amp;CD18=CB$5&amp;CC$5&amp;CD$5,CB18&amp;CC18&amp;CD18=CB$5&amp;CD$5&amp;CC$5,CB18&amp;CC18&amp;CD18=CC$5&amp;CB$5&amp;CD$5,CB18&amp;CC18&amp;CD18=CC$5&amp;CD$5&amp;CB$5,CB18&amp;CC18&amp;CD18=CD$5&amp;CB$5&amp;CC$5,CB18&amp;CC18&amp;CD18=CD$5&amp;CC$5&amp;CB$5),2,0),IF(AND(CB18=CB$5,CC$6&gt;=$D$129),1,0),IF(AND(CC18=CB$5,CC$6&gt;=$D$129),1,0),IF(AND(CD18=CB$5,CC$6&gt;=$D$129),1,0),IF(CB18&amp;CE18=CE$5,4,0),IF(AND(CB18=CB$5,CC$6&lt;=$D$104),-0.5,0),IF(AND(CC18=CB$5,CC$6&lt;=$D$104),-0.5,0),IF(AND(CD18=CB$5,CC$6&lt;=$D$104),-0.5,0))</f>
        <v/>
      </c>
      <c r="CG18" s="164">
        <f>IF(BASE01[[#This Row],[1]]="",0,$B$4)</f>
        <v/>
      </c>
      <c r="CH18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8" s="166">
        <f>IF(BASE01[[#This Row],[Columna14]]=0,0,(CH18/CG18))</f>
        <v/>
      </c>
      <c r="CJ18" s="165">
        <f>IF(BASE01[[#This Row],[1]]="",0,$B$4)</f>
        <v/>
      </c>
      <c r="CK18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8" s="166">
        <f>IF(BASE01[[#This Row],[Columna14]]=0,0,(CK18/CJ18))</f>
        <v/>
      </c>
      <c r="CM18" s="164">
        <f>IF(BASE01[[#This Row],[1]]="",0,$B$4)</f>
        <v/>
      </c>
      <c r="CN18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8" s="166">
        <f>IF(BASE01[[#This Row],[Columna14]]=0,0,(CN18/CM18))</f>
        <v/>
      </c>
      <c r="CP18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8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Row],[Columna25]],$AX$5,BA18,"SF")+COUNTIFS(BASE01[[#This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8" s="166">
        <f>IF(BASE01[[#This Row],[Columna14]]=0,0,(CQ18/CP18))</f>
        <v/>
      </c>
      <c r="CS18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8" s="95" t="n"/>
      <c r="CU18" s="604">
        <f>SUM(CS18,CT18)</f>
        <v/>
      </c>
      <c r="CV18" s="96">
        <f>IF(BASE01[[#This Row],[TIPO]]="PREMIO",$O$3,"0,00")</f>
        <v/>
      </c>
      <c r="CW18" s="576" t="n"/>
      <c r="CY18" s="393" t="n">
        <v>11</v>
      </c>
      <c r="CZ18" s="354">
        <f>BD$6</f>
        <v/>
      </c>
      <c r="DB18" s="605">
        <f>BASE01[[#This Row],[COD]]</f>
        <v/>
      </c>
      <c r="DC18" s="395">
        <f t="array" ref="DC18">IFERROR(IF(AND(INDEX($E$8:$CE$57, MATCH($C18, $C$8:$C$57, 0), (COLUMNS($DC18:DC18)-1)*5 + 1) = INDEX($E$5:$CE$5, 1, (COLUMNS($DC18:DC18)-1)*5 + 1), INDEX($E$8:$CE$57, MATCH($C18, $C$8:$C$57, 0), (COLUMNS($DC18:DC18)-1)*5 + 4) = "F"), INDEX($CZ$8:$CZ$23, COLUMNS($DC18:DC18)), "0"), "")</f>
        <v/>
      </c>
      <c r="DD18" s="395">
        <f t="array" ref="DD18">IFERROR(IF(AND(INDEX($E$8:$CE$57, MATCH($C18, $C$8:$C$57, 0), (COLUMNS($DC18:DD18)-1)*5 + 1) = INDEX($E$5:$CE$5, 1, (COLUMNS($DC18:DD18)-1)*5 + 1), INDEX($E$8:$CE$57, MATCH($C18, $C$8:$C$57, 0), (COLUMNS($DC18:DD18)-1)*5 + 4) = "F"), INDEX($CZ$8:$CZ$23, COLUMNS($DC18:DD18)), "0"), "")</f>
        <v/>
      </c>
      <c r="DE18" s="395">
        <f t="array" ref="DE18">IFERROR(IF(AND(INDEX($E$8:$CE$57, MATCH($C18, $C$8:$C$57, 0), (COLUMNS($DC18:DE18)-1)*5 + 1) = INDEX($E$5:$CE$5, 1, (COLUMNS($DC18:DE18)-1)*5 + 1), INDEX($E$8:$CE$57, MATCH($C18, $C$8:$C$57, 0), (COLUMNS($DC18:DE18)-1)*5 + 4) = "F"), INDEX($CZ$8:$CZ$23, COLUMNS($DC18:DE18)), "0"), "")</f>
        <v/>
      </c>
      <c r="DF18" s="395">
        <f t="array" ref="DF18">IFERROR(IF(AND(INDEX($E$8:$CE$57, MATCH($C18, $C$8:$C$57, 0), (COLUMNS($DC18:DF18)-1)*5 + 1) = INDEX($E$5:$CE$5, 1, (COLUMNS($DC18:DF18)-1)*5 + 1), INDEX($E$8:$CE$57, MATCH($C18, $C$8:$C$57, 0), (COLUMNS($DC18:DF18)-1)*5 + 4) = "F"), INDEX($CZ$8:$CZ$23, COLUMNS($DC18:DF18)), "0"), "")</f>
        <v/>
      </c>
      <c r="DG18" s="395">
        <f t="array" ref="DG18">IFERROR(IF(AND(INDEX($E$8:$CE$57, MATCH($C18, $C$8:$C$57, 0), (COLUMNS($DC18:DG18)-1)*5 + 1) = INDEX($E$5:$CE$5, 1, (COLUMNS($DC18:DG18)-1)*5 + 1), INDEX($E$8:$CE$57, MATCH($C18, $C$8:$C$57, 0), (COLUMNS($DC18:DG18)-1)*5 + 4) = "F"), INDEX($CZ$8:$CZ$23, COLUMNS($DC18:DG18)), "0"), "")</f>
        <v/>
      </c>
      <c r="DH18" s="395">
        <f t="array" ref="DH18">IFERROR(IF(AND(INDEX($E$8:$CE$57, MATCH($C18, $C$8:$C$57, 0), (COLUMNS($DC18:DH18)-1)*5 + 1) = INDEX($E$5:$CE$5, 1, (COLUMNS($DC18:DH18)-1)*5 + 1), INDEX($E$8:$CE$57, MATCH($C18, $C$8:$C$57, 0), (COLUMNS($DC18:DH18)-1)*5 + 4) = "F"), INDEX($CZ$8:$CZ$23, COLUMNS($DC18:DH18)), "0"), "")</f>
        <v/>
      </c>
      <c r="DI18" s="395">
        <f t="array" ref="DI18">IFERROR(IF(AND(INDEX($E$8:$CE$57, MATCH($C18, $C$8:$C$57, 0), (COLUMNS($DC18:DI18)-1)*5 + 1) = INDEX($E$5:$CE$5, 1, (COLUMNS($DC18:DI18)-1)*5 + 1), INDEX($E$8:$CE$57, MATCH($C18, $C$8:$C$57, 0), (COLUMNS($DC18:DI18)-1)*5 + 4) = "F"), INDEX($CZ$8:$CZ$23, COLUMNS($DC18:DI18)), "0"), "")</f>
        <v/>
      </c>
      <c r="DJ18" s="395">
        <f t="array" ref="DJ18">IFERROR(IF(AND(INDEX($E$8:$CE$57, MATCH($C18, $C$8:$C$57, 0), (COLUMNS($DC18:DJ18)-1)*5 + 1) = INDEX($E$5:$CE$5, 1, (COLUMNS($DC18:DJ18)-1)*5 + 1), INDEX($E$8:$CE$57, MATCH($C18, $C$8:$C$57, 0), (COLUMNS($DC18:DJ18)-1)*5 + 4) = "F"), INDEX($CZ$8:$CZ$23, COLUMNS($DC18:DJ18)), "0"), "")</f>
        <v/>
      </c>
      <c r="DK18" s="395">
        <f t="array" ref="DK18">IFERROR(IF(AND(INDEX($E$8:$CE$57, MATCH($C18, $C$8:$C$57, 0), (COLUMNS($DC18:DK18)-1)*5 + 1) = INDEX($E$5:$CE$5, 1, (COLUMNS($DC18:DK18)-1)*5 + 1), INDEX($E$8:$CE$57, MATCH($C18, $C$8:$C$57, 0), (COLUMNS($DC18:DK18)-1)*5 + 4) = "F"), INDEX($CZ$8:$CZ$23, COLUMNS($DC18:DK18)), "0"), "")</f>
        <v/>
      </c>
      <c r="DL18" s="395">
        <f t="array" ref="DL18">IFERROR(IF(AND(INDEX($E$8:$CE$57, MATCH($C18, $C$8:$C$57, 0), (COLUMNS($DC18:DL18)-1)*5 + 1) = INDEX($E$5:$CE$5, 1, (COLUMNS($DC18:DL18)-1)*5 + 1), INDEX($E$8:$CE$57, MATCH($C18, $C$8:$C$57, 0), (COLUMNS($DC18:DL18)-1)*5 + 4) = "F"), INDEX($CZ$8:$CZ$23, COLUMNS($DC18:DL18)), "0"), "")</f>
        <v/>
      </c>
      <c r="DM18" s="395">
        <f t="array" ref="DM18">IFERROR(IF(AND(INDEX($E$8:$CE$57, MATCH($C18, $C$8:$C$57, 0), (COLUMNS($DC18:DM18)-1)*5 + 1) = INDEX($E$5:$CE$5, 1, (COLUMNS($DC18:DM18)-1)*5 + 1), INDEX($E$8:$CE$57, MATCH($C18, $C$8:$C$57, 0), (COLUMNS($DC18:DM18)-1)*5 + 4) = "F"), INDEX($CZ$8:$CZ$23, COLUMNS($DC18:DM18)), "0"), "")</f>
        <v/>
      </c>
      <c r="DN18" s="395">
        <f t="array" ref="DN18">IFERROR(IF(AND(INDEX($E$8:$CE$57, MATCH($C18, $C$8:$C$57, 0), (COLUMNS($DC18:DN18)-1)*5 + 1) = INDEX($E$5:$CE$5, 1, (COLUMNS($DC18:DN18)-1)*5 + 1), INDEX($E$8:$CE$57, MATCH($C18, $C$8:$C$57, 0), (COLUMNS($DC18:DN18)-1)*5 + 4) = "F"), INDEX($CZ$8:$CZ$23, COLUMNS($DC18:DN18)), "0"), "")</f>
        <v/>
      </c>
      <c r="DO18" s="395">
        <f t="array" ref="DO18">IFERROR(IF(AND(INDEX($E$8:$CE$57, MATCH($C18, $C$8:$C$57, 0), (COLUMNS($DC18:DO18)-1)*5 + 1) = INDEX($E$5:$CE$5, 1, (COLUMNS($DC18:DO18)-1)*5 + 1), INDEX($E$8:$CE$57, MATCH($C18, $C$8:$C$57, 0), (COLUMNS($DC18:DO18)-1)*5 + 4) = "F"), INDEX($CZ$8:$CZ$23, COLUMNS($DC18:DO18)), "0"), "")</f>
        <v/>
      </c>
      <c r="DP18" s="395">
        <f t="array" ref="DP18">IFERROR(IF(AND(INDEX($E$8:$CE$57, MATCH($C18, $C$8:$C$57, 0), (COLUMNS($DC18:DP18)-1)*5 + 1) = INDEX($E$5:$CE$5, 1, (COLUMNS($DC18:DP18)-1)*5 + 1), INDEX($E$8:$CE$57, MATCH($C18, $C$8:$C$57, 0), (COLUMNS($DC18:DP18)-1)*5 + 4) = "F"), INDEX($CZ$8:$CZ$23, COLUMNS($DC18:DP18)), "0"), "")</f>
        <v/>
      </c>
      <c r="DQ18" s="395">
        <f t="array" ref="DQ18">IFERROR(IF(AND(INDEX($E$8:$CE$57, MATCH($C18, $C$8:$C$57, 0), (COLUMNS($DC18:DQ18)-1)*5 + 1) = INDEX($E$5:$CE$5, 1, (COLUMNS($DC18:DQ18)-1)*5 + 1), INDEX($E$8:$CE$57, MATCH($C18, $C$8:$C$57, 0), (COLUMNS($DC18:DQ18)-1)*5 + 4) = "F"), INDEX($CZ$8:$CZ$23, COLUMNS($DC18:DQ18)), "0"), "")</f>
        <v/>
      </c>
      <c r="DR18" s="395">
        <f t="array" ref="DR18">IFERROR(IF(AND(INDEX($E$8:$CE$57, MATCH($C18, $C$8:$C$57, 0), (COLUMNS($DC18:DR18)-1)*5 + 1) = INDEX($E$5:$CE$5, 1, (COLUMNS($DC18:DR18)-1)*5 + 1), INDEX($E$8:$CE$57, MATCH($C18, $C$8:$C$57, 0), (COLUMNS($DC18:DR18)-1)*5 + 4) = "F"), INDEX($CZ$8:$CZ$23, COLUMNS($DC18:DR18)), "0"), "")</f>
        <v/>
      </c>
      <c r="DT18" s="605">
        <f>BASE01[[#This Row],[COD]]</f>
        <v/>
      </c>
      <c r="DU18" s="395">
        <f t="array" ref="DU18">IFERROR(IF(AND(INDEX($E$8:$CE$57, MATCH($C18, $C$8:$C$57, 0), (COLUMNS($DU18:DU18)-1)*5 + 1) = INDEX($E$5:$CE$5, 1, (COLUMNS($DU18:DU18)-1)*5 + 1), INDEX($E$8:$CE$57, MATCH($C18, $C$8:$C$57, 0), (COLUMNS($DU18:DU18)-1)*5 + 4) = "SF"), INDEX($CZ$8:$CZ$23, COLUMNS($DU18:DU18)), "0"), "")</f>
        <v/>
      </c>
      <c r="DV18" s="395">
        <f t="array" ref="DV18">IFERROR(IF(AND(INDEX($E$8:$CE$57, MATCH($C18, $C$8:$C$57, 0), (COLUMNS($DU18:DV18)-1)*5 + 1) = INDEX($E$5:$CE$5, 1, (COLUMNS($DU18:DV18)-1)*5 + 1), INDEX($E$8:$CE$57, MATCH($C18, $C$8:$C$57, 0), (COLUMNS($DU18:DV18)-1)*5 + 4) = "SF"), INDEX($CZ$8:$CZ$23, COLUMNS($DU18:DV18)), "0"), "")</f>
        <v/>
      </c>
      <c r="DW18" s="395">
        <f t="array" ref="DW18">IFERROR(IF(AND(INDEX($E$8:$CE$57, MATCH($C18, $C$8:$C$57, 0), (COLUMNS($DU18:DW18)-1)*5 + 1) = INDEX($E$5:$CE$5, 1, (COLUMNS($DU18:DW18)-1)*5 + 1), INDEX($E$8:$CE$57, MATCH($C18, $C$8:$C$57, 0), (COLUMNS($DU18:DW18)-1)*5 + 4) = "SF"), INDEX($CZ$8:$CZ$23, COLUMNS($DU18:DW18)), "0"), "")</f>
        <v/>
      </c>
      <c r="DX18" s="395">
        <f t="array" ref="DX18">IFERROR(IF(AND(INDEX($E$8:$CE$57, MATCH($C18, $C$8:$C$57, 0), (COLUMNS($DU18:DX18)-1)*5 + 1) = INDEX($E$5:$CE$5, 1, (COLUMNS($DU18:DX18)-1)*5 + 1), INDEX($E$8:$CE$57, MATCH($C18, $C$8:$C$57, 0), (COLUMNS($DU18:DX18)-1)*5 + 4) = "SF"), INDEX($CZ$8:$CZ$23, COLUMNS($DU18:DX18)), "0"), "")</f>
        <v/>
      </c>
      <c r="DY18" s="395">
        <f t="array" ref="DY18">IFERROR(IF(AND(INDEX($E$8:$CE$57, MATCH($C18, $C$8:$C$57, 0), (COLUMNS($DU18:DY18)-1)*5 + 1) = INDEX($E$5:$CE$5, 1, (COLUMNS($DU18:DY18)-1)*5 + 1), INDEX($E$8:$CE$57, MATCH($C18, $C$8:$C$57, 0), (COLUMNS($DU18:DY18)-1)*5 + 4) = "SF"), INDEX($CZ$8:$CZ$23, COLUMNS($DU18:DY18)), "0"), "")</f>
        <v/>
      </c>
      <c r="DZ18" s="395">
        <f t="array" ref="DZ18">IFERROR(IF(AND(INDEX($E$8:$CE$57, MATCH($C18, $C$8:$C$57, 0), (COLUMNS($DU18:DZ18)-1)*5 + 1) = INDEX($E$5:$CE$5, 1, (COLUMNS($DU18:DZ18)-1)*5 + 1), INDEX($E$8:$CE$57, MATCH($C18, $C$8:$C$57, 0), (COLUMNS($DU18:DZ18)-1)*5 + 4) = "SF"), INDEX($CZ$8:$CZ$23, COLUMNS($DU18:DZ18)), "0"), "")</f>
        <v/>
      </c>
      <c r="EA18" s="395">
        <f t="array" ref="EA18">IFERROR(IF(AND(INDEX($E$8:$CE$57, MATCH($C18, $C$8:$C$57, 0), (COLUMNS($DU18:EA18)-1)*5 + 1) = INDEX($E$5:$CE$5, 1, (COLUMNS($DU18:EA18)-1)*5 + 1), INDEX($E$8:$CE$57, MATCH($C18, $C$8:$C$57, 0), (COLUMNS($DU18:EA18)-1)*5 + 4) = "SF"), INDEX($CZ$8:$CZ$23, COLUMNS($DU18:EA18)), "0"), "")</f>
        <v/>
      </c>
      <c r="EB18" s="395">
        <f t="array" ref="EB18">IFERROR(IF(AND(INDEX($E$8:$CE$57, MATCH($C18, $C$8:$C$57, 0), (COLUMNS($DU18:EB18)-1)*5 + 1) = INDEX($E$5:$CE$5, 1, (COLUMNS($DU18:EB18)-1)*5 + 1), INDEX($E$8:$CE$57, MATCH($C18, $C$8:$C$57, 0), (COLUMNS($DU18:EB18)-1)*5 + 4) = "SF"), INDEX($CZ$8:$CZ$23, COLUMNS($DU18:EB18)), "0"), "")</f>
        <v/>
      </c>
      <c r="EC18" s="395">
        <f t="array" ref="EC18">IFERROR(IF(AND(INDEX($E$8:$CE$57, MATCH($C18, $C$8:$C$57, 0), (COLUMNS($DU18:EC18)-1)*5 + 1) = INDEX($E$5:$CE$5, 1, (COLUMNS($DU18:EC18)-1)*5 + 1), INDEX($E$8:$CE$57, MATCH($C18, $C$8:$C$57, 0), (COLUMNS($DU18:EC18)-1)*5 + 4) = "SF"), INDEX($CZ$8:$CZ$23, COLUMNS($DU18:EC18)), "0"), "")</f>
        <v/>
      </c>
      <c r="ED18" s="395">
        <f t="array" ref="ED18">IFERROR(IF(AND(INDEX($E$8:$CE$57, MATCH($C18, $C$8:$C$57, 0), (COLUMNS($DU18:ED18)-1)*5 + 1) = INDEX($E$5:$CE$5, 1, (COLUMNS($DU18:ED18)-1)*5 + 1), INDEX($E$8:$CE$57, MATCH($C18, $C$8:$C$57, 0), (COLUMNS($DU18:ED18)-1)*5 + 4) = "SF"), INDEX($CZ$8:$CZ$23, COLUMNS($DU18:ED18)), "0"), "")</f>
        <v/>
      </c>
      <c r="EE18" s="395">
        <f t="array" ref="EE18">IFERROR(IF(AND(INDEX($E$8:$CE$57, MATCH($C18, $C$8:$C$57, 0), (COLUMNS($DU18:EE18)-1)*5 + 1) = INDEX($E$5:$CE$5, 1, (COLUMNS($DU18:EE18)-1)*5 + 1), INDEX($E$8:$CE$57, MATCH($C18, $C$8:$C$57, 0), (COLUMNS($DU18:EE18)-1)*5 + 4) = "SF"), INDEX($CZ$8:$CZ$23, COLUMNS($DU18:EE18)), "0"), "")</f>
        <v/>
      </c>
      <c r="EF18" s="395">
        <f t="array" ref="EF18">IFERROR(IF(AND(INDEX($E$8:$CE$57, MATCH($C18, $C$8:$C$57, 0), (COLUMNS($DU18:EF18)-1)*5 + 1) = INDEX($E$5:$CE$5, 1, (COLUMNS($DU18:EF18)-1)*5 + 1), INDEX($E$8:$CE$57, MATCH($C18, $C$8:$C$57, 0), (COLUMNS($DU18:EF18)-1)*5 + 4) = "SF"), INDEX($CZ$8:$CZ$23, COLUMNS($DU18:EF18)), "0"), "")</f>
        <v/>
      </c>
      <c r="EG18" s="395">
        <f t="array" ref="EG18">IFERROR(IF(AND(INDEX($E$8:$CE$57, MATCH($C18, $C$8:$C$57, 0), (COLUMNS($DU18:EG18)-1)*5 + 1) = INDEX($E$5:$CE$5, 1, (COLUMNS($DU18:EG18)-1)*5 + 1), INDEX($E$8:$CE$57, MATCH($C18, $C$8:$C$57, 0), (COLUMNS($DU18:EG18)-1)*5 + 4) = "SF"), INDEX($CZ$8:$CZ$23, COLUMNS($DU18:EG18)), "0"), "")</f>
        <v/>
      </c>
      <c r="EH18" s="395">
        <f t="array" ref="EH18">IFERROR(IF(AND(INDEX($E$8:$CE$57, MATCH($C18, $C$8:$C$57, 0), (COLUMNS($DU18:EH18)-1)*5 + 1) = INDEX($E$5:$CE$5, 1, (COLUMNS($DU18:EH18)-1)*5 + 1), INDEX($E$8:$CE$57, MATCH($C18, $C$8:$C$57, 0), (COLUMNS($DU18:EH18)-1)*5 + 4) = "SF"), INDEX($CZ$8:$CZ$23, COLUMNS($DU18:EH18)), "0"), "")</f>
        <v/>
      </c>
      <c r="EI18" s="395">
        <f t="array" ref="EI18">IFERROR(IF(AND(INDEX($E$8:$CE$57, MATCH($C18, $C$8:$C$57, 0), (COLUMNS($DU18:EI18)-1)*5 + 1) = INDEX($E$5:$CE$5, 1, (COLUMNS($DU18:EI18)-1)*5 + 1), INDEX($E$8:$CE$57, MATCH($C18, $C$8:$C$57, 0), (COLUMNS($DU18:EI18)-1)*5 + 4) = "SF"), INDEX($CZ$8:$CZ$23, COLUMNS($DU18:EI18)), "0"), "")</f>
        <v/>
      </c>
      <c r="EJ18" s="395">
        <f t="array" ref="EJ18">IFERROR(IF(AND(INDEX($E$8:$CE$57, MATCH($C18, $C$8:$C$57, 0), (COLUMNS($DU18:EJ18)-1)*5 + 1) = INDEX($E$5:$CE$5, 1, (COLUMNS($DU18:EJ18)-1)*5 + 1), INDEX($E$8:$CE$57, MATCH($C18, $C$8:$C$57, 0), (COLUMNS($DU18:EJ18)-1)*5 + 4) = "SF"), INDEX($CZ$8:$CZ$23, COLUMNS($DU18:EJ18)), "0"), "")</f>
        <v/>
      </c>
    </row>
    <row r="19" ht="20.1" customHeight="1" s="568">
      <c r="A19" s="576" t="n"/>
      <c r="B19" s="92">
        <f>IF(BASE01[[#This Row],[COD]]&lt;&gt;"",B18+1,"")</f>
        <v/>
      </c>
      <c r="C19" s="601" t="inlineStr">
        <is>
          <t>COD 12</t>
        </is>
      </c>
      <c r="D19" s="93">
        <f t="array" ref="D19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19" s="148" t="n">
        <v>1</v>
      </c>
      <c r="F19" s="148" t="n">
        <v>8</v>
      </c>
      <c r="G19" s="148" t="n">
        <v>6</v>
      </c>
      <c r="H19" s="148" t="n"/>
      <c r="I19" s="602">
        <f>SUM(IF(E19=E$5,4,0),IF(E19&amp;F19=E$5&amp;F$5,1,0),
IF(AND(E19=E$5,F$6&gt;=$D$115),1,0),
IF(AND(F19=E$5,F$6&gt;=$D$115),1,0),
IF(AND(G19=E$5,F$6&gt;=$D$115),1,0),
IF(E19&amp;H19=I$5,1,0),
IF(F19=E$5,2,0),
IF(G19=E$5,1,0),
IF(OR(E19&amp;F19&amp;G19=E$5&amp;F$5&amp;G$5,E19&amp;F19&amp;G19=E$5&amp;G$5&amp;F$5,E19&amp;F19&amp;G19=F$5&amp;E$5&amp;G$5,E19&amp;F19&amp;G19=F$5&amp;G$5&amp;E$5,E19&amp;F19&amp;G19=G$5&amp;E$5&amp;F$5,E19&amp;F19&amp;G19=G$5&amp;F$5&amp;E$5),2,0),IF(AND(E19=E$5,F$6&gt;=$D$129),1,0),IF(AND(F19=E$5,F$6&gt;=$D$129),1,0),IF(AND(G19=E$5,F$6&gt;=$D$129),1,0),IF(E19&amp;H19=H$5,4,0),IF(AND(E19=E$5,F$6&lt;=$D$104),-0.5,0),IF(AND(F19=E$5,F$6&lt;=$D$104),-0.5,0),IF(AND(G19=E$5,F$6&lt;=$D$104),-0.5,0))</f>
        <v/>
      </c>
      <c r="J19" s="148" t="n">
        <v>8</v>
      </c>
      <c r="K19" s="148" t="n">
        <v>3</v>
      </c>
      <c r="L19" s="148" t="n">
        <v>1</v>
      </c>
      <c r="M19" s="148" t="n"/>
      <c r="N19" s="602">
        <f>SUM(IF(J19=J$5,4,0),IF(J19&amp;K19=J$5&amp;K$5,1,0),
IF(AND(J19=J$5,K$6&gt;=$D$115),1,0),
IF(AND(K19=J$5,K$6&gt;=$D$115),1,0),
IF(AND(L19=J$5,K$6&gt;=$D$115),1,0),
IF(J19&amp;M19=N$5,1,0),
IF(K19=J$5,2,0),
IF(L19=J$5,1,0),
IF(OR(J19&amp;K19&amp;L19=J$5&amp;K$5&amp;L$5,J19&amp;K19&amp;L19=J$5&amp;L$5&amp;K$5,J19&amp;K19&amp;L19=K$5&amp;J$5&amp;L$5,J19&amp;K19&amp;L19=K$5&amp;L$5&amp;J$5,J19&amp;K19&amp;L19=L$5&amp;J$5&amp;K$5,J19&amp;K19&amp;L19=L$5&amp;K$5&amp;J$5),2,0),IF(AND(J19=J$5,K$6&gt;=$D$129),1,0),IF(AND(K19=J$5,K$6&gt;=$D$129),1,0),IF(AND(L19=J$5,K$6&gt;=$D$129),1,0),IF(J19&amp;M19=M$5,4,0),IF(AND(J19=J$5,K$6&lt;=$D$104),-0.5,0),IF(AND(K19=J$5,K$6&lt;=$D$104),-0.5,0),IF(AND(L19=J$5,K$6&lt;=$D$104),-0.5,0))</f>
        <v/>
      </c>
      <c r="O19" s="148" t="n">
        <v>3</v>
      </c>
      <c r="P19" s="148" t="n">
        <v>6</v>
      </c>
      <c r="Q19" s="148" t="n">
        <v>2</v>
      </c>
      <c r="R19" s="148" t="n"/>
      <c r="S19" s="602">
        <f>SUM(IF(O19=O$5,4,0),IF(O19&amp;P19=O$5&amp;P$5,1,0),
IF(AND(O19=O$5,P$6&gt;=$D$115),1,0),
IF(AND(P19=O$5,P$6&gt;=$D$115),1,0),
IF(AND(Q19=O$5,P$6&gt;=$D$115),1,0),
IF(O19&amp;R19=S$5,1,0),
IF(P19=O$5,2,0),
IF(Q19=O$5,1,0),
IF(OR(O19&amp;P19&amp;Q19=O$5&amp;P$5&amp;Q$5,O19&amp;P19&amp;Q19=O$5&amp;Q$5&amp;P$5,O19&amp;P19&amp;Q19=P$5&amp;O$5&amp;Q$5,O19&amp;P19&amp;Q19=P$5&amp;Q$5&amp;O$5,O19&amp;P19&amp;Q19=Q$5&amp;O$5&amp;P$5,O19&amp;P19&amp;Q19=Q$5&amp;P$5&amp;O$5),2,0),IF(AND(O19=O$5,P$6&gt;=$D$129),1,0),IF(AND(P19=O$5,P$6&gt;=$D$129),1,0),IF(AND(Q19=O$5,P$6&gt;=$D$129),1,0),IF(O19&amp;R19=R$5,4,0),IF(AND(O19=O$5,P$6&lt;=$D$104),-0.5,0),IF(AND(P19=O$5,P$6&lt;=$D$104),-0.5,0),IF(AND(Q19=O$5,P$6&lt;=$D$104),-0.5,0))</f>
        <v/>
      </c>
      <c r="T19" s="148" t="n">
        <v>6</v>
      </c>
      <c r="U19" s="148" t="n">
        <v>8</v>
      </c>
      <c r="V19" s="148" t="n">
        <v>4</v>
      </c>
      <c r="W19" s="148" t="n"/>
      <c r="X19" s="602">
        <f>SUM(IF(T19=T$5,4,0),IF(T19&amp;U19=T$5&amp;U$5,1,0),
IF(AND(T19=T$5,U$6&gt;=$D$115),1,0),
IF(AND(U19=T$5,U$6&gt;=$D$115),1,0),
IF(AND(V19=T$5,U$6&gt;=$D$115),1,0),
IF(T19&amp;W19=X$5,1,0),
IF(U19=T$5,2,0),
IF(V19=T$5,1,0),
IF(OR(T19&amp;U19&amp;V19=T$5&amp;U$5&amp;V$5,T19&amp;U19&amp;V19=T$5&amp;V$5&amp;U$5,T19&amp;U19&amp;V19=U$5&amp;T$5&amp;V$5,T19&amp;U19&amp;V19=U$5&amp;V$5&amp;T$5,T19&amp;U19&amp;V19=V$5&amp;T$5&amp;U$5,T19&amp;U19&amp;V19=V$5&amp;U$5&amp;T$5),2,0),IF(AND(T19=T$5,U$6&gt;=$D$129),1,0),IF(AND(U19=T$5,U$6&gt;=$D$129),1,0),IF(AND(V19=T$5,U$6&gt;=$D$129),1,0),IF(T19&amp;W19=W$5,4,0),IF(AND(T19=T$5,U$6&lt;=$D$104),-0.5,0),IF(AND(U19=T$5,U$6&lt;=$D$104),-0.5,0),IF(AND(V19=T$5,U$6&lt;=$D$104),-0.5,0))</f>
        <v/>
      </c>
      <c r="Y19" s="148" t="n">
        <v>5</v>
      </c>
      <c r="Z19" s="148" t="n">
        <v>10</v>
      </c>
      <c r="AA19" s="148" t="n">
        <v>4</v>
      </c>
      <c r="AB19" s="148" t="inlineStr">
        <is>
          <t>F</t>
        </is>
      </c>
      <c r="AC19" s="602">
        <f>SUM(IF(Y19=Y$5,4,0),IF(Y19&amp;Z19=Y$5&amp;Z$5,1,0),
IF(AND(Y19=Y$5,Z$6&gt;=$D$115),1,0),
IF(AND(Z19=Y$5,Z$6&gt;=$D$115),1,0),
IF(AND(AA19=Y$5,Z$6&gt;=$D$115),1,0),
IF(Y19&amp;AB19=AC$5,1,0),
IF(Z19=Y$5,2,0),
IF(AA19=Y$5,1,0),
IF(OR(Y19&amp;Z19&amp;AA19=Y$5&amp;Z$5&amp;AA$5,Y19&amp;Z19&amp;AA19=Y$5&amp;AA$5&amp;Z$5,Y19&amp;Z19&amp;AA19=Z$5&amp;Y$5&amp;AA$5,Y19&amp;Z19&amp;AA19=Z$5&amp;AA$5&amp;Y$5,Y19&amp;Z19&amp;AA19=AA$5&amp;Y$5&amp;Z$5,Y19&amp;Z19&amp;AA19=AA$5&amp;Z$5&amp;Y$5),2,0),IF(AND(Y19=Y$5,Z$6&gt;=$D$129),1,0),IF(AND(Z19=Y$5,Z$6&gt;=$D$129),1,0),IF(AND(AA19=Y$5,Z$6&gt;=$D$129),1,0),IF(Y19&amp;AB19=AB$5,4,0),IF(AND(Y19=Y$5,Z$6&lt;=$D$104),-0.5,0),IF(AND(Z19=Y$5,Z$6&lt;=$D$104),-0.5,0),IF(AND(AA19=Y$5,Z$6&lt;=$D$104),-0.5,0))</f>
        <v/>
      </c>
      <c r="AD19" s="148" t="n">
        <v>2</v>
      </c>
      <c r="AE19" s="148" t="n">
        <v>7</v>
      </c>
      <c r="AF19" s="148" t="n">
        <v>5</v>
      </c>
      <c r="AG19" s="148" t="n"/>
      <c r="AH19" s="602">
        <f>SUM(IF(AD19=AD$5,4,0),IF(AD19&amp;AE19=AD$5&amp;AE$5,1,0),
IF(AND(AD19=AD$5,AE$6&gt;=$D$115),1,0),
IF(AND(AE19=AD$5,AE$6&gt;=$D$115),1,0),
IF(AND(AF19=AD$5,AE$6&gt;=$D$115),1,0),
IF(AD19&amp;AG19=AH$5,1,0),
IF(AE19=AD$5,2,0),
IF(AF19=AD$5,1,0),
IF(OR(AD19&amp;AE19&amp;AF19=AD$5&amp;AE$5&amp;AF$5,AD19&amp;AE19&amp;AF19=AD$5&amp;AF$5&amp;AE$5,AD19&amp;AE19&amp;AF19=AE$5&amp;AD$5&amp;AF$5,AD19&amp;AE19&amp;AF19=AE$5&amp;AF$5&amp;AD$5,AD19&amp;AE19&amp;AF19=AF$5&amp;AD$5&amp;AE$5,AD19&amp;AE19&amp;AF19=AF$5&amp;AE$5&amp;AD$5),2,0),IF(AND(AD19=AD$5,AE$6&gt;=$D$129),1,0),IF(AND(AE19=AD$5,AE$6&gt;=$D$129),1,0),IF(AND(AF19=AD$5,AE$6&gt;=$D$129),1,0),IF(AD19&amp;AG19=AG$5,4,0),IF(AND(AD19=AD$5,AE$6&lt;=$D$104),-0.5,0),IF(AND(AE19=AD$5,AE$6&lt;=$D$104),-0.5,0),IF(AND(AF19=AD$5,AE$6&lt;=$D$104),-0.5,0))</f>
        <v/>
      </c>
      <c r="AI19" s="148" t="n">
        <v>2</v>
      </c>
      <c r="AJ19" s="148" t="n">
        <v>4</v>
      </c>
      <c r="AK19" s="148" t="n">
        <v>3</v>
      </c>
      <c r="AL19" s="148" t="n"/>
      <c r="AM19" s="602">
        <f>SUM(IF(AI19=AI$5,4,0),IF(AI19&amp;AJ19=AI$5&amp;AJ$5,1,0),
IF(AND(AI19=AI$5,AJ$6&gt;=$D$115),1,0),
IF(AND(AJ19=AI$5,AJ$6&gt;=$D$115),1,0),
IF(AND(AK19=AI$5,AJ$6&gt;=$D$115),1,0),
IF(AI19&amp;AL19=AM$5,1,0),
IF(AJ19=AI$5,2,0),
IF(AK19=AI$5,1,0),
IF(OR(AI19&amp;AJ19&amp;AK19=AI$5&amp;AJ$5&amp;AK$5,AI19&amp;AJ19&amp;AK19=AI$5&amp;AK$5&amp;AJ$5,AI19&amp;AJ19&amp;AK19=AJ$5&amp;AI$5&amp;AK$5,AI19&amp;AJ19&amp;AK19=AJ$5&amp;AK$5&amp;AI$5,AI19&amp;AJ19&amp;AK19=AK$5&amp;AI$5&amp;AJ$5,AI19&amp;AJ19&amp;AK19=AK$5&amp;AJ$5&amp;AI$5),2,0),IF(AND(AI19=AI$5,AJ$6&gt;=$D$129),1,0),IF(AND(AJ19=AI$5,AJ$6&gt;=$D$129),1,0),IF(AND(AK19=AI$5,AJ$6&gt;=$D$129),1,0),IF(AI19&amp;AL19=AL$5,4,0),IF(AND(AI19=AI$5,AJ$6&lt;=$D$104),-0.5,0),IF(AND(AJ19=AI$5,AJ$6&lt;=$D$104),-0.5,0),IF(AND(AK19=AI$5,AJ$6&lt;=$D$104),-0.5,0))</f>
        <v/>
      </c>
      <c r="AN19" s="148" t="n">
        <v>8</v>
      </c>
      <c r="AO19" s="148" t="n">
        <v>10</v>
      </c>
      <c r="AP19" s="148" t="n">
        <v>9</v>
      </c>
      <c r="AQ19" s="148" t="inlineStr">
        <is>
          <t>F</t>
        </is>
      </c>
      <c r="AR19" s="602">
        <f>SUM(IF(AN19=AN$5,4,0),IF(AN19&amp;AO19=AN$5&amp;AO$5,1,0),
IF(AND(AN19=AN$5,AO$6&gt;=$D$115),1,0),
IF(AND(AO19=AN$5,AO$6&gt;=$D$115),1,0),
IF(AND(AP19=AN$5,AO$6&gt;=$D$115),1,0),
IF(AN19&amp;AQ19=AR$5,1,0),
IF(AO19=AN$5,2,0),
IF(AP19=AN$5,1,0),
IF(OR(AN19&amp;AO19&amp;AP19=AN$5&amp;AO$5&amp;AP$5,AN19&amp;AO19&amp;AP19=AN$5&amp;AP$5&amp;AO$5,AN19&amp;AO19&amp;AP19=AO$5&amp;AN$5&amp;AP$5,AN19&amp;AO19&amp;AP19=AO$5&amp;AP$5&amp;AN$5,AN19&amp;AO19&amp;AP19=AP$5&amp;AN$5&amp;AO$5,AN19&amp;AO19&amp;AP19=AP$5&amp;AO$5&amp;AN$5),2,0),IF(AND(AN19=AN$5,AO$6&gt;=$D$129),1,0),IF(AND(AO19=AN$5,AO$6&gt;=$D$129),1,0),IF(AND(AP19=AN$5,AO$6&gt;=$D$129),1,0),IF(AN19&amp;AQ19=AQ$5,4,0),IF(AND(AN19=AN$5,AO$6&lt;=$D$104),-0.5,0),IF(AND(AO19=AN$5,AO$6&lt;=$D$104),-0.5,0),IF(AND(AP19=AN$5,AO$6&lt;=$D$104),-0.5,0))</f>
        <v/>
      </c>
      <c r="AS19" s="148" t="n">
        <v>7</v>
      </c>
      <c r="AT19" s="148" t="n">
        <v>1</v>
      </c>
      <c r="AU19" s="148" t="n">
        <v>2</v>
      </c>
      <c r="AV19" s="148" t="n"/>
      <c r="AW19" s="602">
        <f>SUM(IF(AS19=AS$5,4,0),IF(AS19&amp;AT19=AS$5&amp;AT$5,1,0),
IF(AND(AS19=AS$5,AT$6&gt;=$D$115),1,0),
IF(AND(AT19=AS$5,AT$6&gt;=$D$115),1,0),
IF(AND(AU19=AS$5,AT$6&gt;=$D$115),1,0),
IF(AS19&amp;AV19=AW$5,1,0),
IF(AT19=AS$5,2,0),
IF(AU19=AS$5,1,0),
IF(OR(AS19&amp;AT19&amp;AU19=AS$5&amp;AT$5&amp;AU$5,AS19&amp;AT19&amp;AU19=AS$5&amp;AU$5&amp;AT$5,AS19&amp;AT19&amp;AU19=AT$5&amp;AS$5&amp;AU$5,AS19&amp;AT19&amp;AU19=AT$5&amp;AU$5&amp;AS$5,AS19&amp;AT19&amp;AU19=AU$5&amp;AS$5&amp;AT$5,AS19&amp;AT19&amp;AU19=AU$5&amp;AT$5&amp;AS$5),2,0),IF(AND(AS19=AS$5,AT$6&gt;=$D$129),1,0),IF(AND(AT19=AS$5,AT$6&gt;=$D$129),1,0),IF(AND(AU19=AS$5,AT$6&gt;=$D$129),1,0),IF(AS19&amp;AV19=AV$5,4,0),IF(AND(AS19=AS$5,AT$6&lt;=$D$104),-0.5,0),IF(AND(AT19=AS$5,AT$6&lt;=$D$104),-0.5,0),IF(AND(AU19=AS$5,AT$6&lt;=$D$104),-0.5,0))</f>
        <v/>
      </c>
      <c r="AX19" s="148" t="n">
        <v>9</v>
      </c>
      <c r="AY19" s="148" t="n">
        <v>1</v>
      </c>
      <c r="AZ19" s="148" t="n">
        <v>8</v>
      </c>
      <c r="BA19" s="148" t="n"/>
      <c r="BB19" s="602">
        <f>SUM(IF(AX19=AX$5,4,0),IF(AX19&amp;AY19=AX$5&amp;AY$5,1,0),
IF(AND(AX19=AX$5,AY$6&gt;=$D$115),1,0),
IF(AND(AY19=AX$5,AY$6&gt;=$D$115),1,0),
IF(AND(AZ19=AX$5,AY$6&gt;=$D$115),1,0),
IF(AX19&amp;BA19=BB$5,1,0),
IF(AY19=AX$5,2,0),
IF(AZ19=AX$5,1,0),
IF(OR(AX19&amp;AY19&amp;AZ19=AX$5&amp;AY$5&amp;AZ$5,AX19&amp;AY19&amp;AZ19=AX$5&amp;AZ$5&amp;AY$5,AX19&amp;AY19&amp;AZ19=AY$5&amp;AX$5&amp;AZ$5,AX19&amp;AY19&amp;AZ19=AY$5&amp;AZ$5&amp;AX$5,AX19&amp;AY19&amp;AZ19=AZ$5&amp;AX$5&amp;AY$5,AX19&amp;AY19&amp;AZ19=AZ$5&amp;AY$5&amp;AX$5),2,0),IF(AND(AX19=AX$5,AY$6&gt;=$D$129),1,0),IF(AND(AY19=AX$5,AY$6&gt;=$D$129),1,0),IF(AND(AZ19=AX$5,AY$6&gt;=$D$129),1,0),IF(AX19&amp;BA19=BA$5,4,0),IF(AND(AX19=AX$5,AY$6&lt;=$D$104),-0.5,0),IF(AND(AY19=AX$5,AY$6&lt;=$D$104),-0.5,0),IF(AND(AZ19=AX$5,AY$6&lt;=$D$104),-0.5,0))</f>
        <v/>
      </c>
      <c r="BC19" s="148" t="n">
        <v>2</v>
      </c>
      <c r="BD19" s="148" t="n">
        <v>4</v>
      </c>
      <c r="BE19" s="148" t="n">
        <v>6</v>
      </c>
      <c r="BF19" s="148" t="n"/>
      <c r="BG19" s="602">
        <f>SUM(IF(BC19=BC$5,4,0),IF(BC19&amp;BD19=BC$5&amp;BD$5,1,0),
IF(AND(BC19=BC$5,BD$6&gt;=$D$115),1,0),
IF(AND(BD19=BC$5,BD$6&gt;=$D$115),1,0),
IF(AND(BE19=BC$5,BD$6&gt;=$D$115),1,0),
IF(BC19&amp;BF19=BG$5,1,0),
IF(BD19=BC$5,2,0),
IF(BE19=BC$5,1,0),
IF(OR(BC19&amp;BD19&amp;BE19=BC$5&amp;BD$5&amp;BE$5,BC19&amp;BD19&amp;BE19=BC$5&amp;BE$5&amp;BD$5,BC19&amp;BD19&amp;BE19=BD$5&amp;BC$5&amp;BE$5,BC19&amp;BD19&amp;BE19=BD$5&amp;BE$5&amp;BC$5,BC19&amp;BD19&amp;BE19=BE$5&amp;BC$5&amp;BD$5,BC19&amp;BD19&amp;BE19=BE$5&amp;BD$5&amp;BC$5),2,0),IF(AND(BC19=BC$5,BD$6&gt;=$D$129),1,0),IF(AND(BD19=BC$5,BD$6&gt;=$D$129),1,0),IF(AND(BE19=BC$5,BD$6&gt;=$D$129),1,0),IF(BC19&amp;BF19=BF$5,4,0),IF(AND(BC19=BC$5,BD$6&lt;=$D$104),-0.5,0),IF(AND(BD19=BC$5,BD$6&lt;=$D$104),-0.5,0),IF(AND(BE19=BC$5,BD$6&lt;=$D$104),-0.5,0))</f>
        <v/>
      </c>
      <c r="BH19" s="148" t="n">
        <v>5</v>
      </c>
      <c r="BI19" s="148" t="n">
        <v>1</v>
      </c>
      <c r="BJ19" s="148" t="n">
        <v>6</v>
      </c>
      <c r="BK19" s="148" t="n"/>
      <c r="BL19" s="602">
        <f>SUM(IF(BH19=BH$5,4,0),IF(BH19&amp;BI19=BH$5&amp;BI$5,1,0),
IF(AND(BH19=BH$5,BI$6&gt;=$D$115),1,0),
IF(AND(BI19=BH$5,BI$6&gt;=$D$115),1,0),
IF(AND(BJ19=BH$5,BI$6&gt;=$D$115),1,0),
IF(BH19&amp;BK19=BL$5,1,0),
IF(BI19=BH$5,2,0),
IF(BJ19=BH$5,1,0),
IF(OR(BH19&amp;BI19&amp;BJ19=BH$5&amp;BI$5&amp;BJ$5,BH19&amp;BI19&amp;BJ19=BH$5&amp;BJ$5&amp;BI$5,BH19&amp;BI19&amp;BJ19=BI$5&amp;BH$5&amp;BJ$5,BH19&amp;BI19&amp;BJ19=BI$5&amp;BJ$5&amp;BH$5,BH19&amp;BI19&amp;BJ19=BJ$5&amp;BH$5&amp;BI$5,BH19&amp;BI19&amp;BJ19=BJ$5&amp;BI$5&amp;BH$5),2,0),IF(AND(BH19=BH$5,BI$6&gt;=$D$129),1,0),IF(AND(BI19=BH$5,BI$6&gt;=$D$129),1,0),IF(AND(BJ19=BH$5,BI$6&gt;=$D$129),1,0),IF(BH19&amp;BK19=BK$5,4,0),IF(AND(BH19=BH$5,BI$6&lt;=$D$104),-0.5,0),IF(AND(BI19=BH$5,BI$6&lt;=$D$104),-0.5,0),IF(AND(BJ19=BH$5,BI$6&lt;=$D$104),-0.5,0))</f>
        <v/>
      </c>
      <c r="BM19" s="148" t="n">
        <v>9</v>
      </c>
      <c r="BN19" s="148" t="n">
        <v>2</v>
      </c>
      <c r="BO19" s="148" t="n">
        <v>10</v>
      </c>
      <c r="BP19" s="148" t="n"/>
      <c r="BQ19" s="602">
        <f>SUM(IF(BM19=BM$5,4,0),IF(BM19&amp;BN19=BM$5&amp;BN$5,1,0),
IF(AND(BM19=BM$5,BN$6&gt;=$D$115),1,0),
IF(AND(BN19=BM$5,BN$6&gt;=$D$115),1,0),
IF(AND(BO19=BM$5,BN$6&gt;=$D$115),1,0),
IF(BM19&amp;BP19=BQ$5,1,0),
IF(BN19=BM$5,2,0),
IF(BO19=BM$5,1,0),
IF(OR(BM19&amp;BN19&amp;BO19=BM$5&amp;BN$5&amp;BO$5,BM19&amp;BN19&amp;BO19=BM$5&amp;BO$5&amp;BN$5,BM19&amp;BN19&amp;BO19=BN$5&amp;BM$5&amp;BO$5,BM19&amp;BN19&amp;BO19=BN$5&amp;BO$5&amp;BM$5,BM19&amp;BN19&amp;BO19=BO$5&amp;BM$5&amp;BN$5,BM19&amp;BN19&amp;BO19=BO$5&amp;BN$5&amp;BM$5),2,0),IF(AND(BM19=BM$5,BN$6&gt;=$D$129),1,0),IF(AND(BN19=BM$5,BN$6&gt;=$D$129),1,0),IF(AND(BO19=BM$5,BN$6&gt;=$D$129),1,0),IF(BM19&amp;BP19=BP$5,4,0),IF(AND(BM19=BM$5,BN$6&lt;=$D$104),-0.5,0),IF(AND(BN19=BM$5,BN$6&lt;=$D$104),-0.5,0),IF(AND(BO19=BM$5,BN$6&lt;=$D$104),-0.5,0))</f>
        <v/>
      </c>
      <c r="BR19" s="148" t="n"/>
      <c r="BS19" s="148" t="n"/>
      <c r="BT19" s="148" t="n"/>
      <c r="BU19" s="148" t="n"/>
      <c r="BV19" s="602">
        <f>SUM(IF(BR19=BR$5,4,0),IF(BR19&amp;BS19=BR$5&amp;BS$5,1,0),
IF(AND(BR19=BR$5,BS$6&gt;=$D$115),1,0),
IF(AND(BS19=BR$5,BS$6&gt;=$D$115),1,0),
IF(AND(BT19=BR$5,BS$6&gt;=$D$115),1,0),
IF(BR19&amp;BU19=BV$5,1,0),
IF(BS19=BR$5,2,0),
IF(BT19=BR$5,1,0),
IF(OR(BR19&amp;BS19&amp;BT19=BR$5&amp;BS$5&amp;BT$5,BR19&amp;BS19&amp;BT19=BR$5&amp;BT$5&amp;BS$5,BR19&amp;BS19&amp;BT19=BS$5&amp;BR$5&amp;BT$5,BR19&amp;BS19&amp;BT19=BS$5&amp;BT$5&amp;BR$5,BR19&amp;BS19&amp;BT19=BT$5&amp;BR$5&amp;BS$5,BR19&amp;BS19&amp;BT19=BT$5&amp;BS$5&amp;BR$5),2,0),IF(AND(BR19=BR$5,BS$6&gt;=$D$129),1,0),IF(AND(BS19=BR$5,BS$6&gt;=$D$129),1,0),IF(AND(BT19=BR$5,BS$6&gt;=$D$129),1,0),IF(BR19&amp;BU19=BU$5,4,0),IF(AND(BR19=BR$5,BS$6&lt;=$D$104),-0.5,0),IF(AND(BS19=BR$5,BS$6&lt;=$D$104),-0.5,0),IF(AND(BT19=BR$5,BS$6&lt;=$D$104),-0.5,0))</f>
        <v/>
      </c>
      <c r="BW19" s="148" t="n"/>
      <c r="BX19" s="148" t="n"/>
      <c r="BY19" s="148" t="n"/>
      <c r="BZ19" s="148" t="n"/>
      <c r="CA19" s="602">
        <f>SUM(IF(BW19=BW$5,4,0),IF(BW19&amp;BX19=BW$5&amp;BX$5,1,0),
IF(AND(BW19=BW$5,BX$6&gt;=$D$115),1,0),
IF(AND(BX19=BW$5,BX$6&gt;=$D$115),1,0),
IF(AND(BY19=BW$5,BX$6&gt;=$D$115),1,0),
IF(BW19&amp;BZ19=CA$5,1,0),
IF(BX19=BW$5,2,0),
IF(BY19=BW$5,1,0),
IF(OR(BW19&amp;BX19&amp;BY19=BW$5&amp;BX$5&amp;BY$5,BW19&amp;BX19&amp;BY19=BW$5&amp;BY$5&amp;BX$5,BW19&amp;BX19&amp;BY19=BX$5&amp;BW$5&amp;BY$5,BW19&amp;BX19&amp;BY19=BX$5&amp;BY$5&amp;BW$5,BW19&amp;BX19&amp;BY19=BY$5&amp;BW$5&amp;BX$5,BW19&amp;BX19&amp;BY19=BY$5&amp;BX$5&amp;BW$5),2,0),IF(AND(BW19=BW$5,BX$6&gt;=$D$129),1,0),IF(AND(BX19=BW$5,BX$6&gt;=$D$129),1,0),IF(AND(BY19=BW$5,BX$6&gt;=$D$129),1,0),IF(BW19&amp;BZ19=BZ$5,4,0),IF(AND(BW19=BW$5,BX$6&lt;=$D$104),-0.5,0),IF(AND(BX19=BW$5,BX$6&lt;=$D$104),-0.5,0),IF(AND(BY19=BW$5,BX$6&lt;=$D$104),-0.5,0))</f>
        <v/>
      </c>
      <c r="CB19" s="148" t="n"/>
      <c r="CC19" s="148" t="n"/>
      <c r="CD19" s="148" t="n"/>
      <c r="CE19" s="148" t="n"/>
      <c r="CF19" s="602">
        <f>SUM(IF(CB19=CB$5,4,0),IF(CB19&amp;CC19=CB$5&amp;CC$5,1,0),
IF(AND(CB19=CB$5,CC$6&gt;=$D$115),1,0),
IF(AND(CC19=CB$5,CC$6&gt;=$D$115),1,0),
IF(AND(CD19=CB$5,CC$6&gt;=$D$115),1,0),
IF(CB19&amp;CE19=CF$5,1,0),
IF(CC19=CB$5,2,0),
IF(CD19=CB$5,1,0),
IF(OR(CB19&amp;CC19&amp;CD19=CB$5&amp;CC$5&amp;CD$5,CB19&amp;CC19&amp;CD19=CB$5&amp;CD$5&amp;CC$5,CB19&amp;CC19&amp;CD19=CC$5&amp;CB$5&amp;CD$5,CB19&amp;CC19&amp;CD19=CC$5&amp;CD$5&amp;CB$5,CB19&amp;CC19&amp;CD19=CD$5&amp;CB$5&amp;CC$5,CB19&amp;CC19&amp;CD19=CD$5&amp;CC$5&amp;CB$5),2,0),IF(AND(CB19=CB$5,CC$6&gt;=$D$129),1,0),IF(AND(CC19=CB$5,CC$6&gt;=$D$129),1,0),IF(AND(CD19=CB$5,CC$6&gt;=$D$129),1,0),IF(CB19&amp;CE19=CE$5,4,0),IF(AND(CB19=CB$5,CC$6&lt;=$D$104),-0.5,0),IF(AND(CC19=CB$5,CC$6&lt;=$D$104),-0.5,0),IF(AND(CD19=CB$5,CC$6&lt;=$D$104),-0.5,0))</f>
        <v/>
      </c>
      <c r="CG19" s="164">
        <f>IF(BASE01[[#This Row],[1]]="",0,$B$4)</f>
        <v/>
      </c>
      <c r="CH19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19" s="166">
        <f>IF(BASE01[[#This Row],[Columna14]]=0,0,(CH19/CG19))</f>
        <v/>
      </c>
      <c r="CJ19" s="165">
        <f>IF(BASE01[[#This Row],[1]]="",0,$B$4)</f>
        <v/>
      </c>
      <c r="CK19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19" s="166">
        <f>IF(BASE01[[#This Row],[Columna14]]=0,0,(CK19/CJ19))</f>
        <v/>
      </c>
      <c r="CM19" s="164">
        <f>IF(BASE01[[#This Row],[1]]="",0,$B$4)</f>
        <v/>
      </c>
      <c r="CN19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19" s="166">
        <f>IF(BASE01[[#This Row],[Columna14]]=0,0,(CN19/CM19))</f>
        <v/>
      </c>
      <c r="CP19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19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Row],[Columna25]],$AX$5,BA19,"SF")+COUNTIFS(BASE01[[#This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19" s="166">
        <f>IF(BASE01[[#This Row],[Columna14]]=0,0,(CQ19/CP19))</f>
        <v/>
      </c>
      <c r="CS19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19" s="95" t="n"/>
      <c r="CU19" s="604">
        <f>SUM(CS19,CT19)</f>
        <v/>
      </c>
      <c r="CV19" s="96">
        <f>IF(BASE01[[#This Row],[TIPO]]="PREMIO",$O$3,"0,00")</f>
        <v/>
      </c>
      <c r="CW19" s="576" t="n"/>
      <c r="CY19" s="393" t="n">
        <v>12</v>
      </c>
      <c r="CZ19" s="354">
        <f>BI$6</f>
        <v/>
      </c>
      <c r="DB19" s="605">
        <f>BASE01[[#This Row],[COD]]</f>
        <v/>
      </c>
      <c r="DC19" s="395">
        <f t="array" ref="DC19">IFERROR(IF(AND(INDEX($E$8:$CE$57, MATCH($C19, $C$8:$C$57, 0), (COLUMNS($DC19:DC19)-1)*5 + 1) = INDEX($E$5:$CE$5, 1, (COLUMNS($DC19:DC19)-1)*5 + 1), INDEX($E$8:$CE$57, MATCH($C19, $C$8:$C$57, 0), (COLUMNS($DC19:DC19)-1)*5 + 4) = "F"), INDEX($CZ$8:$CZ$23, COLUMNS($DC19:DC19)), "0"), "")</f>
        <v/>
      </c>
      <c r="DD19" s="395">
        <f t="array" ref="DD19">IFERROR(IF(AND(INDEX($E$8:$CE$57, MATCH($C19, $C$8:$C$57, 0), (COLUMNS($DC19:DD19)-1)*5 + 1) = INDEX($E$5:$CE$5, 1, (COLUMNS($DC19:DD19)-1)*5 + 1), INDEX($E$8:$CE$57, MATCH($C19, $C$8:$C$57, 0), (COLUMNS($DC19:DD19)-1)*5 + 4) = "F"), INDEX($CZ$8:$CZ$23, COLUMNS($DC19:DD19)), "0"), "")</f>
        <v/>
      </c>
      <c r="DE19" s="395">
        <f t="array" ref="DE19">IFERROR(IF(AND(INDEX($E$8:$CE$57, MATCH($C19, $C$8:$C$57, 0), (COLUMNS($DC19:DE19)-1)*5 + 1) = INDEX($E$5:$CE$5, 1, (COLUMNS($DC19:DE19)-1)*5 + 1), INDEX($E$8:$CE$57, MATCH($C19, $C$8:$C$57, 0), (COLUMNS($DC19:DE19)-1)*5 + 4) = "F"), INDEX($CZ$8:$CZ$23, COLUMNS($DC19:DE19)), "0"), "")</f>
        <v/>
      </c>
      <c r="DF19" s="395">
        <f t="array" ref="DF19">IFERROR(IF(AND(INDEX($E$8:$CE$57, MATCH($C19, $C$8:$C$57, 0), (COLUMNS($DC19:DF19)-1)*5 + 1) = INDEX($E$5:$CE$5, 1, (COLUMNS($DC19:DF19)-1)*5 + 1), INDEX($E$8:$CE$57, MATCH($C19, $C$8:$C$57, 0), (COLUMNS($DC19:DF19)-1)*5 + 4) = "F"), INDEX($CZ$8:$CZ$23, COLUMNS($DC19:DF19)), "0"), "")</f>
        <v/>
      </c>
      <c r="DG19" s="395">
        <f t="array" ref="DG19">IFERROR(IF(AND(INDEX($E$8:$CE$57, MATCH($C19, $C$8:$C$57, 0), (COLUMNS($DC19:DG19)-1)*5 + 1) = INDEX($E$5:$CE$5, 1, (COLUMNS($DC19:DG19)-1)*5 + 1), INDEX($E$8:$CE$57, MATCH($C19, $C$8:$C$57, 0), (COLUMNS($DC19:DG19)-1)*5 + 4) = "F"), INDEX($CZ$8:$CZ$23, COLUMNS($DC19:DG19)), "0"), "")</f>
        <v/>
      </c>
      <c r="DH19" s="395">
        <f t="array" ref="DH19">IFERROR(IF(AND(INDEX($E$8:$CE$57, MATCH($C19, $C$8:$C$57, 0), (COLUMNS($DC19:DH19)-1)*5 + 1) = INDEX($E$5:$CE$5, 1, (COLUMNS($DC19:DH19)-1)*5 + 1), INDEX($E$8:$CE$57, MATCH($C19, $C$8:$C$57, 0), (COLUMNS($DC19:DH19)-1)*5 + 4) = "F"), INDEX($CZ$8:$CZ$23, COLUMNS($DC19:DH19)), "0"), "")</f>
        <v/>
      </c>
      <c r="DI19" s="395">
        <f t="array" ref="DI19">IFERROR(IF(AND(INDEX($E$8:$CE$57, MATCH($C19, $C$8:$C$57, 0), (COLUMNS($DC19:DI19)-1)*5 + 1) = INDEX($E$5:$CE$5, 1, (COLUMNS($DC19:DI19)-1)*5 + 1), INDEX($E$8:$CE$57, MATCH($C19, $C$8:$C$57, 0), (COLUMNS($DC19:DI19)-1)*5 + 4) = "F"), INDEX($CZ$8:$CZ$23, COLUMNS($DC19:DI19)), "0"), "")</f>
        <v/>
      </c>
      <c r="DJ19" s="395">
        <f t="array" ref="DJ19">IFERROR(IF(AND(INDEX($E$8:$CE$57, MATCH($C19, $C$8:$C$57, 0), (COLUMNS($DC19:DJ19)-1)*5 + 1) = INDEX($E$5:$CE$5, 1, (COLUMNS($DC19:DJ19)-1)*5 + 1), INDEX($E$8:$CE$57, MATCH($C19, $C$8:$C$57, 0), (COLUMNS($DC19:DJ19)-1)*5 + 4) = "F"), INDEX($CZ$8:$CZ$23, COLUMNS($DC19:DJ19)), "0"), "")</f>
        <v/>
      </c>
      <c r="DK19" s="395">
        <f t="array" ref="DK19">IFERROR(IF(AND(INDEX($E$8:$CE$57, MATCH($C19, $C$8:$C$57, 0), (COLUMNS($DC19:DK19)-1)*5 + 1) = INDEX($E$5:$CE$5, 1, (COLUMNS($DC19:DK19)-1)*5 + 1), INDEX($E$8:$CE$57, MATCH($C19, $C$8:$C$57, 0), (COLUMNS($DC19:DK19)-1)*5 + 4) = "F"), INDEX($CZ$8:$CZ$23, COLUMNS($DC19:DK19)), "0"), "")</f>
        <v/>
      </c>
      <c r="DL19" s="395">
        <f t="array" ref="DL19">IFERROR(IF(AND(INDEX($E$8:$CE$57, MATCH($C19, $C$8:$C$57, 0), (COLUMNS($DC19:DL19)-1)*5 + 1) = INDEX($E$5:$CE$5, 1, (COLUMNS($DC19:DL19)-1)*5 + 1), INDEX($E$8:$CE$57, MATCH($C19, $C$8:$C$57, 0), (COLUMNS($DC19:DL19)-1)*5 + 4) = "F"), INDEX($CZ$8:$CZ$23, COLUMNS($DC19:DL19)), "0"), "")</f>
        <v/>
      </c>
      <c r="DM19" s="395">
        <f t="array" ref="DM19">IFERROR(IF(AND(INDEX($E$8:$CE$57, MATCH($C19, $C$8:$C$57, 0), (COLUMNS($DC19:DM19)-1)*5 + 1) = INDEX($E$5:$CE$5, 1, (COLUMNS($DC19:DM19)-1)*5 + 1), INDEX($E$8:$CE$57, MATCH($C19, $C$8:$C$57, 0), (COLUMNS($DC19:DM19)-1)*5 + 4) = "F"), INDEX($CZ$8:$CZ$23, COLUMNS($DC19:DM19)), "0"), "")</f>
        <v/>
      </c>
      <c r="DN19" s="395">
        <f t="array" ref="DN19">IFERROR(IF(AND(INDEX($E$8:$CE$57, MATCH($C19, $C$8:$C$57, 0), (COLUMNS($DC19:DN19)-1)*5 + 1) = INDEX($E$5:$CE$5, 1, (COLUMNS($DC19:DN19)-1)*5 + 1), INDEX($E$8:$CE$57, MATCH($C19, $C$8:$C$57, 0), (COLUMNS($DC19:DN19)-1)*5 + 4) = "F"), INDEX($CZ$8:$CZ$23, COLUMNS($DC19:DN19)), "0"), "")</f>
        <v/>
      </c>
      <c r="DO19" s="395">
        <f t="array" ref="DO19">IFERROR(IF(AND(INDEX($E$8:$CE$57, MATCH($C19, $C$8:$C$57, 0), (COLUMNS($DC19:DO19)-1)*5 + 1) = INDEX($E$5:$CE$5, 1, (COLUMNS($DC19:DO19)-1)*5 + 1), INDEX($E$8:$CE$57, MATCH($C19, $C$8:$C$57, 0), (COLUMNS($DC19:DO19)-1)*5 + 4) = "F"), INDEX($CZ$8:$CZ$23, COLUMNS($DC19:DO19)), "0"), "")</f>
        <v/>
      </c>
      <c r="DP19" s="395">
        <f t="array" ref="DP19">IFERROR(IF(AND(INDEX($E$8:$CE$57, MATCH($C19, $C$8:$C$57, 0), (COLUMNS($DC19:DP19)-1)*5 + 1) = INDEX($E$5:$CE$5, 1, (COLUMNS($DC19:DP19)-1)*5 + 1), INDEX($E$8:$CE$57, MATCH($C19, $C$8:$C$57, 0), (COLUMNS($DC19:DP19)-1)*5 + 4) = "F"), INDEX($CZ$8:$CZ$23, COLUMNS($DC19:DP19)), "0"), "")</f>
        <v/>
      </c>
      <c r="DQ19" s="395">
        <f t="array" ref="DQ19">IFERROR(IF(AND(INDEX($E$8:$CE$57, MATCH($C19, $C$8:$C$57, 0), (COLUMNS($DC19:DQ19)-1)*5 + 1) = INDEX($E$5:$CE$5, 1, (COLUMNS($DC19:DQ19)-1)*5 + 1), INDEX($E$8:$CE$57, MATCH($C19, $C$8:$C$57, 0), (COLUMNS($DC19:DQ19)-1)*5 + 4) = "F"), INDEX($CZ$8:$CZ$23, COLUMNS($DC19:DQ19)), "0"), "")</f>
        <v/>
      </c>
      <c r="DR19" s="395">
        <f t="array" ref="DR19">IFERROR(IF(AND(INDEX($E$8:$CE$57, MATCH($C19, $C$8:$C$57, 0), (COLUMNS($DC19:DR19)-1)*5 + 1) = INDEX($E$5:$CE$5, 1, (COLUMNS($DC19:DR19)-1)*5 + 1), INDEX($E$8:$CE$57, MATCH($C19, $C$8:$C$57, 0), (COLUMNS($DC19:DR19)-1)*5 + 4) = "F"), INDEX($CZ$8:$CZ$23, COLUMNS($DC19:DR19)), "0"), "")</f>
        <v/>
      </c>
      <c r="DT19" s="605">
        <f>BASE01[[#This Row],[COD]]</f>
        <v/>
      </c>
      <c r="DU19" s="395">
        <f t="array" ref="DU19">IFERROR(IF(AND(INDEX($E$8:$CE$57, MATCH($C19, $C$8:$C$57, 0), (COLUMNS($DU19:DU19)-1)*5 + 1) = INDEX($E$5:$CE$5, 1, (COLUMNS($DU19:DU19)-1)*5 + 1), INDEX($E$8:$CE$57, MATCH($C19, $C$8:$C$57, 0), (COLUMNS($DU19:DU19)-1)*5 + 4) = "SF"), INDEX($CZ$8:$CZ$23, COLUMNS($DU19:DU19)), "0"), "")</f>
        <v/>
      </c>
      <c r="DV19" s="395">
        <f t="array" ref="DV19">IFERROR(IF(AND(INDEX($E$8:$CE$57, MATCH($C19, $C$8:$C$57, 0), (COLUMNS($DU19:DV19)-1)*5 + 1) = INDEX($E$5:$CE$5, 1, (COLUMNS($DU19:DV19)-1)*5 + 1), INDEX($E$8:$CE$57, MATCH($C19, $C$8:$C$57, 0), (COLUMNS($DU19:DV19)-1)*5 + 4) = "SF"), INDEX($CZ$8:$CZ$23, COLUMNS($DU19:DV19)), "0"), "")</f>
        <v/>
      </c>
      <c r="DW19" s="395">
        <f t="array" ref="DW19">IFERROR(IF(AND(INDEX($E$8:$CE$57, MATCH($C19, $C$8:$C$57, 0), (COLUMNS($DU19:DW19)-1)*5 + 1) = INDEX($E$5:$CE$5, 1, (COLUMNS($DU19:DW19)-1)*5 + 1), INDEX($E$8:$CE$57, MATCH($C19, $C$8:$C$57, 0), (COLUMNS($DU19:DW19)-1)*5 + 4) = "SF"), INDEX($CZ$8:$CZ$23, COLUMNS($DU19:DW19)), "0"), "")</f>
        <v/>
      </c>
      <c r="DX19" s="395">
        <f t="array" ref="DX19">IFERROR(IF(AND(INDEX($E$8:$CE$57, MATCH($C19, $C$8:$C$57, 0), (COLUMNS($DU19:DX19)-1)*5 + 1) = INDEX($E$5:$CE$5, 1, (COLUMNS($DU19:DX19)-1)*5 + 1), INDEX($E$8:$CE$57, MATCH($C19, $C$8:$C$57, 0), (COLUMNS($DU19:DX19)-1)*5 + 4) = "SF"), INDEX($CZ$8:$CZ$23, COLUMNS($DU19:DX19)), "0"), "")</f>
        <v/>
      </c>
      <c r="DY19" s="395">
        <f t="array" ref="DY19">IFERROR(IF(AND(INDEX($E$8:$CE$57, MATCH($C19, $C$8:$C$57, 0), (COLUMNS($DU19:DY19)-1)*5 + 1) = INDEX($E$5:$CE$5, 1, (COLUMNS($DU19:DY19)-1)*5 + 1), INDEX($E$8:$CE$57, MATCH($C19, $C$8:$C$57, 0), (COLUMNS($DU19:DY19)-1)*5 + 4) = "SF"), INDEX($CZ$8:$CZ$23, COLUMNS($DU19:DY19)), "0"), "")</f>
        <v/>
      </c>
      <c r="DZ19" s="395">
        <f t="array" ref="DZ19">IFERROR(IF(AND(INDEX($E$8:$CE$57, MATCH($C19, $C$8:$C$57, 0), (COLUMNS($DU19:DZ19)-1)*5 + 1) = INDEX($E$5:$CE$5, 1, (COLUMNS($DU19:DZ19)-1)*5 + 1), INDEX($E$8:$CE$57, MATCH($C19, $C$8:$C$57, 0), (COLUMNS($DU19:DZ19)-1)*5 + 4) = "SF"), INDEX($CZ$8:$CZ$23, COLUMNS($DU19:DZ19)), "0"), "")</f>
        <v/>
      </c>
      <c r="EA19" s="395">
        <f t="array" ref="EA19">IFERROR(IF(AND(INDEX($E$8:$CE$57, MATCH($C19, $C$8:$C$57, 0), (COLUMNS($DU19:EA19)-1)*5 + 1) = INDEX($E$5:$CE$5, 1, (COLUMNS($DU19:EA19)-1)*5 + 1), INDEX($E$8:$CE$57, MATCH($C19, $C$8:$C$57, 0), (COLUMNS($DU19:EA19)-1)*5 + 4) = "SF"), INDEX($CZ$8:$CZ$23, COLUMNS($DU19:EA19)), "0"), "")</f>
        <v/>
      </c>
      <c r="EB19" s="395">
        <f t="array" ref="EB19">IFERROR(IF(AND(INDEX($E$8:$CE$57, MATCH($C19, $C$8:$C$57, 0), (COLUMNS($DU19:EB19)-1)*5 + 1) = INDEX($E$5:$CE$5, 1, (COLUMNS($DU19:EB19)-1)*5 + 1), INDEX($E$8:$CE$57, MATCH($C19, $C$8:$C$57, 0), (COLUMNS($DU19:EB19)-1)*5 + 4) = "SF"), INDEX($CZ$8:$CZ$23, COLUMNS($DU19:EB19)), "0"), "")</f>
        <v/>
      </c>
      <c r="EC19" s="395">
        <f t="array" ref="EC19">IFERROR(IF(AND(INDEX($E$8:$CE$57, MATCH($C19, $C$8:$C$57, 0), (COLUMNS($DU19:EC19)-1)*5 + 1) = INDEX($E$5:$CE$5, 1, (COLUMNS($DU19:EC19)-1)*5 + 1), INDEX($E$8:$CE$57, MATCH($C19, $C$8:$C$57, 0), (COLUMNS($DU19:EC19)-1)*5 + 4) = "SF"), INDEX($CZ$8:$CZ$23, COLUMNS($DU19:EC19)), "0"), "")</f>
        <v/>
      </c>
      <c r="ED19" s="395">
        <f t="array" ref="ED19">IFERROR(IF(AND(INDEX($E$8:$CE$57, MATCH($C19, $C$8:$C$57, 0), (COLUMNS($DU19:ED19)-1)*5 + 1) = INDEX($E$5:$CE$5, 1, (COLUMNS($DU19:ED19)-1)*5 + 1), INDEX($E$8:$CE$57, MATCH($C19, $C$8:$C$57, 0), (COLUMNS($DU19:ED19)-1)*5 + 4) = "SF"), INDEX($CZ$8:$CZ$23, COLUMNS($DU19:ED19)), "0"), "")</f>
        <v/>
      </c>
      <c r="EE19" s="395">
        <f t="array" ref="EE19">IFERROR(IF(AND(INDEX($E$8:$CE$57, MATCH($C19, $C$8:$C$57, 0), (COLUMNS($DU19:EE19)-1)*5 + 1) = INDEX($E$5:$CE$5, 1, (COLUMNS($DU19:EE19)-1)*5 + 1), INDEX($E$8:$CE$57, MATCH($C19, $C$8:$C$57, 0), (COLUMNS($DU19:EE19)-1)*5 + 4) = "SF"), INDEX($CZ$8:$CZ$23, COLUMNS($DU19:EE19)), "0"), "")</f>
        <v/>
      </c>
      <c r="EF19" s="395">
        <f t="array" ref="EF19">IFERROR(IF(AND(INDEX($E$8:$CE$57, MATCH($C19, $C$8:$C$57, 0), (COLUMNS($DU19:EF19)-1)*5 + 1) = INDEX($E$5:$CE$5, 1, (COLUMNS($DU19:EF19)-1)*5 + 1), INDEX($E$8:$CE$57, MATCH($C19, $C$8:$C$57, 0), (COLUMNS($DU19:EF19)-1)*5 + 4) = "SF"), INDEX($CZ$8:$CZ$23, COLUMNS($DU19:EF19)), "0"), "")</f>
        <v/>
      </c>
      <c r="EG19" s="395">
        <f t="array" ref="EG19">IFERROR(IF(AND(INDEX($E$8:$CE$57, MATCH($C19, $C$8:$C$57, 0), (COLUMNS($DU19:EG19)-1)*5 + 1) = INDEX($E$5:$CE$5, 1, (COLUMNS($DU19:EG19)-1)*5 + 1), INDEX($E$8:$CE$57, MATCH($C19, $C$8:$C$57, 0), (COLUMNS($DU19:EG19)-1)*5 + 4) = "SF"), INDEX($CZ$8:$CZ$23, COLUMNS($DU19:EG19)), "0"), "")</f>
        <v/>
      </c>
      <c r="EH19" s="395">
        <f t="array" ref="EH19">IFERROR(IF(AND(INDEX($E$8:$CE$57, MATCH($C19, $C$8:$C$57, 0), (COLUMNS($DU19:EH19)-1)*5 + 1) = INDEX($E$5:$CE$5, 1, (COLUMNS($DU19:EH19)-1)*5 + 1), INDEX($E$8:$CE$57, MATCH($C19, $C$8:$C$57, 0), (COLUMNS($DU19:EH19)-1)*5 + 4) = "SF"), INDEX($CZ$8:$CZ$23, COLUMNS($DU19:EH19)), "0"), "")</f>
        <v/>
      </c>
      <c r="EI19" s="395">
        <f t="array" ref="EI19">IFERROR(IF(AND(INDEX($E$8:$CE$57, MATCH($C19, $C$8:$C$57, 0), (COLUMNS($DU19:EI19)-1)*5 + 1) = INDEX($E$5:$CE$5, 1, (COLUMNS($DU19:EI19)-1)*5 + 1), INDEX($E$8:$CE$57, MATCH($C19, $C$8:$C$57, 0), (COLUMNS($DU19:EI19)-1)*5 + 4) = "SF"), INDEX($CZ$8:$CZ$23, COLUMNS($DU19:EI19)), "0"), "")</f>
        <v/>
      </c>
      <c r="EJ19" s="395">
        <f t="array" ref="EJ19">IFERROR(IF(AND(INDEX($E$8:$CE$57, MATCH($C19, $C$8:$C$57, 0), (COLUMNS($DU19:EJ19)-1)*5 + 1) = INDEX($E$5:$CE$5, 1, (COLUMNS($DU19:EJ19)-1)*5 + 1), INDEX($E$8:$CE$57, MATCH($C19, $C$8:$C$57, 0), (COLUMNS($DU19:EJ19)-1)*5 + 4) = "SF"), INDEX($CZ$8:$CZ$23, COLUMNS($DU19:EJ19)), "0"), "")</f>
        <v/>
      </c>
    </row>
    <row r="20" ht="20.1" customHeight="1" s="568">
      <c r="A20" s="576" t="n"/>
      <c r="B20" s="92">
        <f>IF(BASE01[[#This Row],[COD]]&lt;&gt;"",B19+1,"")</f>
        <v/>
      </c>
      <c r="C20" s="601" t="inlineStr">
        <is>
          <t>COD 13</t>
        </is>
      </c>
      <c r="D20" s="93">
        <f t="array" ref="D20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0" s="145" t="n">
        <v>6</v>
      </c>
      <c r="F20" s="146" t="n">
        <v>8</v>
      </c>
      <c r="G20" s="146" t="n">
        <v>1</v>
      </c>
      <c r="H20" s="146" t="n"/>
      <c r="I20" s="602">
        <f>SUM(IF(E20=E$5,4,0),IF(E20&amp;F20=E$5&amp;F$5,1,0),
IF(AND(E20=E$5,F$6&gt;=$D$115),1,0),
IF(AND(F20=E$5,F$6&gt;=$D$115),1,0),
IF(AND(G20=E$5,F$6&gt;=$D$115),1,0),
IF(E20&amp;H20=I$5,1,0),
IF(F20=E$5,2,0),
IF(G20=E$5,1,0),
IF(OR(E20&amp;F20&amp;G20=E$5&amp;F$5&amp;G$5,E20&amp;F20&amp;G20=E$5&amp;G$5&amp;F$5,E20&amp;F20&amp;G20=F$5&amp;E$5&amp;G$5,E20&amp;F20&amp;G20=F$5&amp;G$5&amp;E$5,E20&amp;F20&amp;G20=G$5&amp;E$5&amp;F$5,E20&amp;F20&amp;G20=G$5&amp;F$5&amp;E$5),2,0),IF(AND(E20=E$5,F$6&gt;=$D$129),1,0),IF(AND(F20=E$5,F$6&gt;=$D$129),1,0),IF(AND(G20=E$5,F$6&gt;=$D$129),1,0),IF(E20&amp;H20=H$5,4,0),IF(AND(E20=E$5,F$6&lt;=$D$104),-0.5,0),IF(AND(F20=E$5,F$6&lt;=$D$104),-0.5,0),IF(AND(G20=E$5,F$6&lt;=$D$104),-0.5,0))</f>
        <v/>
      </c>
      <c r="J20" s="145" t="n">
        <v>8</v>
      </c>
      <c r="K20" s="146" t="n">
        <v>3</v>
      </c>
      <c r="L20" s="146" t="n">
        <v>1</v>
      </c>
      <c r="M20" s="146" t="n"/>
      <c r="N20" s="602">
        <f>SUM(IF(J20=J$5,4,0),IF(J20&amp;K20=J$5&amp;K$5,1,0),
IF(AND(J20=J$5,K$6&gt;=$D$115),1,0),
IF(AND(K20=J$5,K$6&gt;=$D$115),1,0),
IF(AND(L20=J$5,K$6&gt;=$D$115),1,0),
IF(J20&amp;M20=N$5,1,0),
IF(K20=J$5,2,0),
IF(L20=J$5,1,0),
IF(OR(J20&amp;K20&amp;L20=J$5&amp;K$5&amp;L$5,J20&amp;K20&amp;L20=J$5&amp;L$5&amp;K$5,J20&amp;K20&amp;L20=K$5&amp;J$5&amp;L$5,J20&amp;K20&amp;L20=K$5&amp;L$5&amp;J$5,J20&amp;K20&amp;L20=L$5&amp;J$5&amp;K$5,J20&amp;K20&amp;L20=L$5&amp;K$5&amp;J$5),2,0),IF(AND(J20=J$5,K$6&gt;=$D$129),1,0),IF(AND(K20=J$5,K$6&gt;=$D$129),1,0),IF(AND(L20=J$5,K$6&gt;=$D$129),1,0),IF(J20&amp;M20=M$5,4,0),IF(AND(J20=J$5,K$6&lt;=$D$104),-0.5,0),IF(AND(K20=J$5,K$6&lt;=$D$104),-0.5,0),IF(AND(L20=J$5,K$6&lt;=$D$104),-0.5,0))</f>
        <v/>
      </c>
      <c r="O20" s="145" t="n">
        <v>3</v>
      </c>
      <c r="P20" s="146" t="n">
        <v>8</v>
      </c>
      <c r="Q20" s="146" t="n">
        <v>1</v>
      </c>
      <c r="R20" s="146" t="n"/>
      <c r="S20" s="602">
        <f>SUM(IF(O20=O$5,4,0),IF(O20&amp;P20=O$5&amp;P$5,1,0),
IF(AND(O20=O$5,P$6&gt;=$D$115),1,0),
IF(AND(P20=O$5,P$6&gt;=$D$115),1,0),
IF(AND(Q20=O$5,P$6&gt;=$D$115),1,0),
IF(O20&amp;R20=S$5,1,0),
IF(P20=O$5,2,0),
IF(Q20=O$5,1,0),
IF(OR(O20&amp;P20&amp;Q20=O$5&amp;P$5&amp;Q$5,O20&amp;P20&amp;Q20=O$5&amp;Q$5&amp;P$5,O20&amp;P20&amp;Q20=P$5&amp;O$5&amp;Q$5,O20&amp;P20&amp;Q20=P$5&amp;Q$5&amp;O$5,O20&amp;P20&amp;Q20=Q$5&amp;O$5&amp;P$5,O20&amp;P20&amp;Q20=Q$5&amp;P$5&amp;O$5),2,0),IF(AND(O20=O$5,P$6&gt;=$D$129),1,0),IF(AND(P20=O$5,P$6&gt;=$D$129),1,0),IF(AND(Q20=O$5,P$6&gt;=$D$129),1,0),IF(O20&amp;R20=R$5,4,0),IF(AND(O20=O$5,P$6&lt;=$D$104),-0.5,0),IF(AND(P20=O$5,P$6&lt;=$D$104),-0.5,0),IF(AND(Q20=O$5,P$6&lt;=$D$104),-0.5,0))</f>
        <v/>
      </c>
      <c r="T20" s="145" t="n">
        <v>6</v>
      </c>
      <c r="U20" s="146" t="n">
        <v>4</v>
      </c>
      <c r="V20" s="146" t="n">
        <v>7</v>
      </c>
      <c r="W20" s="146" t="inlineStr">
        <is>
          <t>F</t>
        </is>
      </c>
      <c r="X20" s="602">
        <f>SUM(IF(T20=T$5,4,0),IF(T20&amp;U20=T$5&amp;U$5,1,0),
IF(AND(T20=T$5,U$6&gt;=$D$115),1,0),
IF(AND(U20=T$5,U$6&gt;=$D$115),1,0),
IF(AND(V20=T$5,U$6&gt;=$D$115),1,0),
IF(T20&amp;W20=X$5,1,0),
IF(U20=T$5,2,0),
IF(V20=T$5,1,0),
IF(OR(T20&amp;U20&amp;V20=T$5&amp;U$5&amp;V$5,T20&amp;U20&amp;V20=T$5&amp;V$5&amp;U$5,T20&amp;U20&amp;V20=U$5&amp;T$5&amp;V$5,T20&amp;U20&amp;V20=U$5&amp;V$5&amp;T$5,T20&amp;U20&amp;V20=V$5&amp;T$5&amp;U$5,T20&amp;U20&amp;V20=V$5&amp;U$5&amp;T$5),2,0),IF(AND(T20=T$5,U$6&gt;=$D$129),1,0),IF(AND(U20=T$5,U$6&gt;=$D$129),1,0),IF(AND(V20=T$5,U$6&gt;=$D$129),1,0),IF(T20&amp;W20=W$5,4,0),IF(AND(T20=T$5,U$6&lt;=$D$104),-0.5,0),IF(AND(U20=T$5,U$6&lt;=$D$104),-0.5,0),IF(AND(V20=T$5,U$6&lt;=$D$104),-0.5,0))</f>
        <v/>
      </c>
      <c r="Y20" s="145" t="n">
        <v>4</v>
      </c>
      <c r="Z20" s="146" t="n">
        <v>5</v>
      </c>
      <c r="AA20" s="146" t="n">
        <v>10</v>
      </c>
      <c r="AB20" s="146" t="n"/>
      <c r="AC20" s="602">
        <f>SUM(IF(Y20=Y$5,4,0),IF(Y20&amp;Z20=Y$5&amp;Z$5,1,0),
IF(AND(Y20=Y$5,Z$6&gt;=$D$115),1,0),
IF(AND(Z20=Y$5,Z$6&gt;=$D$115),1,0),
IF(AND(AA20=Y$5,Z$6&gt;=$D$115),1,0),
IF(Y20&amp;AB20=AC$5,1,0),
IF(Z20=Y$5,2,0),
IF(AA20=Y$5,1,0),
IF(OR(Y20&amp;Z20&amp;AA20=Y$5&amp;Z$5&amp;AA$5,Y20&amp;Z20&amp;AA20=Y$5&amp;AA$5&amp;Z$5,Y20&amp;Z20&amp;AA20=Z$5&amp;Y$5&amp;AA$5,Y20&amp;Z20&amp;AA20=Z$5&amp;AA$5&amp;Y$5,Y20&amp;Z20&amp;AA20=AA$5&amp;Y$5&amp;Z$5,Y20&amp;Z20&amp;AA20=AA$5&amp;Z$5&amp;Y$5),2,0),IF(AND(Y20=Y$5,Z$6&gt;=$D$129),1,0),IF(AND(Z20=Y$5,Z$6&gt;=$D$129),1,0),IF(AND(AA20=Y$5,Z$6&gt;=$D$129),1,0),IF(Y20&amp;AB20=AB$5,4,0),IF(AND(Y20=Y$5,Z$6&lt;=$D$104),-0.5,0),IF(AND(Z20=Y$5,Z$6&lt;=$D$104),-0.5,0),IF(AND(AA20=Y$5,Z$6&lt;=$D$104),-0.5,0))</f>
        <v/>
      </c>
      <c r="AD20" s="145" t="n">
        <v>5</v>
      </c>
      <c r="AE20" s="146" t="n">
        <v>7</v>
      </c>
      <c r="AF20" s="146" t="n">
        <v>2</v>
      </c>
      <c r="AG20" s="146" t="n"/>
      <c r="AH20" s="602">
        <f>SUM(IF(AD20=AD$5,4,0),IF(AD20&amp;AE20=AD$5&amp;AE$5,1,0),
IF(AND(AD20=AD$5,AE$6&gt;=$D$115),1,0),
IF(AND(AE20=AD$5,AE$6&gt;=$D$115),1,0),
IF(AND(AF20=AD$5,AE$6&gt;=$D$115),1,0),
IF(AD20&amp;AG20=AH$5,1,0),
IF(AE20=AD$5,2,0),
IF(AF20=AD$5,1,0),
IF(OR(AD20&amp;AE20&amp;AF20=AD$5&amp;AE$5&amp;AF$5,AD20&amp;AE20&amp;AF20=AD$5&amp;AF$5&amp;AE$5,AD20&amp;AE20&amp;AF20=AE$5&amp;AD$5&amp;AF$5,AD20&amp;AE20&amp;AF20=AE$5&amp;AF$5&amp;AD$5,AD20&amp;AE20&amp;AF20=AF$5&amp;AD$5&amp;AE$5,AD20&amp;AE20&amp;AF20=AF$5&amp;AE$5&amp;AD$5),2,0),IF(AND(AD20=AD$5,AE$6&gt;=$D$129),1,0),IF(AND(AE20=AD$5,AE$6&gt;=$D$129),1,0),IF(AND(AF20=AD$5,AE$6&gt;=$D$129),1,0),IF(AD20&amp;AG20=AG$5,4,0),IF(AND(AD20=AD$5,AE$6&lt;=$D$104),-0.5,0),IF(AND(AE20=AD$5,AE$6&lt;=$D$104),-0.5,0),IF(AND(AF20=AD$5,AE$6&lt;=$D$104),-0.5,0))</f>
        <v/>
      </c>
      <c r="AI20" s="145" t="n">
        <v>4</v>
      </c>
      <c r="AJ20" s="146" t="n">
        <v>3</v>
      </c>
      <c r="AK20" s="146" t="n">
        <v>2</v>
      </c>
      <c r="AL20" s="146" t="n"/>
      <c r="AM20" s="602">
        <f>SUM(IF(AI20=AI$5,4,0),IF(AI20&amp;AJ20=AI$5&amp;AJ$5,1,0),
IF(AND(AI20=AI$5,AJ$6&gt;=$D$115),1,0),
IF(AND(AJ20=AI$5,AJ$6&gt;=$D$115),1,0),
IF(AND(AK20=AI$5,AJ$6&gt;=$D$115),1,0),
IF(AI20&amp;AL20=AM$5,1,0),
IF(AJ20=AI$5,2,0),
IF(AK20=AI$5,1,0),
IF(OR(AI20&amp;AJ20&amp;AK20=AI$5&amp;AJ$5&amp;AK$5,AI20&amp;AJ20&amp;AK20=AI$5&amp;AK$5&amp;AJ$5,AI20&amp;AJ20&amp;AK20=AJ$5&amp;AI$5&amp;AK$5,AI20&amp;AJ20&amp;AK20=AJ$5&amp;AK$5&amp;AI$5,AI20&amp;AJ20&amp;AK20=AK$5&amp;AI$5&amp;AJ$5,AI20&amp;AJ20&amp;AK20=AK$5&amp;AJ$5&amp;AI$5),2,0),IF(AND(AI20=AI$5,AJ$6&gt;=$D$129),1,0),IF(AND(AJ20=AI$5,AJ$6&gt;=$D$129),1,0),IF(AND(AK20=AI$5,AJ$6&gt;=$D$129),1,0),IF(AI20&amp;AL20=AL$5,4,0),IF(AND(AI20=AI$5,AJ$6&lt;=$D$104),-0.5,0),IF(AND(AJ20=AI$5,AJ$6&lt;=$D$104),-0.5,0),IF(AND(AK20=AI$5,AJ$6&lt;=$D$104),-0.5,0))</f>
        <v/>
      </c>
      <c r="AN20" s="145" t="n">
        <v>8</v>
      </c>
      <c r="AO20" s="146" t="n">
        <v>9</v>
      </c>
      <c r="AP20" s="146" t="n">
        <v>1</v>
      </c>
      <c r="AQ20" s="146" t="inlineStr">
        <is>
          <t>F</t>
        </is>
      </c>
      <c r="AR20" s="602">
        <f>SUM(IF(AN20=AN$5,4,0),IF(AN20&amp;AO20=AN$5&amp;AO$5,1,0),
IF(AND(AN20=AN$5,AO$6&gt;=$D$115),1,0),
IF(AND(AO20=AN$5,AO$6&gt;=$D$115),1,0),
IF(AND(AP20=AN$5,AO$6&gt;=$D$115),1,0),
IF(AN20&amp;AQ20=AR$5,1,0),
IF(AO20=AN$5,2,0),
IF(AP20=AN$5,1,0),
IF(OR(AN20&amp;AO20&amp;AP20=AN$5&amp;AO$5&amp;AP$5,AN20&amp;AO20&amp;AP20=AN$5&amp;AP$5&amp;AO$5,AN20&amp;AO20&amp;AP20=AO$5&amp;AN$5&amp;AP$5,AN20&amp;AO20&amp;AP20=AO$5&amp;AP$5&amp;AN$5,AN20&amp;AO20&amp;AP20=AP$5&amp;AN$5&amp;AO$5,AN20&amp;AO20&amp;AP20=AP$5&amp;AO$5&amp;AN$5),2,0),IF(AND(AN20=AN$5,AO$6&gt;=$D$129),1,0),IF(AND(AO20=AN$5,AO$6&gt;=$D$129),1,0),IF(AND(AP20=AN$5,AO$6&gt;=$D$129),1,0),IF(AN20&amp;AQ20=AQ$5,4,0),IF(AND(AN20=AN$5,AO$6&lt;=$D$104),-0.5,0),IF(AND(AO20=AN$5,AO$6&lt;=$D$104),-0.5,0),IF(AND(AP20=AN$5,AO$6&lt;=$D$104),-0.5,0))</f>
        <v/>
      </c>
      <c r="AS20" s="145" t="n">
        <v>2</v>
      </c>
      <c r="AT20" s="146" t="n">
        <v>1</v>
      </c>
      <c r="AU20" s="146" t="n">
        <v>6</v>
      </c>
      <c r="AV20" s="146" t="n"/>
      <c r="AW20" s="602">
        <f>SUM(IF(AS20=AS$5,4,0),IF(AS20&amp;AT20=AS$5&amp;AT$5,1,0),
IF(AND(AS20=AS$5,AT$6&gt;=$D$115),1,0),
IF(AND(AT20=AS$5,AT$6&gt;=$D$115),1,0),
IF(AND(AU20=AS$5,AT$6&gt;=$D$115),1,0),
IF(AS20&amp;AV20=AW$5,1,0),
IF(AT20=AS$5,2,0),
IF(AU20=AS$5,1,0),
IF(OR(AS20&amp;AT20&amp;AU20=AS$5&amp;AT$5&amp;AU$5,AS20&amp;AT20&amp;AU20=AS$5&amp;AU$5&amp;AT$5,AS20&amp;AT20&amp;AU20=AT$5&amp;AS$5&amp;AU$5,AS20&amp;AT20&amp;AU20=AT$5&amp;AU$5&amp;AS$5,AS20&amp;AT20&amp;AU20=AU$5&amp;AS$5&amp;AT$5,AS20&amp;AT20&amp;AU20=AU$5&amp;AT$5&amp;AS$5),2,0),IF(AND(AS20=AS$5,AT$6&gt;=$D$129),1,0),IF(AND(AT20=AS$5,AT$6&gt;=$D$129),1,0),IF(AND(AU20=AS$5,AT$6&gt;=$D$129),1,0),IF(AS20&amp;AV20=AV$5,4,0),IF(AND(AS20=AS$5,AT$6&lt;=$D$104),-0.5,0),IF(AND(AT20=AS$5,AT$6&lt;=$D$104),-0.5,0),IF(AND(AU20=AS$5,AT$6&lt;=$D$104),-0.5,0))</f>
        <v/>
      </c>
      <c r="AX20" s="145" t="n">
        <v>1</v>
      </c>
      <c r="AY20" s="146" t="n"/>
      <c r="AZ20" s="146" t="n"/>
      <c r="BA20" s="146" t="inlineStr">
        <is>
          <t>SF</t>
        </is>
      </c>
      <c r="BB20" s="602">
        <f>SUM(IF(AX20=AX$5,4,0),IF(AX20&amp;AY20=AX$5&amp;AY$5,1,0),
IF(AND(AX20=AX$5,AY$6&gt;=$D$115),1,0),
IF(AND(AY20=AX$5,AY$6&gt;=$D$115),1,0),
IF(AND(AZ20=AX$5,AY$6&gt;=$D$115),1,0),
IF(AX20&amp;BA20=BB$5,1,0),
IF(AY20=AX$5,2,0),
IF(AZ20=AX$5,1,0),
IF(OR(AX20&amp;AY20&amp;AZ20=AX$5&amp;AY$5&amp;AZ$5,AX20&amp;AY20&amp;AZ20=AX$5&amp;AZ$5&amp;AY$5,AX20&amp;AY20&amp;AZ20=AY$5&amp;AX$5&amp;AZ$5,AX20&amp;AY20&amp;AZ20=AY$5&amp;AZ$5&amp;AX$5,AX20&amp;AY20&amp;AZ20=AZ$5&amp;AX$5&amp;AY$5,AX20&amp;AY20&amp;AZ20=AZ$5&amp;AY$5&amp;AX$5),2,0),IF(AND(AX20=AX$5,AY$6&gt;=$D$129),1,0),IF(AND(AY20=AX$5,AY$6&gt;=$D$129),1,0),IF(AND(AZ20=AX$5,AY$6&gt;=$D$129),1,0),IF(AX20&amp;BA20=BA$5,4,0),IF(AND(AX20=AX$5,AY$6&lt;=$D$104),-0.5,0),IF(AND(AY20=AX$5,AY$6&lt;=$D$104),-0.5,0),IF(AND(AZ20=AX$5,AY$6&lt;=$D$104),-0.5,0))</f>
        <v/>
      </c>
      <c r="BC20" s="145" t="n">
        <v>2</v>
      </c>
      <c r="BD20" s="146" t="n">
        <v>6</v>
      </c>
      <c r="BE20" s="146" t="n">
        <v>4</v>
      </c>
      <c r="BF20" s="146" t="n"/>
      <c r="BG20" s="602">
        <f>SUM(IF(BC20=BC$5,4,0),IF(BC20&amp;BD20=BC$5&amp;BD$5,1,0),
IF(AND(BC20=BC$5,BD$6&gt;=$D$115),1,0),
IF(AND(BD20=BC$5,BD$6&gt;=$D$115),1,0),
IF(AND(BE20=BC$5,BD$6&gt;=$D$115),1,0),
IF(BC20&amp;BF20=BG$5,1,0),
IF(BD20=BC$5,2,0),
IF(BE20=BC$5,1,0),
IF(OR(BC20&amp;BD20&amp;BE20=BC$5&amp;BD$5&amp;BE$5,BC20&amp;BD20&amp;BE20=BC$5&amp;BE$5&amp;BD$5,BC20&amp;BD20&amp;BE20=BD$5&amp;BC$5&amp;BE$5,BC20&amp;BD20&amp;BE20=BD$5&amp;BE$5&amp;BC$5,BC20&amp;BD20&amp;BE20=BE$5&amp;BC$5&amp;BD$5,BC20&amp;BD20&amp;BE20=BE$5&amp;BD$5&amp;BC$5),2,0),IF(AND(BC20=BC$5,BD$6&gt;=$D$129),1,0),IF(AND(BD20=BC$5,BD$6&gt;=$D$129),1,0),IF(AND(BE20=BC$5,BD$6&gt;=$D$129),1,0),IF(BC20&amp;BF20=BF$5,4,0),IF(AND(BC20=BC$5,BD$6&lt;=$D$104),-0.5,0),IF(AND(BD20=BC$5,BD$6&lt;=$D$104),-0.5,0),IF(AND(BE20=BC$5,BD$6&lt;=$D$104),-0.5,0))</f>
        <v/>
      </c>
      <c r="BH20" s="145" t="n">
        <v>5</v>
      </c>
      <c r="BI20" s="146" t="n">
        <v>6</v>
      </c>
      <c r="BJ20" s="146" t="n">
        <v>1</v>
      </c>
      <c r="BK20" s="146" t="n"/>
      <c r="BL20" s="602">
        <f>SUM(IF(BH20=BH$5,4,0),IF(BH20&amp;BI20=BH$5&amp;BI$5,1,0),
IF(AND(BH20=BH$5,BI$6&gt;=$D$115),1,0),
IF(AND(BI20=BH$5,BI$6&gt;=$D$115),1,0),
IF(AND(BJ20=BH$5,BI$6&gt;=$D$115),1,0),
IF(BH20&amp;BK20=BL$5,1,0),
IF(BI20=BH$5,2,0),
IF(BJ20=BH$5,1,0),
IF(OR(BH20&amp;BI20&amp;BJ20=BH$5&amp;BI$5&amp;BJ$5,BH20&amp;BI20&amp;BJ20=BH$5&amp;BJ$5&amp;BI$5,BH20&amp;BI20&amp;BJ20=BI$5&amp;BH$5&amp;BJ$5,BH20&amp;BI20&amp;BJ20=BI$5&amp;BJ$5&amp;BH$5,BH20&amp;BI20&amp;BJ20=BJ$5&amp;BH$5&amp;BI$5,BH20&amp;BI20&amp;BJ20=BJ$5&amp;BI$5&amp;BH$5),2,0),IF(AND(BH20=BH$5,BI$6&gt;=$D$129),1,0),IF(AND(BI20=BH$5,BI$6&gt;=$D$129),1,0),IF(AND(BJ20=BH$5,BI$6&gt;=$D$129),1,0),IF(BH20&amp;BK20=BK$5,4,0),IF(AND(BH20=BH$5,BI$6&lt;=$D$104),-0.5,0),IF(AND(BI20=BH$5,BI$6&lt;=$D$104),-0.5,0),IF(AND(BJ20=BH$5,BI$6&lt;=$D$104),-0.5,0))</f>
        <v/>
      </c>
      <c r="BM20" s="145" t="n">
        <v>9</v>
      </c>
      <c r="BN20" s="146" t="n">
        <v>2</v>
      </c>
      <c r="BO20" s="146" t="n">
        <v>1</v>
      </c>
      <c r="BP20" s="146" t="n"/>
      <c r="BQ20" s="602">
        <f>SUM(IF(BM20=BM$5,4,0),IF(BM20&amp;BN20=BM$5&amp;BN$5,1,0),
IF(AND(BM20=BM$5,BN$6&gt;=$D$115),1,0),
IF(AND(BN20=BM$5,BN$6&gt;=$D$115),1,0),
IF(AND(BO20=BM$5,BN$6&gt;=$D$115),1,0),
IF(BM20&amp;BP20=BQ$5,1,0),
IF(BN20=BM$5,2,0),
IF(BO20=BM$5,1,0),
IF(OR(BM20&amp;BN20&amp;BO20=BM$5&amp;BN$5&amp;BO$5,BM20&amp;BN20&amp;BO20=BM$5&amp;BO$5&amp;BN$5,BM20&amp;BN20&amp;BO20=BN$5&amp;BM$5&amp;BO$5,BM20&amp;BN20&amp;BO20=BN$5&amp;BO$5&amp;BM$5,BM20&amp;BN20&amp;BO20=BO$5&amp;BM$5&amp;BN$5,BM20&amp;BN20&amp;BO20=BO$5&amp;BN$5&amp;BM$5),2,0),IF(AND(BM20=BM$5,BN$6&gt;=$D$129),1,0),IF(AND(BN20=BM$5,BN$6&gt;=$D$129),1,0),IF(AND(BO20=BM$5,BN$6&gt;=$D$129),1,0),IF(BM20&amp;BP20=BP$5,4,0),IF(AND(BM20=BM$5,BN$6&lt;=$D$104),-0.5,0),IF(AND(BN20=BM$5,BN$6&lt;=$D$104),-0.5,0),IF(AND(BO20=BM$5,BN$6&lt;=$D$104),-0.5,0))</f>
        <v/>
      </c>
      <c r="BR20" s="145" t="n"/>
      <c r="BS20" s="146" t="n"/>
      <c r="BT20" s="146" t="n"/>
      <c r="BU20" s="146" t="n"/>
      <c r="BV20" s="602">
        <f>SUM(IF(BR20=BR$5,4,0),IF(BR20&amp;BS20=BR$5&amp;BS$5,1,0),
IF(AND(BR20=BR$5,BS$6&gt;=$D$115),1,0),
IF(AND(BS20=BR$5,BS$6&gt;=$D$115),1,0),
IF(AND(BT20=BR$5,BS$6&gt;=$D$115),1,0),
IF(BR20&amp;BU20=BV$5,1,0),
IF(BS20=BR$5,2,0),
IF(BT20=BR$5,1,0),
IF(OR(BR20&amp;BS20&amp;BT20=BR$5&amp;BS$5&amp;BT$5,BR20&amp;BS20&amp;BT20=BR$5&amp;BT$5&amp;BS$5,BR20&amp;BS20&amp;BT20=BS$5&amp;BR$5&amp;BT$5,BR20&amp;BS20&amp;BT20=BS$5&amp;BT$5&amp;BR$5,BR20&amp;BS20&amp;BT20=BT$5&amp;BR$5&amp;BS$5,BR20&amp;BS20&amp;BT20=BT$5&amp;BS$5&amp;BR$5),2,0),IF(AND(BR20=BR$5,BS$6&gt;=$D$129),1,0),IF(AND(BS20=BR$5,BS$6&gt;=$D$129),1,0),IF(AND(BT20=BR$5,BS$6&gt;=$D$129),1,0),IF(BR20&amp;BU20=BU$5,4,0),IF(AND(BR20=BR$5,BS$6&lt;=$D$104),-0.5,0),IF(AND(BS20=BR$5,BS$6&lt;=$D$104),-0.5,0),IF(AND(BT20=BR$5,BS$6&lt;=$D$104),-0.5,0))</f>
        <v/>
      </c>
      <c r="BW20" s="145" t="n"/>
      <c r="BX20" s="146" t="n"/>
      <c r="BY20" s="146" t="n"/>
      <c r="BZ20" s="146" t="n"/>
      <c r="CA20" s="602">
        <f>SUM(IF(BW20=BW$5,4,0),IF(BW20&amp;BX20=BW$5&amp;BX$5,1,0),
IF(AND(BW20=BW$5,BX$6&gt;=$D$115),1,0),
IF(AND(BX20=BW$5,BX$6&gt;=$D$115),1,0),
IF(AND(BY20=BW$5,BX$6&gt;=$D$115),1,0),
IF(BW20&amp;BZ20=CA$5,1,0),
IF(BX20=BW$5,2,0),
IF(BY20=BW$5,1,0),
IF(OR(BW20&amp;BX20&amp;BY20=BW$5&amp;BX$5&amp;BY$5,BW20&amp;BX20&amp;BY20=BW$5&amp;BY$5&amp;BX$5,BW20&amp;BX20&amp;BY20=BX$5&amp;BW$5&amp;BY$5,BW20&amp;BX20&amp;BY20=BX$5&amp;BY$5&amp;BW$5,BW20&amp;BX20&amp;BY20=BY$5&amp;BW$5&amp;BX$5,BW20&amp;BX20&amp;BY20=BY$5&amp;BX$5&amp;BW$5),2,0),IF(AND(BW20=BW$5,BX$6&gt;=$D$129),1,0),IF(AND(BX20=BW$5,BX$6&gt;=$D$129),1,0),IF(AND(BY20=BW$5,BX$6&gt;=$D$129),1,0),IF(BW20&amp;BZ20=BZ$5,4,0),IF(AND(BW20=BW$5,BX$6&lt;=$D$104),-0.5,0),IF(AND(BX20=BW$5,BX$6&lt;=$D$104),-0.5,0),IF(AND(BY20=BW$5,BX$6&lt;=$D$104),-0.5,0))</f>
        <v/>
      </c>
      <c r="CB20" s="145" t="n"/>
      <c r="CC20" s="146" t="n"/>
      <c r="CD20" s="146" t="n"/>
      <c r="CE20" s="146" t="n"/>
      <c r="CF20" s="602">
        <f>SUM(IF(CB20=CB$5,4,0),IF(CB20&amp;CC20=CB$5&amp;CC$5,1,0),
IF(AND(CB20=CB$5,CC$6&gt;=$D$115),1,0),
IF(AND(CC20=CB$5,CC$6&gt;=$D$115),1,0),
IF(AND(CD20=CB$5,CC$6&gt;=$D$115),1,0),
IF(CB20&amp;CE20=CF$5,1,0),
IF(CC20=CB$5,2,0),
IF(CD20=CB$5,1,0),
IF(OR(CB20&amp;CC20&amp;CD20=CB$5&amp;CC$5&amp;CD$5,CB20&amp;CC20&amp;CD20=CB$5&amp;CD$5&amp;CC$5,CB20&amp;CC20&amp;CD20=CC$5&amp;CB$5&amp;CD$5,CB20&amp;CC20&amp;CD20=CC$5&amp;CD$5&amp;CB$5,CB20&amp;CC20&amp;CD20=CD$5&amp;CB$5&amp;CC$5,CB20&amp;CC20&amp;CD20=CD$5&amp;CC$5&amp;CB$5),2,0),IF(AND(CB20=CB$5,CC$6&gt;=$D$129),1,0),IF(AND(CC20=CB$5,CC$6&gt;=$D$129),1,0),IF(AND(CD20=CB$5,CC$6&gt;=$D$129),1,0),IF(CB20&amp;CE20=CE$5,4,0),IF(AND(CB20=CB$5,CC$6&lt;=$D$104),-0.5,0),IF(AND(CC20=CB$5,CC$6&lt;=$D$104),-0.5,0),IF(AND(CD20=CB$5,CC$6&lt;=$D$104),-0.5,0))</f>
        <v/>
      </c>
      <c r="CG20" s="164">
        <f>IF(BASE01[[#This Row],[1]]="",0,$B$4)</f>
        <v/>
      </c>
      <c r="CH20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0" s="166">
        <f>IF(BASE01[[#This Row],[Columna14]]=0,0,(CH20/CG20))</f>
        <v/>
      </c>
      <c r="CJ20" s="165">
        <f>IF(BASE01[[#This Row],[1]]="",0,$B$4)</f>
        <v/>
      </c>
      <c r="CK20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0" s="166">
        <f>IF(BASE01[[#This Row],[Columna14]]=0,0,(CK20/CJ20))</f>
        <v/>
      </c>
      <c r="CM20" s="164">
        <f>IF(BASE01[[#This Row],[1]]="",0,$B$4)</f>
        <v/>
      </c>
      <c r="CN20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0" s="166">
        <f>IF(BASE01[[#This Row],[Columna14]]=0,0,(CN20/CM20))</f>
        <v/>
      </c>
      <c r="CP20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0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Row],[Columna25]],$AX$5,BA20,"SF")+COUNTIFS(BASE01[[#This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0" s="166">
        <f>IF(BASE01[[#This Row],[Columna14]]=0,0,(CQ20/CP20))</f>
        <v/>
      </c>
      <c r="CS20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0" s="95" t="n"/>
      <c r="CU20" s="604">
        <f>SUM(CS20,CT20)</f>
        <v/>
      </c>
      <c r="CV20" s="96">
        <f>IF(BASE01[[#This Row],[TIPO]]="PREMIO",$O$3,"0,00")</f>
        <v/>
      </c>
      <c r="CW20" s="576" t="n"/>
      <c r="CY20" s="393" t="n">
        <v>13</v>
      </c>
      <c r="CZ20" s="354">
        <f>BN$6</f>
        <v/>
      </c>
      <c r="DB20" s="605">
        <f>BASE01[[#This Row],[COD]]</f>
        <v/>
      </c>
      <c r="DC20" s="395">
        <f t="array" ref="DC20">IFERROR(IF(AND(INDEX($E$8:$CE$57, MATCH($C20, $C$8:$C$57, 0), (COLUMNS($DC20:DC20)-1)*5 + 1) = INDEX($E$5:$CE$5, 1, (COLUMNS($DC20:DC20)-1)*5 + 1), INDEX($E$8:$CE$57, MATCH($C20, $C$8:$C$57, 0), (COLUMNS($DC20:DC20)-1)*5 + 4) = "F"), INDEX($CZ$8:$CZ$23, COLUMNS($DC20:DC20)), "0"), "")</f>
        <v/>
      </c>
      <c r="DD20" s="395">
        <f t="array" ref="DD20">IFERROR(IF(AND(INDEX($E$8:$CE$57, MATCH($C20, $C$8:$C$57, 0), (COLUMNS($DC20:DD20)-1)*5 + 1) = INDEX($E$5:$CE$5, 1, (COLUMNS($DC20:DD20)-1)*5 + 1), INDEX($E$8:$CE$57, MATCH($C20, $C$8:$C$57, 0), (COLUMNS($DC20:DD20)-1)*5 + 4) = "F"), INDEX($CZ$8:$CZ$23, COLUMNS($DC20:DD20)), "0"), "")</f>
        <v/>
      </c>
      <c r="DE20" s="395">
        <f t="array" ref="DE20">IFERROR(IF(AND(INDEX($E$8:$CE$57, MATCH($C20, $C$8:$C$57, 0), (COLUMNS($DC20:DE20)-1)*5 + 1) = INDEX($E$5:$CE$5, 1, (COLUMNS($DC20:DE20)-1)*5 + 1), INDEX($E$8:$CE$57, MATCH($C20, $C$8:$C$57, 0), (COLUMNS($DC20:DE20)-1)*5 + 4) = "F"), INDEX($CZ$8:$CZ$23, COLUMNS($DC20:DE20)), "0"), "")</f>
        <v/>
      </c>
      <c r="DF20" s="395">
        <f t="array" ref="DF20">IFERROR(IF(AND(INDEX($E$8:$CE$57, MATCH($C20, $C$8:$C$57, 0), (COLUMNS($DC20:DF20)-1)*5 + 1) = INDEX($E$5:$CE$5, 1, (COLUMNS($DC20:DF20)-1)*5 + 1), INDEX($E$8:$CE$57, MATCH($C20, $C$8:$C$57, 0), (COLUMNS($DC20:DF20)-1)*5 + 4) = "F"), INDEX($CZ$8:$CZ$23, COLUMNS($DC20:DF20)), "0"), "")</f>
        <v/>
      </c>
      <c r="DG20" s="395">
        <f t="array" ref="DG20">IFERROR(IF(AND(INDEX($E$8:$CE$57, MATCH($C20, $C$8:$C$57, 0), (COLUMNS($DC20:DG20)-1)*5 + 1) = INDEX($E$5:$CE$5, 1, (COLUMNS($DC20:DG20)-1)*5 + 1), INDEX($E$8:$CE$57, MATCH($C20, $C$8:$C$57, 0), (COLUMNS($DC20:DG20)-1)*5 + 4) = "F"), INDEX($CZ$8:$CZ$23, COLUMNS($DC20:DG20)), "0"), "")</f>
        <v/>
      </c>
      <c r="DH20" s="395">
        <f t="array" ref="DH20">IFERROR(IF(AND(INDEX($E$8:$CE$57, MATCH($C20, $C$8:$C$57, 0), (COLUMNS($DC20:DH20)-1)*5 + 1) = INDEX($E$5:$CE$5, 1, (COLUMNS($DC20:DH20)-1)*5 + 1), INDEX($E$8:$CE$57, MATCH($C20, $C$8:$C$57, 0), (COLUMNS($DC20:DH20)-1)*5 + 4) = "F"), INDEX($CZ$8:$CZ$23, COLUMNS($DC20:DH20)), "0"), "")</f>
        <v/>
      </c>
      <c r="DI20" s="395">
        <f t="array" ref="DI20">IFERROR(IF(AND(INDEX($E$8:$CE$57, MATCH($C20, $C$8:$C$57, 0), (COLUMNS($DC20:DI20)-1)*5 + 1) = INDEX($E$5:$CE$5, 1, (COLUMNS($DC20:DI20)-1)*5 + 1), INDEX($E$8:$CE$57, MATCH($C20, $C$8:$C$57, 0), (COLUMNS($DC20:DI20)-1)*5 + 4) = "F"), INDEX($CZ$8:$CZ$23, COLUMNS($DC20:DI20)), "0"), "")</f>
        <v/>
      </c>
      <c r="DJ20" s="395">
        <f t="array" ref="DJ20">IFERROR(IF(AND(INDEX($E$8:$CE$57, MATCH($C20, $C$8:$C$57, 0), (COLUMNS($DC20:DJ20)-1)*5 + 1) = INDEX($E$5:$CE$5, 1, (COLUMNS($DC20:DJ20)-1)*5 + 1), INDEX($E$8:$CE$57, MATCH($C20, $C$8:$C$57, 0), (COLUMNS($DC20:DJ20)-1)*5 + 4) = "F"), INDEX($CZ$8:$CZ$23, COLUMNS($DC20:DJ20)), "0"), "")</f>
        <v/>
      </c>
      <c r="DK20" s="395">
        <f t="array" ref="DK20">IFERROR(IF(AND(INDEX($E$8:$CE$57, MATCH($C20, $C$8:$C$57, 0), (COLUMNS($DC20:DK20)-1)*5 + 1) = INDEX($E$5:$CE$5, 1, (COLUMNS($DC20:DK20)-1)*5 + 1), INDEX($E$8:$CE$57, MATCH($C20, $C$8:$C$57, 0), (COLUMNS($DC20:DK20)-1)*5 + 4) = "F"), INDEX($CZ$8:$CZ$23, COLUMNS($DC20:DK20)), "0"), "")</f>
        <v/>
      </c>
      <c r="DL20" s="395">
        <f t="array" ref="DL20">IFERROR(IF(AND(INDEX($E$8:$CE$57, MATCH($C20, $C$8:$C$57, 0), (COLUMNS($DC20:DL20)-1)*5 + 1) = INDEX($E$5:$CE$5, 1, (COLUMNS($DC20:DL20)-1)*5 + 1), INDEX($E$8:$CE$57, MATCH($C20, $C$8:$C$57, 0), (COLUMNS($DC20:DL20)-1)*5 + 4) = "F"), INDEX($CZ$8:$CZ$23, COLUMNS($DC20:DL20)), "0"), "")</f>
        <v/>
      </c>
      <c r="DM20" s="395">
        <f t="array" ref="DM20">IFERROR(IF(AND(INDEX($E$8:$CE$57, MATCH($C20, $C$8:$C$57, 0), (COLUMNS($DC20:DM20)-1)*5 + 1) = INDEX($E$5:$CE$5, 1, (COLUMNS($DC20:DM20)-1)*5 + 1), INDEX($E$8:$CE$57, MATCH($C20, $C$8:$C$57, 0), (COLUMNS($DC20:DM20)-1)*5 + 4) = "F"), INDEX($CZ$8:$CZ$23, COLUMNS($DC20:DM20)), "0"), "")</f>
        <v/>
      </c>
      <c r="DN20" s="395">
        <f t="array" ref="DN20">IFERROR(IF(AND(INDEX($E$8:$CE$57, MATCH($C20, $C$8:$C$57, 0), (COLUMNS($DC20:DN20)-1)*5 + 1) = INDEX($E$5:$CE$5, 1, (COLUMNS($DC20:DN20)-1)*5 + 1), INDEX($E$8:$CE$57, MATCH($C20, $C$8:$C$57, 0), (COLUMNS($DC20:DN20)-1)*5 + 4) = "F"), INDEX($CZ$8:$CZ$23, COLUMNS($DC20:DN20)), "0"), "")</f>
        <v/>
      </c>
      <c r="DO20" s="395">
        <f t="array" ref="DO20">IFERROR(IF(AND(INDEX($E$8:$CE$57, MATCH($C20, $C$8:$C$57, 0), (COLUMNS($DC20:DO20)-1)*5 + 1) = INDEX($E$5:$CE$5, 1, (COLUMNS($DC20:DO20)-1)*5 + 1), INDEX($E$8:$CE$57, MATCH($C20, $C$8:$C$57, 0), (COLUMNS($DC20:DO20)-1)*5 + 4) = "F"), INDEX($CZ$8:$CZ$23, COLUMNS($DC20:DO20)), "0"), "")</f>
        <v/>
      </c>
      <c r="DP20" s="395">
        <f t="array" ref="DP20">IFERROR(IF(AND(INDEX($E$8:$CE$57, MATCH($C20, $C$8:$C$57, 0), (COLUMNS($DC20:DP20)-1)*5 + 1) = INDEX($E$5:$CE$5, 1, (COLUMNS($DC20:DP20)-1)*5 + 1), INDEX($E$8:$CE$57, MATCH($C20, $C$8:$C$57, 0), (COLUMNS($DC20:DP20)-1)*5 + 4) = "F"), INDEX($CZ$8:$CZ$23, COLUMNS($DC20:DP20)), "0"), "")</f>
        <v/>
      </c>
      <c r="DQ20" s="395">
        <f t="array" ref="DQ20">IFERROR(IF(AND(INDEX($E$8:$CE$57, MATCH($C20, $C$8:$C$57, 0), (COLUMNS($DC20:DQ20)-1)*5 + 1) = INDEX($E$5:$CE$5, 1, (COLUMNS($DC20:DQ20)-1)*5 + 1), INDEX($E$8:$CE$57, MATCH($C20, $C$8:$C$57, 0), (COLUMNS($DC20:DQ20)-1)*5 + 4) = "F"), INDEX($CZ$8:$CZ$23, COLUMNS($DC20:DQ20)), "0"), "")</f>
        <v/>
      </c>
      <c r="DR20" s="395">
        <f t="array" ref="DR20">IFERROR(IF(AND(INDEX($E$8:$CE$57, MATCH($C20, $C$8:$C$57, 0), (COLUMNS($DC20:DR20)-1)*5 + 1) = INDEX($E$5:$CE$5, 1, (COLUMNS($DC20:DR20)-1)*5 + 1), INDEX($E$8:$CE$57, MATCH($C20, $C$8:$C$57, 0), (COLUMNS($DC20:DR20)-1)*5 + 4) = "F"), INDEX($CZ$8:$CZ$23, COLUMNS($DC20:DR20)), "0"), "")</f>
        <v/>
      </c>
      <c r="DT20" s="605">
        <f>BASE01[[#This Row],[COD]]</f>
        <v/>
      </c>
      <c r="DU20" s="395">
        <f t="array" ref="DU20">IFERROR(IF(AND(INDEX($E$8:$CE$57, MATCH($C20, $C$8:$C$57, 0), (COLUMNS($DU20:DU20)-1)*5 + 1) = INDEX($E$5:$CE$5, 1, (COLUMNS($DU20:DU20)-1)*5 + 1), INDEX($E$8:$CE$57, MATCH($C20, $C$8:$C$57, 0), (COLUMNS($DU20:DU20)-1)*5 + 4) = "SF"), INDEX($CZ$8:$CZ$23, COLUMNS($DU20:DU20)), "0"), "")</f>
        <v/>
      </c>
      <c r="DV20" s="395">
        <f t="array" ref="DV20">IFERROR(IF(AND(INDEX($E$8:$CE$57, MATCH($C20, $C$8:$C$57, 0), (COLUMNS($DU20:DV20)-1)*5 + 1) = INDEX($E$5:$CE$5, 1, (COLUMNS($DU20:DV20)-1)*5 + 1), INDEX($E$8:$CE$57, MATCH($C20, $C$8:$C$57, 0), (COLUMNS($DU20:DV20)-1)*5 + 4) = "SF"), INDEX($CZ$8:$CZ$23, COLUMNS($DU20:DV20)), "0"), "")</f>
        <v/>
      </c>
      <c r="DW20" s="395">
        <f t="array" ref="DW20">IFERROR(IF(AND(INDEX($E$8:$CE$57, MATCH($C20, $C$8:$C$57, 0), (COLUMNS($DU20:DW20)-1)*5 + 1) = INDEX($E$5:$CE$5, 1, (COLUMNS($DU20:DW20)-1)*5 + 1), INDEX($E$8:$CE$57, MATCH($C20, $C$8:$C$57, 0), (COLUMNS($DU20:DW20)-1)*5 + 4) = "SF"), INDEX($CZ$8:$CZ$23, COLUMNS($DU20:DW20)), "0"), "")</f>
        <v/>
      </c>
      <c r="DX20" s="395">
        <f t="array" ref="DX20">IFERROR(IF(AND(INDEX($E$8:$CE$57, MATCH($C20, $C$8:$C$57, 0), (COLUMNS($DU20:DX20)-1)*5 + 1) = INDEX($E$5:$CE$5, 1, (COLUMNS($DU20:DX20)-1)*5 + 1), INDEX($E$8:$CE$57, MATCH($C20, $C$8:$C$57, 0), (COLUMNS($DU20:DX20)-1)*5 + 4) = "SF"), INDEX($CZ$8:$CZ$23, COLUMNS($DU20:DX20)), "0"), "")</f>
        <v/>
      </c>
      <c r="DY20" s="395">
        <f t="array" ref="DY20">IFERROR(IF(AND(INDEX($E$8:$CE$57, MATCH($C20, $C$8:$C$57, 0), (COLUMNS($DU20:DY20)-1)*5 + 1) = INDEX($E$5:$CE$5, 1, (COLUMNS($DU20:DY20)-1)*5 + 1), INDEX($E$8:$CE$57, MATCH($C20, $C$8:$C$57, 0), (COLUMNS($DU20:DY20)-1)*5 + 4) = "SF"), INDEX($CZ$8:$CZ$23, COLUMNS($DU20:DY20)), "0"), "")</f>
        <v/>
      </c>
      <c r="DZ20" s="395">
        <f t="array" ref="DZ20">IFERROR(IF(AND(INDEX($E$8:$CE$57, MATCH($C20, $C$8:$C$57, 0), (COLUMNS($DU20:DZ20)-1)*5 + 1) = INDEX($E$5:$CE$5, 1, (COLUMNS($DU20:DZ20)-1)*5 + 1), INDEX($E$8:$CE$57, MATCH($C20, $C$8:$C$57, 0), (COLUMNS($DU20:DZ20)-1)*5 + 4) = "SF"), INDEX($CZ$8:$CZ$23, COLUMNS($DU20:DZ20)), "0"), "")</f>
        <v/>
      </c>
      <c r="EA20" s="395">
        <f t="array" ref="EA20">IFERROR(IF(AND(INDEX($E$8:$CE$57, MATCH($C20, $C$8:$C$57, 0), (COLUMNS($DU20:EA20)-1)*5 + 1) = INDEX($E$5:$CE$5, 1, (COLUMNS($DU20:EA20)-1)*5 + 1), INDEX($E$8:$CE$57, MATCH($C20, $C$8:$C$57, 0), (COLUMNS($DU20:EA20)-1)*5 + 4) = "SF"), INDEX($CZ$8:$CZ$23, COLUMNS($DU20:EA20)), "0"), "")</f>
        <v/>
      </c>
      <c r="EB20" s="395">
        <f t="array" ref="EB20">IFERROR(IF(AND(INDEX($E$8:$CE$57, MATCH($C20, $C$8:$C$57, 0), (COLUMNS($DU20:EB20)-1)*5 + 1) = INDEX($E$5:$CE$5, 1, (COLUMNS($DU20:EB20)-1)*5 + 1), INDEX($E$8:$CE$57, MATCH($C20, $C$8:$C$57, 0), (COLUMNS($DU20:EB20)-1)*5 + 4) = "SF"), INDEX($CZ$8:$CZ$23, COLUMNS($DU20:EB20)), "0"), "")</f>
        <v/>
      </c>
      <c r="EC20" s="395">
        <f t="array" ref="EC20">IFERROR(IF(AND(INDEX($E$8:$CE$57, MATCH($C20, $C$8:$C$57, 0), (COLUMNS($DU20:EC20)-1)*5 + 1) = INDEX($E$5:$CE$5, 1, (COLUMNS($DU20:EC20)-1)*5 + 1), INDEX($E$8:$CE$57, MATCH($C20, $C$8:$C$57, 0), (COLUMNS($DU20:EC20)-1)*5 + 4) = "SF"), INDEX($CZ$8:$CZ$23, COLUMNS($DU20:EC20)), "0"), "")</f>
        <v/>
      </c>
      <c r="ED20" s="395">
        <f t="array" ref="ED20">IFERROR(IF(AND(INDEX($E$8:$CE$57, MATCH($C20, $C$8:$C$57, 0), (COLUMNS($DU20:ED20)-1)*5 + 1) = INDEX($E$5:$CE$5, 1, (COLUMNS($DU20:ED20)-1)*5 + 1), INDEX($E$8:$CE$57, MATCH($C20, $C$8:$C$57, 0), (COLUMNS($DU20:ED20)-1)*5 + 4) = "SF"), INDEX($CZ$8:$CZ$23, COLUMNS($DU20:ED20)), "0"), "")</f>
        <v/>
      </c>
      <c r="EE20" s="395">
        <f t="array" ref="EE20">IFERROR(IF(AND(INDEX($E$8:$CE$57, MATCH($C20, $C$8:$C$57, 0), (COLUMNS($DU20:EE20)-1)*5 + 1) = INDEX($E$5:$CE$5, 1, (COLUMNS($DU20:EE20)-1)*5 + 1), INDEX($E$8:$CE$57, MATCH($C20, $C$8:$C$57, 0), (COLUMNS($DU20:EE20)-1)*5 + 4) = "SF"), INDEX($CZ$8:$CZ$23, COLUMNS($DU20:EE20)), "0"), "")</f>
        <v/>
      </c>
      <c r="EF20" s="395">
        <f t="array" ref="EF20">IFERROR(IF(AND(INDEX($E$8:$CE$57, MATCH($C20, $C$8:$C$57, 0), (COLUMNS($DU20:EF20)-1)*5 + 1) = INDEX($E$5:$CE$5, 1, (COLUMNS($DU20:EF20)-1)*5 + 1), INDEX($E$8:$CE$57, MATCH($C20, $C$8:$C$57, 0), (COLUMNS($DU20:EF20)-1)*5 + 4) = "SF"), INDEX($CZ$8:$CZ$23, COLUMNS($DU20:EF20)), "0"), "")</f>
        <v/>
      </c>
      <c r="EG20" s="395">
        <f t="array" ref="EG20">IFERROR(IF(AND(INDEX($E$8:$CE$57, MATCH($C20, $C$8:$C$57, 0), (COLUMNS($DU20:EG20)-1)*5 + 1) = INDEX($E$5:$CE$5, 1, (COLUMNS($DU20:EG20)-1)*5 + 1), INDEX($E$8:$CE$57, MATCH($C20, $C$8:$C$57, 0), (COLUMNS($DU20:EG20)-1)*5 + 4) = "SF"), INDEX($CZ$8:$CZ$23, COLUMNS($DU20:EG20)), "0"), "")</f>
        <v/>
      </c>
      <c r="EH20" s="395">
        <f t="array" ref="EH20">IFERROR(IF(AND(INDEX($E$8:$CE$57, MATCH($C20, $C$8:$C$57, 0), (COLUMNS($DU20:EH20)-1)*5 + 1) = INDEX($E$5:$CE$5, 1, (COLUMNS($DU20:EH20)-1)*5 + 1), INDEX($E$8:$CE$57, MATCH($C20, $C$8:$C$57, 0), (COLUMNS($DU20:EH20)-1)*5 + 4) = "SF"), INDEX($CZ$8:$CZ$23, COLUMNS($DU20:EH20)), "0"), "")</f>
        <v/>
      </c>
      <c r="EI20" s="395">
        <f t="array" ref="EI20">IFERROR(IF(AND(INDEX($E$8:$CE$57, MATCH($C20, $C$8:$C$57, 0), (COLUMNS($DU20:EI20)-1)*5 + 1) = INDEX($E$5:$CE$5, 1, (COLUMNS($DU20:EI20)-1)*5 + 1), INDEX($E$8:$CE$57, MATCH($C20, $C$8:$C$57, 0), (COLUMNS($DU20:EI20)-1)*5 + 4) = "SF"), INDEX($CZ$8:$CZ$23, COLUMNS($DU20:EI20)), "0"), "")</f>
        <v/>
      </c>
      <c r="EJ20" s="395">
        <f t="array" ref="EJ20">IFERROR(IF(AND(INDEX($E$8:$CE$57, MATCH($C20, $C$8:$C$57, 0), (COLUMNS($DU20:EJ20)-1)*5 + 1) = INDEX($E$5:$CE$5, 1, (COLUMNS($DU20:EJ20)-1)*5 + 1), INDEX($E$8:$CE$57, MATCH($C20, $C$8:$C$57, 0), (COLUMNS($DU20:EJ20)-1)*5 + 4) = "SF"), INDEX($CZ$8:$CZ$23, COLUMNS($DU20:EJ20)), "0"), "")</f>
        <v/>
      </c>
    </row>
    <row r="21" ht="20.1" customHeight="1" s="568">
      <c r="A21" s="576" t="n"/>
      <c r="B21" s="92">
        <f>IF(BASE01[[#This Row],[COD]]&lt;&gt;"",B20+1,"")</f>
        <v/>
      </c>
      <c r="C21" s="601" t="inlineStr">
        <is>
          <t>COD 14</t>
        </is>
      </c>
      <c r="D21" s="93">
        <f t="array" ref="D2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1" s="145" t="n">
        <v>1</v>
      </c>
      <c r="F21" s="146" t="n">
        <v>8</v>
      </c>
      <c r="G21" s="146" t="n">
        <v>2</v>
      </c>
      <c r="H21" s="146" t="inlineStr">
        <is>
          <t>F</t>
        </is>
      </c>
      <c r="I21" s="602">
        <f>SUM(IF(E21=E$5,4,0),IF(E21&amp;F21=E$5&amp;F$5,1,0),
IF(AND(E21=E$5,F$6&gt;=$D$115),1,0),
IF(AND(F21=E$5,F$6&gt;=$D$115),1,0),
IF(AND(G21=E$5,F$6&gt;=$D$115),1,0),
IF(E21&amp;H21=I$5,1,0),
IF(F21=E$5,2,0),
IF(G21=E$5,1,0),
IF(OR(E21&amp;F21&amp;G21=E$5&amp;F$5&amp;G$5,E21&amp;F21&amp;G21=E$5&amp;G$5&amp;F$5,E21&amp;F21&amp;G21=F$5&amp;E$5&amp;G$5,E21&amp;F21&amp;G21=F$5&amp;G$5&amp;E$5,E21&amp;F21&amp;G21=G$5&amp;E$5&amp;F$5,E21&amp;F21&amp;G21=G$5&amp;F$5&amp;E$5),2,0),IF(AND(E21=E$5,F$6&gt;=$D$129),1,0),IF(AND(F21=E$5,F$6&gt;=$D$129),1,0),IF(AND(G21=E$5,F$6&gt;=$D$129),1,0),IF(E21&amp;H21=H$5,4,0),IF(AND(E21=E$5,F$6&lt;=$D$104),-0.5,0),IF(AND(F21=E$5,F$6&lt;=$D$104),-0.5,0),IF(AND(G21=E$5,F$6&lt;=$D$104),-0.5,0))</f>
        <v/>
      </c>
      <c r="J21" s="145" t="n">
        <v>8</v>
      </c>
      <c r="K21" s="146" t="n">
        <v>3</v>
      </c>
      <c r="L21" s="146" t="n">
        <v>5</v>
      </c>
      <c r="M21" s="146" t="n"/>
      <c r="N21" s="602">
        <f>SUM(IF(J21=J$5,4,0),IF(J21&amp;K21=J$5&amp;K$5,1,0),
IF(AND(J21=J$5,K$6&gt;=$D$115),1,0),
IF(AND(K21=J$5,K$6&gt;=$D$115),1,0),
IF(AND(L21=J$5,K$6&gt;=$D$115),1,0),
IF(J21&amp;M21=N$5,1,0),
IF(K21=J$5,2,0),
IF(L21=J$5,1,0),
IF(OR(J21&amp;K21&amp;L21=J$5&amp;K$5&amp;L$5,J21&amp;K21&amp;L21=J$5&amp;L$5&amp;K$5,J21&amp;K21&amp;L21=K$5&amp;J$5&amp;L$5,J21&amp;K21&amp;L21=K$5&amp;L$5&amp;J$5,J21&amp;K21&amp;L21=L$5&amp;J$5&amp;K$5,J21&amp;K21&amp;L21=L$5&amp;K$5&amp;J$5),2,0),IF(AND(J21=J$5,K$6&gt;=$D$129),1,0),IF(AND(K21=J$5,K$6&gt;=$D$129),1,0),IF(AND(L21=J$5,K$6&gt;=$D$129),1,0),IF(J21&amp;M21=M$5,4,0),IF(AND(J21=J$5,K$6&lt;=$D$104),-0.5,0),IF(AND(K21=J$5,K$6&lt;=$D$104),-0.5,0),IF(AND(L21=J$5,K$6&lt;=$D$104),-0.5,0))</f>
        <v/>
      </c>
      <c r="O21" s="145" t="n">
        <v>8</v>
      </c>
      <c r="P21" s="146" t="n">
        <v>2</v>
      </c>
      <c r="Q21" s="146" t="n">
        <v>3</v>
      </c>
      <c r="R21" s="146" t="n"/>
      <c r="S21" s="602">
        <f>SUM(IF(O21=O$5,4,0),IF(O21&amp;P21=O$5&amp;P$5,1,0),
IF(AND(O21=O$5,P$6&gt;=$D$115),1,0),
IF(AND(P21=O$5,P$6&gt;=$D$115),1,0),
IF(AND(Q21=O$5,P$6&gt;=$D$115),1,0),
IF(O21&amp;R21=S$5,1,0),
IF(P21=O$5,2,0),
IF(Q21=O$5,1,0),
IF(OR(O21&amp;P21&amp;Q21=O$5&amp;P$5&amp;Q$5,O21&amp;P21&amp;Q21=O$5&amp;Q$5&amp;P$5,O21&amp;P21&amp;Q21=P$5&amp;O$5&amp;Q$5,O21&amp;P21&amp;Q21=P$5&amp;Q$5&amp;O$5,O21&amp;P21&amp;Q21=Q$5&amp;O$5&amp;P$5,O21&amp;P21&amp;Q21=Q$5&amp;P$5&amp;O$5),2,0),IF(AND(O21=O$5,P$6&gt;=$D$129),1,0),IF(AND(P21=O$5,P$6&gt;=$D$129),1,0),IF(AND(Q21=O$5,P$6&gt;=$D$129),1,0),IF(O21&amp;R21=R$5,4,0),IF(AND(O21=O$5,P$6&lt;=$D$104),-0.5,0),IF(AND(P21=O$5,P$6&lt;=$D$104),-0.5,0),IF(AND(Q21=O$5,P$6&lt;=$D$104),-0.5,0))</f>
        <v/>
      </c>
      <c r="T21" s="145" t="n">
        <v>6</v>
      </c>
      <c r="U21" s="146" t="n">
        <v>8</v>
      </c>
      <c r="V21" s="146" t="n">
        <v>9</v>
      </c>
      <c r="W21" s="146" t="n"/>
      <c r="X21" s="602">
        <f>SUM(IF(T21=T$5,4,0),IF(T21&amp;U21=T$5&amp;U$5,1,0),
IF(AND(T21=T$5,U$6&gt;=$D$115),1,0),
IF(AND(U21=T$5,U$6&gt;=$D$115),1,0),
IF(AND(V21=T$5,U$6&gt;=$D$115),1,0),
IF(T21&amp;W21=X$5,1,0),
IF(U21=T$5,2,0),
IF(V21=T$5,1,0),
IF(OR(T21&amp;U21&amp;V21=T$5&amp;U$5&amp;V$5,T21&amp;U21&amp;V21=T$5&amp;V$5&amp;U$5,T21&amp;U21&amp;V21=U$5&amp;T$5&amp;V$5,T21&amp;U21&amp;V21=U$5&amp;V$5&amp;T$5,T21&amp;U21&amp;V21=V$5&amp;T$5&amp;U$5,T21&amp;U21&amp;V21=V$5&amp;U$5&amp;T$5),2,0),IF(AND(T21=T$5,U$6&gt;=$D$129),1,0),IF(AND(U21=T$5,U$6&gt;=$D$129),1,0),IF(AND(V21=T$5,U$6&gt;=$D$129),1,0),IF(T21&amp;W21=W$5,4,0),IF(AND(T21=T$5,U$6&lt;=$D$104),-0.5,0),IF(AND(U21=T$5,U$6&lt;=$D$104),-0.5,0),IF(AND(V21=T$5,U$6&lt;=$D$104),-0.5,0))</f>
        <v/>
      </c>
      <c r="Y21" s="145" t="n">
        <v>5</v>
      </c>
      <c r="Z21" s="146" t="n">
        <v>3</v>
      </c>
      <c r="AA21" s="146" t="n">
        <v>4</v>
      </c>
      <c r="AB21" s="146" t="n"/>
      <c r="AC21" s="602">
        <f>SUM(IF(Y21=Y$5,4,0),IF(Y21&amp;Z21=Y$5&amp;Z$5,1,0),
IF(AND(Y21=Y$5,Z$6&gt;=$D$115),1,0),
IF(AND(Z21=Y$5,Z$6&gt;=$D$115),1,0),
IF(AND(AA21=Y$5,Z$6&gt;=$D$115),1,0),
IF(Y21&amp;AB21=AC$5,1,0),
IF(Z21=Y$5,2,0),
IF(AA21=Y$5,1,0),
IF(OR(Y21&amp;Z21&amp;AA21=Y$5&amp;Z$5&amp;AA$5,Y21&amp;Z21&amp;AA21=Y$5&amp;AA$5&amp;Z$5,Y21&amp;Z21&amp;AA21=Z$5&amp;Y$5&amp;AA$5,Y21&amp;Z21&amp;AA21=Z$5&amp;AA$5&amp;Y$5,Y21&amp;Z21&amp;AA21=AA$5&amp;Y$5&amp;Z$5,Y21&amp;Z21&amp;AA21=AA$5&amp;Z$5&amp;Y$5),2,0),IF(AND(Y21=Y$5,Z$6&gt;=$D$129),1,0),IF(AND(Z21=Y$5,Z$6&gt;=$D$129),1,0),IF(AND(AA21=Y$5,Z$6&gt;=$D$129),1,0),IF(Y21&amp;AB21=AB$5,4,0),IF(AND(Y21=Y$5,Z$6&lt;=$D$104),-0.5,0),IF(AND(Z21=Y$5,Z$6&lt;=$D$104),-0.5,0),IF(AND(AA21=Y$5,Z$6&lt;=$D$104),-0.5,0))</f>
        <v/>
      </c>
      <c r="AD21" s="145" t="n">
        <v>7</v>
      </c>
      <c r="AE21" s="146" t="n">
        <v>5</v>
      </c>
      <c r="AF21" s="146" t="n">
        <v>2</v>
      </c>
      <c r="AG21" s="146" t="n"/>
      <c r="AH21" s="602">
        <f>SUM(IF(AD21=AD$5,4,0),IF(AD21&amp;AE21=AD$5&amp;AE$5,1,0),
IF(AND(AD21=AD$5,AE$6&gt;=$D$115),1,0),
IF(AND(AE21=AD$5,AE$6&gt;=$D$115),1,0),
IF(AND(AF21=AD$5,AE$6&gt;=$D$115),1,0),
IF(AD21&amp;AG21=AH$5,1,0),
IF(AE21=AD$5,2,0),
IF(AF21=AD$5,1,0),
IF(OR(AD21&amp;AE21&amp;AF21=AD$5&amp;AE$5&amp;AF$5,AD21&amp;AE21&amp;AF21=AD$5&amp;AF$5&amp;AE$5,AD21&amp;AE21&amp;AF21=AE$5&amp;AD$5&amp;AF$5,AD21&amp;AE21&amp;AF21=AE$5&amp;AF$5&amp;AD$5,AD21&amp;AE21&amp;AF21=AF$5&amp;AD$5&amp;AE$5,AD21&amp;AE21&amp;AF21=AF$5&amp;AE$5&amp;AD$5),2,0),IF(AND(AD21=AD$5,AE$6&gt;=$D$129),1,0),IF(AND(AE21=AD$5,AE$6&gt;=$D$129),1,0),IF(AND(AF21=AD$5,AE$6&gt;=$D$129),1,0),IF(AD21&amp;AG21=AG$5,4,0),IF(AND(AD21=AD$5,AE$6&lt;=$D$104),-0.5,0),IF(AND(AE21=AD$5,AE$6&lt;=$D$104),-0.5,0),IF(AND(AF21=AD$5,AE$6&lt;=$D$104),-0.5,0))</f>
        <v/>
      </c>
      <c r="AI21" s="145" t="n">
        <v>7</v>
      </c>
      <c r="AJ21" s="146" t="n">
        <v>3</v>
      </c>
      <c r="AK21" s="146" t="n">
        <v>4</v>
      </c>
      <c r="AL21" s="146" t="n"/>
      <c r="AM21" s="602">
        <f>SUM(IF(AI21=AI$5,4,0),IF(AI21&amp;AJ21=AI$5&amp;AJ$5,1,0),
IF(AND(AI21=AI$5,AJ$6&gt;=$D$115),1,0),
IF(AND(AJ21=AI$5,AJ$6&gt;=$D$115),1,0),
IF(AND(AK21=AI$5,AJ$6&gt;=$D$115),1,0),
IF(AI21&amp;AL21=AM$5,1,0),
IF(AJ21=AI$5,2,0),
IF(AK21=AI$5,1,0),
IF(OR(AI21&amp;AJ21&amp;AK21=AI$5&amp;AJ$5&amp;AK$5,AI21&amp;AJ21&amp;AK21=AI$5&amp;AK$5&amp;AJ$5,AI21&amp;AJ21&amp;AK21=AJ$5&amp;AI$5&amp;AK$5,AI21&amp;AJ21&amp;AK21=AJ$5&amp;AK$5&amp;AI$5,AI21&amp;AJ21&amp;AK21=AK$5&amp;AI$5&amp;AJ$5,AI21&amp;AJ21&amp;AK21=AK$5&amp;AJ$5&amp;AI$5),2,0),IF(AND(AI21=AI$5,AJ$6&gt;=$D$129),1,0),IF(AND(AJ21=AI$5,AJ$6&gt;=$D$129),1,0),IF(AND(AK21=AI$5,AJ$6&gt;=$D$129),1,0),IF(AI21&amp;AL21=AL$5,4,0),IF(AND(AI21=AI$5,AJ$6&lt;=$D$104),-0.5,0),IF(AND(AJ21=AI$5,AJ$6&lt;=$D$104),-0.5,0),IF(AND(AK21=AI$5,AJ$6&lt;=$D$104),-0.5,0))</f>
        <v/>
      </c>
      <c r="AN21" s="145" t="n">
        <v>8</v>
      </c>
      <c r="AO21" s="146" t="n">
        <v>9</v>
      </c>
      <c r="AP21" s="146" t="n">
        <v>1</v>
      </c>
      <c r="AQ21" s="146" t="inlineStr">
        <is>
          <t>F</t>
        </is>
      </c>
      <c r="AR21" s="602">
        <f>SUM(IF(AN21=AN$5,4,0),IF(AN21&amp;AO21=AN$5&amp;AO$5,1,0),
IF(AND(AN21=AN$5,AO$6&gt;=$D$115),1,0),
IF(AND(AO21=AN$5,AO$6&gt;=$D$115),1,0),
IF(AND(AP21=AN$5,AO$6&gt;=$D$115),1,0),
IF(AN21&amp;AQ21=AR$5,1,0),
IF(AO21=AN$5,2,0),
IF(AP21=AN$5,1,0),
IF(OR(AN21&amp;AO21&amp;AP21=AN$5&amp;AO$5&amp;AP$5,AN21&amp;AO21&amp;AP21=AN$5&amp;AP$5&amp;AO$5,AN21&amp;AO21&amp;AP21=AO$5&amp;AN$5&amp;AP$5,AN21&amp;AO21&amp;AP21=AO$5&amp;AP$5&amp;AN$5,AN21&amp;AO21&amp;AP21=AP$5&amp;AN$5&amp;AO$5,AN21&amp;AO21&amp;AP21=AP$5&amp;AO$5&amp;AN$5),2,0),IF(AND(AN21=AN$5,AO$6&gt;=$D$129),1,0),IF(AND(AO21=AN$5,AO$6&gt;=$D$129),1,0),IF(AND(AP21=AN$5,AO$6&gt;=$D$129),1,0),IF(AN21&amp;AQ21=AQ$5,4,0),IF(AND(AN21=AN$5,AO$6&lt;=$D$104),-0.5,0),IF(AND(AO21=AN$5,AO$6&lt;=$D$104),-0.5,0),IF(AND(AP21=AN$5,AO$6&lt;=$D$104),-0.5,0))</f>
        <v/>
      </c>
      <c r="AS21" s="145" t="n">
        <v>1</v>
      </c>
      <c r="AT21" s="146" t="n">
        <v>2</v>
      </c>
      <c r="AU21" s="146" t="n">
        <v>4</v>
      </c>
      <c r="AV21" s="146" t="n"/>
      <c r="AW21" s="602">
        <f>SUM(IF(AS21=AS$5,4,0),IF(AS21&amp;AT21=AS$5&amp;AT$5,1,0),
IF(AND(AS21=AS$5,AT$6&gt;=$D$115),1,0),
IF(AND(AT21=AS$5,AT$6&gt;=$D$115),1,0),
IF(AND(AU21=AS$5,AT$6&gt;=$D$115),1,0),
IF(AS21&amp;AV21=AW$5,1,0),
IF(AT21=AS$5,2,0),
IF(AU21=AS$5,1,0),
IF(OR(AS21&amp;AT21&amp;AU21=AS$5&amp;AT$5&amp;AU$5,AS21&amp;AT21&amp;AU21=AS$5&amp;AU$5&amp;AT$5,AS21&amp;AT21&amp;AU21=AT$5&amp;AS$5&amp;AU$5,AS21&amp;AT21&amp;AU21=AT$5&amp;AU$5&amp;AS$5,AS21&amp;AT21&amp;AU21=AU$5&amp;AS$5&amp;AT$5,AS21&amp;AT21&amp;AU21=AU$5&amp;AT$5&amp;AS$5),2,0),IF(AND(AS21=AS$5,AT$6&gt;=$D$129),1,0),IF(AND(AT21=AS$5,AT$6&gt;=$D$129),1,0),IF(AND(AU21=AS$5,AT$6&gt;=$D$129),1,0),IF(AS21&amp;AV21=AV$5,4,0),IF(AND(AS21=AS$5,AT$6&lt;=$D$104),-0.5,0),IF(AND(AT21=AS$5,AT$6&lt;=$D$104),-0.5,0),IF(AND(AU21=AS$5,AT$6&lt;=$D$104),-0.5,0))</f>
        <v/>
      </c>
      <c r="AX21" s="145" t="n">
        <v>1</v>
      </c>
      <c r="AY21" s="146" t="n">
        <v>9</v>
      </c>
      <c r="AZ21" s="146" t="n">
        <v>8</v>
      </c>
      <c r="BA21" s="146" t="n"/>
      <c r="BB21" s="602">
        <f>SUM(IF(AX21=AX$5,4,0),IF(AX21&amp;AY21=AX$5&amp;AY$5,1,0),
IF(AND(AX21=AX$5,AY$6&gt;=$D$115),1,0),
IF(AND(AY21=AX$5,AY$6&gt;=$D$115),1,0),
IF(AND(AZ21=AX$5,AY$6&gt;=$D$115),1,0),
IF(AX21&amp;BA21=BB$5,1,0),
IF(AY21=AX$5,2,0),
IF(AZ21=AX$5,1,0),
IF(OR(AX21&amp;AY21&amp;AZ21=AX$5&amp;AY$5&amp;AZ$5,AX21&amp;AY21&amp;AZ21=AX$5&amp;AZ$5&amp;AY$5,AX21&amp;AY21&amp;AZ21=AY$5&amp;AX$5&amp;AZ$5,AX21&amp;AY21&amp;AZ21=AY$5&amp;AZ$5&amp;AX$5,AX21&amp;AY21&amp;AZ21=AZ$5&amp;AX$5&amp;AY$5,AX21&amp;AY21&amp;AZ21=AZ$5&amp;AY$5&amp;AX$5),2,0),IF(AND(AX21=AX$5,AY$6&gt;=$D$129),1,0),IF(AND(AY21=AX$5,AY$6&gt;=$D$129),1,0),IF(AND(AZ21=AX$5,AY$6&gt;=$D$129),1,0),IF(AX21&amp;BA21=BA$5,4,0),IF(AND(AX21=AX$5,AY$6&lt;=$D$104),-0.5,0),IF(AND(AY21=AX$5,AY$6&lt;=$D$104),-0.5,0),IF(AND(AZ21=AX$5,AY$6&lt;=$D$104),-0.5,0))</f>
        <v/>
      </c>
      <c r="BC21" s="145" t="n">
        <v>2</v>
      </c>
      <c r="BD21" s="146" t="n">
        <v>4</v>
      </c>
      <c r="BE21" s="146" t="n">
        <v>8</v>
      </c>
      <c r="BF21" s="146" t="n"/>
      <c r="BG21" s="602">
        <f>SUM(IF(BC21=BC$5,4,0),IF(BC21&amp;BD21=BC$5&amp;BD$5,1,0),
IF(AND(BC21=BC$5,BD$6&gt;=$D$115),1,0),
IF(AND(BD21=BC$5,BD$6&gt;=$D$115),1,0),
IF(AND(BE21=BC$5,BD$6&gt;=$D$115),1,0),
IF(BC21&amp;BF21=BG$5,1,0),
IF(BD21=BC$5,2,0),
IF(BE21=BC$5,1,0),
IF(OR(BC21&amp;BD21&amp;BE21=BC$5&amp;BD$5&amp;BE$5,BC21&amp;BD21&amp;BE21=BC$5&amp;BE$5&amp;BD$5,BC21&amp;BD21&amp;BE21=BD$5&amp;BC$5&amp;BE$5,BC21&amp;BD21&amp;BE21=BD$5&amp;BE$5&amp;BC$5,BC21&amp;BD21&amp;BE21=BE$5&amp;BC$5&amp;BD$5,BC21&amp;BD21&amp;BE21=BE$5&amp;BD$5&amp;BC$5),2,0),IF(AND(BC21=BC$5,BD$6&gt;=$D$129),1,0),IF(AND(BD21=BC$5,BD$6&gt;=$D$129),1,0),IF(AND(BE21=BC$5,BD$6&gt;=$D$129),1,0),IF(BC21&amp;BF21=BF$5,4,0),IF(AND(BC21=BC$5,BD$6&lt;=$D$104),-0.5,0),IF(AND(BD21=BC$5,BD$6&lt;=$D$104),-0.5,0),IF(AND(BE21=BC$5,BD$6&lt;=$D$104),-0.5,0))</f>
        <v/>
      </c>
      <c r="BH21" s="145" t="n">
        <v>5</v>
      </c>
      <c r="BI21" s="146" t="n"/>
      <c r="BJ21" s="146" t="n"/>
      <c r="BK21" s="146" t="inlineStr">
        <is>
          <t>SF</t>
        </is>
      </c>
      <c r="BL21" s="602">
        <f>SUM(IF(BH21=BH$5,4,0),IF(BH21&amp;BI21=BH$5&amp;BI$5,1,0),
IF(AND(BH21=BH$5,BI$6&gt;=$D$115),1,0),
IF(AND(BI21=BH$5,BI$6&gt;=$D$115),1,0),
IF(AND(BJ21=BH$5,BI$6&gt;=$D$115),1,0),
IF(BH21&amp;BK21=BL$5,1,0),
IF(BI21=BH$5,2,0),
IF(BJ21=BH$5,1,0),
IF(OR(BH21&amp;BI21&amp;BJ21=BH$5&amp;BI$5&amp;BJ$5,BH21&amp;BI21&amp;BJ21=BH$5&amp;BJ$5&amp;BI$5,BH21&amp;BI21&amp;BJ21=BI$5&amp;BH$5&amp;BJ$5,BH21&amp;BI21&amp;BJ21=BI$5&amp;BJ$5&amp;BH$5,BH21&amp;BI21&amp;BJ21=BJ$5&amp;BH$5&amp;BI$5,BH21&amp;BI21&amp;BJ21=BJ$5&amp;BI$5&amp;BH$5),2,0),IF(AND(BH21=BH$5,BI$6&gt;=$D$129),1,0),IF(AND(BI21=BH$5,BI$6&gt;=$D$129),1,0),IF(AND(BJ21=BH$5,BI$6&gt;=$D$129),1,0),IF(BH21&amp;BK21=BK$5,4,0),IF(AND(BH21=BH$5,BI$6&lt;=$D$104),-0.5,0),IF(AND(BI21=BH$5,BI$6&lt;=$D$104),-0.5,0),IF(AND(BJ21=BH$5,BI$6&lt;=$D$104),-0.5,0))</f>
        <v/>
      </c>
      <c r="BM21" s="145" t="n">
        <v>1</v>
      </c>
      <c r="BN21" s="146" t="n">
        <v>3</v>
      </c>
      <c r="BO21" s="146" t="n">
        <v>2</v>
      </c>
      <c r="BP21" s="146" t="n"/>
      <c r="BQ21" s="602">
        <f>SUM(IF(BM21=BM$5,4,0),IF(BM21&amp;BN21=BM$5&amp;BN$5,1,0),
IF(AND(BM21=BM$5,BN$6&gt;=$D$115),1,0),
IF(AND(BN21=BM$5,BN$6&gt;=$D$115),1,0),
IF(AND(BO21=BM$5,BN$6&gt;=$D$115),1,0),
IF(BM21&amp;BP21=BQ$5,1,0),
IF(BN21=BM$5,2,0),
IF(BO21=BM$5,1,0),
IF(OR(BM21&amp;BN21&amp;BO21=BM$5&amp;BN$5&amp;BO$5,BM21&amp;BN21&amp;BO21=BM$5&amp;BO$5&amp;BN$5,BM21&amp;BN21&amp;BO21=BN$5&amp;BM$5&amp;BO$5,BM21&amp;BN21&amp;BO21=BN$5&amp;BO$5&amp;BM$5,BM21&amp;BN21&amp;BO21=BO$5&amp;BM$5&amp;BN$5,BM21&amp;BN21&amp;BO21=BO$5&amp;BN$5&amp;BM$5),2,0),IF(AND(BM21=BM$5,BN$6&gt;=$D$129),1,0),IF(AND(BN21=BM$5,BN$6&gt;=$D$129),1,0),IF(AND(BO21=BM$5,BN$6&gt;=$D$129),1,0),IF(BM21&amp;BP21=BP$5,4,0),IF(AND(BM21=BM$5,BN$6&lt;=$D$104),-0.5,0),IF(AND(BN21=BM$5,BN$6&lt;=$D$104),-0.5,0),IF(AND(BO21=BM$5,BN$6&lt;=$D$104),-0.5,0))</f>
        <v/>
      </c>
      <c r="BR21" s="145" t="n"/>
      <c r="BS21" s="146" t="n"/>
      <c r="BT21" s="146" t="n"/>
      <c r="BU21" s="146" t="n"/>
      <c r="BV21" s="602">
        <f>SUM(IF(BR21=BR$5,4,0),IF(BR21&amp;BS21=BR$5&amp;BS$5,1,0),
IF(AND(BR21=BR$5,BS$6&gt;=$D$115),1,0),
IF(AND(BS21=BR$5,BS$6&gt;=$D$115),1,0),
IF(AND(BT21=BR$5,BS$6&gt;=$D$115),1,0),
IF(BR21&amp;BU21=BV$5,1,0),
IF(BS21=BR$5,2,0),
IF(BT21=BR$5,1,0),
IF(OR(BR21&amp;BS21&amp;BT21=BR$5&amp;BS$5&amp;BT$5,BR21&amp;BS21&amp;BT21=BR$5&amp;BT$5&amp;BS$5,BR21&amp;BS21&amp;BT21=BS$5&amp;BR$5&amp;BT$5,BR21&amp;BS21&amp;BT21=BS$5&amp;BT$5&amp;BR$5,BR21&amp;BS21&amp;BT21=BT$5&amp;BR$5&amp;BS$5,BR21&amp;BS21&amp;BT21=BT$5&amp;BS$5&amp;BR$5),2,0),IF(AND(BR21=BR$5,BS$6&gt;=$D$129),1,0),IF(AND(BS21=BR$5,BS$6&gt;=$D$129),1,0),IF(AND(BT21=BR$5,BS$6&gt;=$D$129),1,0),IF(BR21&amp;BU21=BU$5,4,0),IF(AND(BR21=BR$5,BS$6&lt;=$D$104),-0.5,0),IF(AND(BS21=BR$5,BS$6&lt;=$D$104),-0.5,0),IF(AND(BT21=BR$5,BS$6&lt;=$D$104),-0.5,0))</f>
        <v/>
      </c>
      <c r="BW21" s="145" t="n"/>
      <c r="BX21" s="146" t="n"/>
      <c r="BY21" s="146" t="n"/>
      <c r="BZ21" s="146" t="n"/>
      <c r="CA21" s="602">
        <f>SUM(IF(BW21=BW$5,4,0),IF(BW21&amp;BX21=BW$5&amp;BX$5,1,0),
IF(AND(BW21=BW$5,BX$6&gt;=$D$115),1,0),
IF(AND(BX21=BW$5,BX$6&gt;=$D$115),1,0),
IF(AND(BY21=BW$5,BX$6&gt;=$D$115),1,0),
IF(BW21&amp;BZ21=CA$5,1,0),
IF(BX21=BW$5,2,0),
IF(BY21=BW$5,1,0),
IF(OR(BW21&amp;BX21&amp;BY21=BW$5&amp;BX$5&amp;BY$5,BW21&amp;BX21&amp;BY21=BW$5&amp;BY$5&amp;BX$5,BW21&amp;BX21&amp;BY21=BX$5&amp;BW$5&amp;BY$5,BW21&amp;BX21&amp;BY21=BX$5&amp;BY$5&amp;BW$5,BW21&amp;BX21&amp;BY21=BY$5&amp;BW$5&amp;BX$5,BW21&amp;BX21&amp;BY21=BY$5&amp;BX$5&amp;BW$5),2,0),IF(AND(BW21=BW$5,BX$6&gt;=$D$129),1,0),IF(AND(BX21=BW$5,BX$6&gt;=$D$129),1,0),IF(AND(BY21=BW$5,BX$6&gt;=$D$129),1,0),IF(BW21&amp;BZ21=BZ$5,4,0),IF(AND(BW21=BW$5,BX$6&lt;=$D$104),-0.5,0),IF(AND(BX21=BW$5,BX$6&lt;=$D$104),-0.5,0),IF(AND(BY21=BW$5,BX$6&lt;=$D$104),-0.5,0))</f>
        <v/>
      </c>
      <c r="CB21" s="145" t="n"/>
      <c r="CC21" s="146" t="n"/>
      <c r="CD21" s="146" t="n"/>
      <c r="CE21" s="146" t="n"/>
      <c r="CF21" s="602">
        <f>SUM(IF(CB21=CB$5,4,0),IF(CB21&amp;CC21=CB$5&amp;CC$5,1,0),
IF(AND(CB21=CB$5,CC$6&gt;=$D$115),1,0),
IF(AND(CC21=CB$5,CC$6&gt;=$D$115),1,0),
IF(AND(CD21=CB$5,CC$6&gt;=$D$115),1,0),
IF(CB21&amp;CE21=CF$5,1,0),
IF(CC21=CB$5,2,0),
IF(CD21=CB$5,1,0),
IF(OR(CB21&amp;CC21&amp;CD21=CB$5&amp;CC$5&amp;CD$5,CB21&amp;CC21&amp;CD21=CB$5&amp;CD$5&amp;CC$5,CB21&amp;CC21&amp;CD21=CC$5&amp;CB$5&amp;CD$5,CB21&amp;CC21&amp;CD21=CC$5&amp;CD$5&amp;CB$5,CB21&amp;CC21&amp;CD21=CD$5&amp;CB$5&amp;CC$5,CB21&amp;CC21&amp;CD21=CD$5&amp;CC$5&amp;CB$5),2,0),IF(AND(CB21=CB$5,CC$6&gt;=$D$129),1,0),IF(AND(CC21=CB$5,CC$6&gt;=$D$129),1,0),IF(AND(CD21=CB$5,CC$6&gt;=$D$129),1,0),IF(CB21&amp;CE21=CE$5,4,0),IF(AND(CB21=CB$5,CC$6&lt;=$D$104),-0.5,0),IF(AND(CC21=CB$5,CC$6&lt;=$D$104),-0.5,0),IF(AND(CD21=CB$5,CC$6&lt;=$D$104),-0.5,0))</f>
        <v/>
      </c>
      <c r="CG21" s="164">
        <f>IF(BASE01[[#This Row],[1]]="",0,$B$4)</f>
        <v/>
      </c>
      <c r="CH21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1" s="166">
        <f>IF(BASE01[[#This Row],[Columna14]]=0,0,(CH21/CG21))</f>
        <v/>
      </c>
      <c r="CJ21" s="165">
        <f>IF(BASE01[[#This Row],[1]]="",0,$B$4)</f>
        <v/>
      </c>
      <c r="CK21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1" s="166">
        <f>IF(BASE01[[#This Row],[Columna14]]=0,0,(CK21/CJ21))</f>
        <v/>
      </c>
      <c r="CM21" s="164">
        <f>IF(BASE01[[#This Row],[1]]="",0,$B$4)</f>
        <v/>
      </c>
      <c r="CN21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1" s="166">
        <f>IF(BASE01[[#This Row],[Columna14]]=0,0,(CN21/CM21))</f>
        <v/>
      </c>
      <c r="CP21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1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Row],[Columna25]],$AX$5,BA21,"SF")+COUNTIFS(BASE01[[#This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1" s="166">
        <f>IF(BASE01[[#This Row],[Columna14]]=0,0,(CQ21/CP21))</f>
        <v/>
      </c>
      <c r="CS21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1" s="95" t="n"/>
      <c r="CU21" s="604">
        <f>SUM(CS21,CT21)</f>
        <v/>
      </c>
      <c r="CV21" s="96">
        <f>IF(BASE01[[#This Row],[TIPO]]="PREMIO",$O$3,"0,00")</f>
        <v/>
      </c>
      <c r="CW21" s="576" t="n"/>
      <c r="CY21" s="393" t="n">
        <v>14</v>
      </c>
      <c r="CZ21" s="354">
        <f>BS$6</f>
        <v/>
      </c>
      <c r="DB21" s="605">
        <f>BASE01[[#This Row],[COD]]</f>
        <v/>
      </c>
      <c r="DC21" s="395">
        <f t="array" ref="DC21">IFERROR(IF(AND(INDEX($E$8:$CE$57, MATCH($C21, $C$8:$C$57, 0), (COLUMNS($DC21:DC21)-1)*5 + 1) = INDEX($E$5:$CE$5, 1, (COLUMNS($DC21:DC21)-1)*5 + 1), INDEX($E$8:$CE$57, MATCH($C21, $C$8:$C$57, 0), (COLUMNS($DC21:DC21)-1)*5 + 4) = "F"), INDEX($CZ$8:$CZ$23, COLUMNS($DC21:DC21)), "0"), "")</f>
        <v/>
      </c>
      <c r="DD21" s="395">
        <f t="array" ref="DD21">IFERROR(IF(AND(INDEX($E$8:$CE$57, MATCH($C21, $C$8:$C$57, 0), (COLUMNS($DC21:DD21)-1)*5 + 1) = INDEX($E$5:$CE$5, 1, (COLUMNS($DC21:DD21)-1)*5 + 1), INDEX($E$8:$CE$57, MATCH($C21, $C$8:$C$57, 0), (COLUMNS($DC21:DD21)-1)*5 + 4) = "F"), INDEX($CZ$8:$CZ$23, COLUMNS($DC21:DD21)), "0"), "")</f>
        <v/>
      </c>
      <c r="DE21" s="395">
        <f t="array" ref="DE21">IFERROR(IF(AND(INDEX($E$8:$CE$57, MATCH($C21, $C$8:$C$57, 0), (COLUMNS($DC21:DE21)-1)*5 + 1) = INDEX($E$5:$CE$5, 1, (COLUMNS($DC21:DE21)-1)*5 + 1), INDEX($E$8:$CE$57, MATCH($C21, $C$8:$C$57, 0), (COLUMNS($DC21:DE21)-1)*5 + 4) = "F"), INDEX($CZ$8:$CZ$23, COLUMNS($DC21:DE21)), "0"), "")</f>
        <v/>
      </c>
      <c r="DF21" s="395">
        <f t="array" ref="DF21">IFERROR(IF(AND(INDEX($E$8:$CE$57, MATCH($C21, $C$8:$C$57, 0), (COLUMNS($DC21:DF21)-1)*5 + 1) = INDEX($E$5:$CE$5, 1, (COLUMNS($DC21:DF21)-1)*5 + 1), INDEX($E$8:$CE$57, MATCH($C21, $C$8:$C$57, 0), (COLUMNS($DC21:DF21)-1)*5 + 4) = "F"), INDEX($CZ$8:$CZ$23, COLUMNS($DC21:DF21)), "0"), "")</f>
        <v/>
      </c>
      <c r="DG21" s="395">
        <f t="array" ref="DG21">IFERROR(IF(AND(INDEX($E$8:$CE$57, MATCH($C21, $C$8:$C$57, 0), (COLUMNS($DC21:DG21)-1)*5 + 1) = INDEX($E$5:$CE$5, 1, (COLUMNS($DC21:DG21)-1)*5 + 1), INDEX($E$8:$CE$57, MATCH($C21, $C$8:$C$57, 0), (COLUMNS($DC21:DG21)-1)*5 + 4) = "F"), INDEX($CZ$8:$CZ$23, COLUMNS($DC21:DG21)), "0"), "")</f>
        <v/>
      </c>
      <c r="DH21" s="395">
        <f t="array" ref="DH21">IFERROR(IF(AND(INDEX($E$8:$CE$57, MATCH($C21, $C$8:$C$57, 0), (COLUMNS($DC21:DH21)-1)*5 + 1) = INDEX($E$5:$CE$5, 1, (COLUMNS($DC21:DH21)-1)*5 + 1), INDEX($E$8:$CE$57, MATCH($C21, $C$8:$C$57, 0), (COLUMNS($DC21:DH21)-1)*5 + 4) = "F"), INDEX($CZ$8:$CZ$23, COLUMNS($DC21:DH21)), "0"), "")</f>
        <v/>
      </c>
      <c r="DI21" s="395">
        <f t="array" ref="DI21">IFERROR(IF(AND(INDEX($E$8:$CE$57, MATCH($C21, $C$8:$C$57, 0), (COLUMNS($DC21:DI21)-1)*5 + 1) = INDEX($E$5:$CE$5, 1, (COLUMNS($DC21:DI21)-1)*5 + 1), INDEX($E$8:$CE$57, MATCH($C21, $C$8:$C$57, 0), (COLUMNS($DC21:DI21)-1)*5 + 4) = "F"), INDEX($CZ$8:$CZ$23, COLUMNS($DC21:DI21)), "0"), "")</f>
        <v/>
      </c>
      <c r="DJ21" s="395">
        <f t="array" ref="DJ21">IFERROR(IF(AND(INDEX($E$8:$CE$57, MATCH($C21, $C$8:$C$57, 0), (COLUMNS($DC21:DJ21)-1)*5 + 1) = INDEX($E$5:$CE$5, 1, (COLUMNS($DC21:DJ21)-1)*5 + 1), INDEX($E$8:$CE$57, MATCH($C21, $C$8:$C$57, 0), (COLUMNS($DC21:DJ21)-1)*5 + 4) = "F"), INDEX($CZ$8:$CZ$23, COLUMNS($DC21:DJ21)), "0"), "")</f>
        <v/>
      </c>
      <c r="DK21" s="395">
        <f t="array" ref="DK21">IFERROR(IF(AND(INDEX($E$8:$CE$57, MATCH($C21, $C$8:$C$57, 0), (COLUMNS($DC21:DK21)-1)*5 + 1) = INDEX($E$5:$CE$5, 1, (COLUMNS($DC21:DK21)-1)*5 + 1), INDEX($E$8:$CE$57, MATCH($C21, $C$8:$C$57, 0), (COLUMNS($DC21:DK21)-1)*5 + 4) = "F"), INDEX($CZ$8:$CZ$23, COLUMNS($DC21:DK21)), "0"), "")</f>
        <v/>
      </c>
      <c r="DL21" s="395">
        <f t="array" ref="DL21">IFERROR(IF(AND(INDEX($E$8:$CE$57, MATCH($C21, $C$8:$C$57, 0), (COLUMNS($DC21:DL21)-1)*5 + 1) = INDEX($E$5:$CE$5, 1, (COLUMNS($DC21:DL21)-1)*5 + 1), INDEX($E$8:$CE$57, MATCH($C21, $C$8:$C$57, 0), (COLUMNS($DC21:DL21)-1)*5 + 4) = "F"), INDEX($CZ$8:$CZ$23, COLUMNS($DC21:DL21)), "0"), "")</f>
        <v/>
      </c>
      <c r="DM21" s="395">
        <f t="array" ref="DM21">IFERROR(IF(AND(INDEX($E$8:$CE$57, MATCH($C21, $C$8:$C$57, 0), (COLUMNS($DC21:DM21)-1)*5 + 1) = INDEX($E$5:$CE$5, 1, (COLUMNS($DC21:DM21)-1)*5 + 1), INDEX($E$8:$CE$57, MATCH($C21, $C$8:$C$57, 0), (COLUMNS($DC21:DM21)-1)*5 + 4) = "F"), INDEX($CZ$8:$CZ$23, COLUMNS($DC21:DM21)), "0"), "")</f>
        <v/>
      </c>
      <c r="DN21" s="395">
        <f t="array" ref="DN21">IFERROR(IF(AND(INDEX($E$8:$CE$57, MATCH($C21, $C$8:$C$57, 0), (COLUMNS($DC21:DN21)-1)*5 + 1) = INDEX($E$5:$CE$5, 1, (COLUMNS($DC21:DN21)-1)*5 + 1), INDEX($E$8:$CE$57, MATCH($C21, $C$8:$C$57, 0), (COLUMNS($DC21:DN21)-1)*5 + 4) = "F"), INDEX($CZ$8:$CZ$23, COLUMNS($DC21:DN21)), "0"), "")</f>
        <v/>
      </c>
      <c r="DO21" s="395">
        <f t="array" ref="DO21">IFERROR(IF(AND(INDEX($E$8:$CE$57, MATCH($C21, $C$8:$C$57, 0), (COLUMNS($DC21:DO21)-1)*5 + 1) = INDEX($E$5:$CE$5, 1, (COLUMNS($DC21:DO21)-1)*5 + 1), INDEX($E$8:$CE$57, MATCH($C21, $C$8:$C$57, 0), (COLUMNS($DC21:DO21)-1)*5 + 4) = "F"), INDEX($CZ$8:$CZ$23, COLUMNS($DC21:DO21)), "0"), "")</f>
        <v/>
      </c>
      <c r="DP21" s="395">
        <f t="array" ref="DP21">IFERROR(IF(AND(INDEX($E$8:$CE$57, MATCH($C21, $C$8:$C$57, 0), (COLUMNS($DC21:DP21)-1)*5 + 1) = INDEX($E$5:$CE$5, 1, (COLUMNS($DC21:DP21)-1)*5 + 1), INDEX($E$8:$CE$57, MATCH($C21, $C$8:$C$57, 0), (COLUMNS($DC21:DP21)-1)*5 + 4) = "F"), INDEX($CZ$8:$CZ$23, COLUMNS($DC21:DP21)), "0"), "")</f>
        <v/>
      </c>
      <c r="DQ21" s="395">
        <f t="array" ref="DQ21">IFERROR(IF(AND(INDEX($E$8:$CE$57, MATCH($C21, $C$8:$C$57, 0), (COLUMNS($DC21:DQ21)-1)*5 + 1) = INDEX($E$5:$CE$5, 1, (COLUMNS($DC21:DQ21)-1)*5 + 1), INDEX($E$8:$CE$57, MATCH($C21, $C$8:$C$57, 0), (COLUMNS($DC21:DQ21)-1)*5 + 4) = "F"), INDEX($CZ$8:$CZ$23, COLUMNS($DC21:DQ21)), "0"), "")</f>
        <v/>
      </c>
      <c r="DR21" s="395">
        <f t="array" ref="DR21">IFERROR(IF(AND(INDEX($E$8:$CE$57, MATCH($C21, $C$8:$C$57, 0), (COLUMNS($DC21:DR21)-1)*5 + 1) = INDEX($E$5:$CE$5, 1, (COLUMNS($DC21:DR21)-1)*5 + 1), INDEX($E$8:$CE$57, MATCH($C21, $C$8:$C$57, 0), (COLUMNS($DC21:DR21)-1)*5 + 4) = "F"), INDEX($CZ$8:$CZ$23, COLUMNS($DC21:DR21)), "0"), "")</f>
        <v/>
      </c>
      <c r="DT21" s="605">
        <f>BASE01[[#This Row],[COD]]</f>
        <v/>
      </c>
      <c r="DU21" s="395">
        <f t="array" ref="DU21">IFERROR(IF(AND(INDEX($E$8:$CE$57, MATCH($C21, $C$8:$C$57, 0), (COLUMNS($DU21:DU21)-1)*5 + 1) = INDEX($E$5:$CE$5, 1, (COLUMNS($DU21:DU21)-1)*5 + 1), INDEX($E$8:$CE$57, MATCH($C21, $C$8:$C$57, 0), (COLUMNS($DU21:DU21)-1)*5 + 4) = "SF"), INDEX($CZ$8:$CZ$23, COLUMNS($DU21:DU21)), "0"), "")</f>
        <v/>
      </c>
      <c r="DV21" s="395">
        <f t="array" ref="DV21">IFERROR(IF(AND(INDEX($E$8:$CE$57, MATCH($C21, $C$8:$C$57, 0), (COLUMNS($DU21:DV21)-1)*5 + 1) = INDEX($E$5:$CE$5, 1, (COLUMNS($DU21:DV21)-1)*5 + 1), INDEX($E$8:$CE$57, MATCH($C21, $C$8:$C$57, 0), (COLUMNS($DU21:DV21)-1)*5 + 4) = "SF"), INDEX($CZ$8:$CZ$23, COLUMNS($DU21:DV21)), "0"), "")</f>
        <v/>
      </c>
      <c r="DW21" s="395">
        <f t="array" ref="DW21">IFERROR(IF(AND(INDEX($E$8:$CE$57, MATCH($C21, $C$8:$C$57, 0), (COLUMNS($DU21:DW21)-1)*5 + 1) = INDEX($E$5:$CE$5, 1, (COLUMNS($DU21:DW21)-1)*5 + 1), INDEX($E$8:$CE$57, MATCH($C21, $C$8:$C$57, 0), (COLUMNS($DU21:DW21)-1)*5 + 4) = "SF"), INDEX($CZ$8:$CZ$23, COLUMNS($DU21:DW21)), "0"), "")</f>
        <v/>
      </c>
      <c r="DX21" s="395">
        <f t="array" ref="DX21">IFERROR(IF(AND(INDEX($E$8:$CE$57, MATCH($C21, $C$8:$C$57, 0), (COLUMNS($DU21:DX21)-1)*5 + 1) = INDEX($E$5:$CE$5, 1, (COLUMNS($DU21:DX21)-1)*5 + 1), INDEX($E$8:$CE$57, MATCH($C21, $C$8:$C$57, 0), (COLUMNS($DU21:DX21)-1)*5 + 4) = "SF"), INDEX($CZ$8:$CZ$23, COLUMNS($DU21:DX21)), "0"), "")</f>
        <v/>
      </c>
      <c r="DY21" s="395">
        <f t="array" ref="DY21">IFERROR(IF(AND(INDEX($E$8:$CE$57, MATCH($C21, $C$8:$C$57, 0), (COLUMNS($DU21:DY21)-1)*5 + 1) = INDEX($E$5:$CE$5, 1, (COLUMNS($DU21:DY21)-1)*5 + 1), INDEX($E$8:$CE$57, MATCH($C21, $C$8:$C$57, 0), (COLUMNS($DU21:DY21)-1)*5 + 4) = "SF"), INDEX($CZ$8:$CZ$23, COLUMNS($DU21:DY21)), "0"), "")</f>
        <v/>
      </c>
      <c r="DZ21" s="395">
        <f t="array" ref="DZ21">IFERROR(IF(AND(INDEX($E$8:$CE$57, MATCH($C21, $C$8:$C$57, 0), (COLUMNS($DU21:DZ21)-1)*5 + 1) = INDEX($E$5:$CE$5, 1, (COLUMNS($DU21:DZ21)-1)*5 + 1), INDEX($E$8:$CE$57, MATCH($C21, $C$8:$C$57, 0), (COLUMNS($DU21:DZ21)-1)*5 + 4) = "SF"), INDEX($CZ$8:$CZ$23, COLUMNS($DU21:DZ21)), "0"), "")</f>
        <v/>
      </c>
      <c r="EA21" s="395">
        <f t="array" ref="EA21">IFERROR(IF(AND(INDEX($E$8:$CE$57, MATCH($C21, $C$8:$C$57, 0), (COLUMNS($DU21:EA21)-1)*5 + 1) = INDEX($E$5:$CE$5, 1, (COLUMNS($DU21:EA21)-1)*5 + 1), INDEX($E$8:$CE$57, MATCH($C21, $C$8:$C$57, 0), (COLUMNS($DU21:EA21)-1)*5 + 4) = "SF"), INDEX($CZ$8:$CZ$23, COLUMNS($DU21:EA21)), "0"), "")</f>
        <v/>
      </c>
      <c r="EB21" s="395">
        <f t="array" ref="EB21">IFERROR(IF(AND(INDEX($E$8:$CE$57, MATCH($C21, $C$8:$C$57, 0), (COLUMNS($DU21:EB21)-1)*5 + 1) = INDEX($E$5:$CE$5, 1, (COLUMNS($DU21:EB21)-1)*5 + 1), INDEX($E$8:$CE$57, MATCH($C21, $C$8:$C$57, 0), (COLUMNS($DU21:EB21)-1)*5 + 4) = "SF"), INDEX($CZ$8:$CZ$23, COLUMNS($DU21:EB21)), "0"), "")</f>
        <v/>
      </c>
      <c r="EC21" s="395">
        <f t="array" ref="EC21">IFERROR(IF(AND(INDEX($E$8:$CE$57, MATCH($C21, $C$8:$C$57, 0), (COLUMNS($DU21:EC21)-1)*5 + 1) = INDEX($E$5:$CE$5, 1, (COLUMNS($DU21:EC21)-1)*5 + 1), INDEX($E$8:$CE$57, MATCH($C21, $C$8:$C$57, 0), (COLUMNS($DU21:EC21)-1)*5 + 4) = "SF"), INDEX($CZ$8:$CZ$23, COLUMNS($DU21:EC21)), "0"), "")</f>
        <v/>
      </c>
      <c r="ED21" s="395">
        <f t="array" ref="ED21">IFERROR(IF(AND(INDEX($E$8:$CE$57, MATCH($C21, $C$8:$C$57, 0), (COLUMNS($DU21:ED21)-1)*5 + 1) = INDEX($E$5:$CE$5, 1, (COLUMNS($DU21:ED21)-1)*5 + 1), INDEX($E$8:$CE$57, MATCH($C21, $C$8:$C$57, 0), (COLUMNS($DU21:ED21)-1)*5 + 4) = "SF"), INDEX($CZ$8:$CZ$23, COLUMNS($DU21:ED21)), "0"), "")</f>
        <v/>
      </c>
      <c r="EE21" s="395">
        <f t="array" ref="EE21">IFERROR(IF(AND(INDEX($E$8:$CE$57, MATCH($C21, $C$8:$C$57, 0), (COLUMNS($DU21:EE21)-1)*5 + 1) = INDEX($E$5:$CE$5, 1, (COLUMNS($DU21:EE21)-1)*5 + 1), INDEX($E$8:$CE$57, MATCH($C21, $C$8:$C$57, 0), (COLUMNS($DU21:EE21)-1)*5 + 4) = "SF"), INDEX($CZ$8:$CZ$23, COLUMNS($DU21:EE21)), "0"), "")</f>
        <v/>
      </c>
      <c r="EF21" s="395">
        <f t="array" ref="EF21">IFERROR(IF(AND(INDEX($E$8:$CE$57, MATCH($C21, $C$8:$C$57, 0), (COLUMNS($DU21:EF21)-1)*5 + 1) = INDEX($E$5:$CE$5, 1, (COLUMNS($DU21:EF21)-1)*5 + 1), INDEX($E$8:$CE$57, MATCH($C21, $C$8:$C$57, 0), (COLUMNS($DU21:EF21)-1)*5 + 4) = "SF"), INDEX($CZ$8:$CZ$23, COLUMNS($DU21:EF21)), "0"), "")</f>
        <v/>
      </c>
      <c r="EG21" s="395">
        <f t="array" ref="EG21">IFERROR(IF(AND(INDEX($E$8:$CE$57, MATCH($C21, $C$8:$C$57, 0), (COLUMNS($DU21:EG21)-1)*5 + 1) = INDEX($E$5:$CE$5, 1, (COLUMNS($DU21:EG21)-1)*5 + 1), INDEX($E$8:$CE$57, MATCH($C21, $C$8:$C$57, 0), (COLUMNS($DU21:EG21)-1)*5 + 4) = "SF"), INDEX($CZ$8:$CZ$23, COLUMNS($DU21:EG21)), "0"), "")</f>
        <v/>
      </c>
      <c r="EH21" s="395">
        <f t="array" ref="EH21">IFERROR(IF(AND(INDEX($E$8:$CE$57, MATCH($C21, $C$8:$C$57, 0), (COLUMNS($DU21:EH21)-1)*5 + 1) = INDEX($E$5:$CE$5, 1, (COLUMNS($DU21:EH21)-1)*5 + 1), INDEX($E$8:$CE$57, MATCH($C21, $C$8:$C$57, 0), (COLUMNS($DU21:EH21)-1)*5 + 4) = "SF"), INDEX($CZ$8:$CZ$23, COLUMNS($DU21:EH21)), "0"), "")</f>
        <v/>
      </c>
      <c r="EI21" s="395">
        <f t="array" ref="EI21">IFERROR(IF(AND(INDEX($E$8:$CE$57, MATCH($C21, $C$8:$C$57, 0), (COLUMNS($DU21:EI21)-1)*5 + 1) = INDEX($E$5:$CE$5, 1, (COLUMNS($DU21:EI21)-1)*5 + 1), INDEX($E$8:$CE$57, MATCH($C21, $C$8:$C$57, 0), (COLUMNS($DU21:EI21)-1)*5 + 4) = "SF"), INDEX($CZ$8:$CZ$23, COLUMNS($DU21:EI21)), "0"), "")</f>
        <v/>
      </c>
      <c r="EJ21" s="395">
        <f t="array" ref="EJ21">IFERROR(IF(AND(INDEX($E$8:$CE$57, MATCH($C21, $C$8:$C$57, 0), (COLUMNS($DU21:EJ21)-1)*5 + 1) = INDEX($E$5:$CE$5, 1, (COLUMNS($DU21:EJ21)-1)*5 + 1), INDEX($E$8:$CE$57, MATCH($C21, $C$8:$C$57, 0), (COLUMNS($DU21:EJ21)-1)*5 + 4) = "SF"), INDEX($CZ$8:$CZ$23, COLUMNS($DU21:EJ21)), "0"), "")</f>
        <v/>
      </c>
    </row>
    <row r="22" ht="20.1" customHeight="1" s="568">
      <c r="A22" s="576" t="n"/>
      <c r="B22" s="92">
        <f>IF(BASE01[[#This Row],[COD]]&lt;&gt;"",B21+1,"")</f>
        <v/>
      </c>
      <c r="C22" s="601" t="inlineStr">
        <is>
          <t>COD 15</t>
        </is>
      </c>
      <c r="D22" s="93">
        <f t="array" ref="D22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2" s="145" t="n">
        <v>6</v>
      </c>
      <c r="F22" s="147" t="n">
        <v>1</v>
      </c>
      <c r="G22" s="147" t="n">
        <v>8</v>
      </c>
      <c r="H22" s="147" t="n"/>
      <c r="I22" s="602">
        <f>SUM(IF(E22=E$5,4,0),IF(E22&amp;F22=E$5&amp;F$5,1,0),
IF(AND(E22=E$5,F$6&gt;=$D$115),1,0),
IF(AND(F22=E$5,F$6&gt;=$D$115),1,0),
IF(AND(G22=E$5,F$6&gt;=$D$115),1,0),
IF(E22&amp;H22=I$5,1,0),
IF(F22=E$5,2,0),
IF(G22=E$5,1,0),
IF(OR(E22&amp;F22&amp;G22=E$5&amp;F$5&amp;G$5,E22&amp;F22&amp;G22=E$5&amp;G$5&amp;F$5,E22&amp;F22&amp;G22=F$5&amp;E$5&amp;G$5,E22&amp;F22&amp;G22=F$5&amp;G$5&amp;E$5,E22&amp;F22&amp;G22=G$5&amp;E$5&amp;F$5,E22&amp;F22&amp;G22=G$5&amp;F$5&amp;E$5),2,0),IF(AND(E22=E$5,F$6&gt;=$D$129),1,0),IF(AND(F22=E$5,F$6&gt;=$D$129),1,0),IF(AND(G22=E$5,F$6&gt;=$D$129),1,0),IF(E22&amp;H22=H$5,4,0),IF(AND(E22=E$5,F$6&lt;=$D$104),-0.5,0),IF(AND(F22=E$5,F$6&lt;=$D$104),-0.5,0),IF(AND(G22=E$5,F$6&lt;=$D$104),-0.5,0))</f>
        <v/>
      </c>
      <c r="J22" s="145" t="n">
        <v>3</v>
      </c>
      <c r="K22" s="147" t="n">
        <v>8</v>
      </c>
      <c r="L22" s="147" t="n">
        <v>5</v>
      </c>
      <c r="M22" s="147" t="inlineStr">
        <is>
          <t>F</t>
        </is>
      </c>
      <c r="N22" s="602">
        <f>SUM(IF(J22=J$5,4,0),IF(J22&amp;K22=J$5&amp;K$5,1,0),
IF(AND(J22=J$5,K$6&gt;=$D$115),1,0),
IF(AND(K22=J$5,K$6&gt;=$D$115),1,0),
IF(AND(L22=J$5,K$6&gt;=$D$115),1,0),
IF(J22&amp;M22=N$5,1,0),
IF(K22=J$5,2,0),
IF(L22=J$5,1,0),
IF(OR(J22&amp;K22&amp;L22=J$5&amp;K$5&amp;L$5,J22&amp;K22&amp;L22=J$5&amp;L$5&amp;K$5,J22&amp;K22&amp;L22=K$5&amp;J$5&amp;L$5,J22&amp;K22&amp;L22=K$5&amp;L$5&amp;J$5,J22&amp;K22&amp;L22=L$5&amp;J$5&amp;K$5,J22&amp;K22&amp;L22=L$5&amp;K$5&amp;J$5),2,0),IF(AND(J22=J$5,K$6&gt;=$D$129),1,0),IF(AND(K22=J$5,K$6&gt;=$D$129),1,0),IF(AND(L22=J$5,K$6&gt;=$D$129),1,0),IF(J22&amp;M22=M$5,4,0),IF(AND(J22=J$5,K$6&lt;=$D$104),-0.5,0),IF(AND(K22=J$5,K$6&lt;=$D$104),-0.5,0),IF(AND(L22=J$5,K$6&lt;=$D$104),-0.5,0))</f>
        <v/>
      </c>
      <c r="O22" s="145" t="n">
        <v>3</v>
      </c>
      <c r="P22" s="147" t="n">
        <v>2</v>
      </c>
      <c r="Q22" s="147" t="n">
        <v>6</v>
      </c>
      <c r="R22" s="147" t="n"/>
      <c r="S22" s="602">
        <f>SUM(IF(O22=O$5,4,0),IF(O22&amp;P22=O$5&amp;P$5,1,0),
IF(AND(O22=O$5,P$6&gt;=$D$115),1,0),
IF(AND(P22=O$5,P$6&gt;=$D$115),1,0),
IF(AND(Q22=O$5,P$6&gt;=$D$115),1,0),
IF(O22&amp;R22=S$5,1,0),
IF(P22=O$5,2,0),
IF(Q22=O$5,1,0),
IF(OR(O22&amp;P22&amp;Q22=O$5&amp;P$5&amp;Q$5,O22&amp;P22&amp;Q22=O$5&amp;Q$5&amp;P$5,O22&amp;P22&amp;Q22=P$5&amp;O$5&amp;Q$5,O22&amp;P22&amp;Q22=P$5&amp;Q$5&amp;O$5,O22&amp;P22&amp;Q22=Q$5&amp;O$5&amp;P$5,O22&amp;P22&amp;Q22=Q$5&amp;P$5&amp;O$5),2,0),IF(AND(O22=O$5,P$6&gt;=$D$129),1,0),IF(AND(P22=O$5,P$6&gt;=$D$129),1,0),IF(AND(Q22=O$5,P$6&gt;=$D$129),1,0),IF(O22&amp;R22=R$5,4,0),IF(AND(O22=O$5,P$6&lt;=$D$104),-0.5,0),IF(AND(P22=O$5,P$6&lt;=$D$104),-0.5,0),IF(AND(Q22=O$5,P$6&lt;=$D$104),-0.5,0))</f>
        <v/>
      </c>
      <c r="T22" s="145" t="n">
        <v>6</v>
      </c>
      <c r="U22" s="147" t="n">
        <v>8</v>
      </c>
      <c r="V22" s="147" t="n">
        <v>4</v>
      </c>
      <c r="W22" s="147" t="n"/>
      <c r="X22" s="602">
        <f>SUM(IF(T22=T$5,4,0),IF(T22&amp;U22=T$5&amp;U$5,1,0),
IF(AND(T22=T$5,U$6&gt;=$D$115),1,0),
IF(AND(U22=T$5,U$6&gt;=$D$115),1,0),
IF(AND(V22=T$5,U$6&gt;=$D$115),1,0),
IF(T22&amp;W22=X$5,1,0),
IF(U22=T$5,2,0),
IF(V22=T$5,1,0),
IF(OR(T22&amp;U22&amp;V22=T$5&amp;U$5&amp;V$5,T22&amp;U22&amp;V22=T$5&amp;V$5&amp;U$5,T22&amp;U22&amp;V22=U$5&amp;T$5&amp;V$5,T22&amp;U22&amp;V22=U$5&amp;V$5&amp;T$5,T22&amp;U22&amp;V22=V$5&amp;T$5&amp;U$5,T22&amp;U22&amp;V22=V$5&amp;U$5&amp;T$5),2,0),IF(AND(T22=T$5,U$6&gt;=$D$129),1,0),IF(AND(U22=T$5,U$6&gt;=$D$129),1,0),IF(AND(V22=T$5,U$6&gt;=$D$129),1,0),IF(T22&amp;W22=W$5,4,0),IF(AND(T22=T$5,U$6&lt;=$D$104),-0.5,0),IF(AND(U22=T$5,U$6&lt;=$D$104),-0.5,0),IF(AND(V22=T$5,U$6&lt;=$D$104),-0.5,0))</f>
        <v/>
      </c>
      <c r="Y22" s="145" t="n">
        <v>5</v>
      </c>
      <c r="Z22" s="147" t="n"/>
      <c r="AA22" s="147" t="n"/>
      <c r="AB22" s="147" t="inlineStr">
        <is>
          <t>SF</t>
        </is>
      </c>
      <c r="AC22" s="602">
        <f>SUM(IF(Y22=Y$5,4,0),IF(Y22&amp;Z22=Y$5&amp;Z$5,1,0),
IF(AND(Y22=Y$5,Z$6&gt;=$D$115),1,0),
IF(AND(Z22=Y$5,Z$6&gt;=$D$115),1,0),
IF(AND(AA22=Y$5,Z$6&gt;=$D$115),1,0),
IF(Y22&amp;AB22=AC$5,1,0),
IF(Z22=Y$5,2,0),
IF(AA22=Y$5,1,0),
IF(OR(Y22&amp;Z22&amp;AA22=Y$5&amp;Z$5&amp;AA$5,Y22&amp;Z22&amp;AA22=Y$5&amp;AA$5&amp;Z$5,Y22&amp;Z22&amp;AA22=Z$5&amp;Y$5&amp;AA$5,Y22&amp;Z22&amp;AA22=Z$5&amp;AA$5&amp;Y$5,Y22&amp;Z22&amp;AA22=AA$5&amp;Y$5&amp;Z$5,Y22&amp;Z22&amp;AA22=AA$5&amp;Z$5&amp;Y$5),2,0),IF(AND(Y22=Y$5,Z$6&gt;=$D$129),1,0),IF(AND(Z22=Y$5,Z$6&gt;=$D$129),1,0),IF(AND(AA22=Y$5,Z$6&gt;=$D$129),1,0),IF(Y22&amp;AB22=AB$5,4,0),IF(AND(Y22=Y$5,Z$6&lt;=$D$104),-0.5,0),IF(AND(Z22=Y$5,Z$6&lt;=$D$104),-0.5,0),IF(AND(AA22=Y$5,Z$6&lt;=$D$104),-0.5,0))</f>
        <v/>
      </c>
      <c r="AD22" s="145" t="n">
        <v>7</v>
      </c>
      <c r="AE22" s="147" t="n">
        <v>5</v>
      </c>
      <c r="AF22" s="147" t="n">
        <v>2</v>
      </c>
      <c r="AG22" s="147" t="n"/>
      <c r="AH22" s="602">
        <f>SUM(IF(AD22=AD$5,4,0),IF(AD22&amp;AE22=AD$5&amp;AE$5,1,0),
IF(AND(AD22=AD$5,AE$6&gt;=$D$115),1,0),
IF(AND(AE22=AD$5,AE$6&gt;=$D$115),1,0),
IF(AND(AF22=AD$5,AE$6&gt;=$D$115),1,0),
IF(AD22&amp;AG22=AH$5,1,0),
IF(AE22=AD$5,2,0),
IF(AF22=AD$5,1,0),
IF(OR(AD22&amp;AE22&amp;AF22=AD$5&amp;AE$5&amp;AF$5,AD22&amp;AE22&amp;AF22=AD$5&amp;AF$5&amp;AE$5,AD22&amp;AE22&amp;AF22=AE$5&amp;AD$5&amp;AF$5,AD22&amp;AE22&amp;AF22=AE$5&amp;AF$5&amp;AD$5,AD22&amp;AE22&amp;AF22=AF$5&amp;AD$5&amp;AE$5,AD22&amp;AE22&amp;AF22=AF$5&amp;AE$5&amp;AD$5),2,0),IF(AND(AD22=AD$5,AE$6&gt;=$D$129),1,0),IF(AND(AE22=AD$5,AE$6&gt;=$D$129),1,0),IF(AND(AF22=AD$5,AE$6&gt;=$D$129),1,0),IF(AD22&amp;AG22=AG$5,4,0),IF(AND(AD22=AD$5,AE$6&lt;=$D$104),-0.5,0),IF(AND(AE22=AD$5,AE$6&lt;=$D$104),-0.5,0),IF(AND(AF22=AD$5,AE$6&lt;=$D$104),-0.5,0))</f>
        <v/>
      </c>
      <c r="AI22" s="145" t="n">
        <v>7</v>
      </c>
      <c r="AJ22" s="147" t="n">
        <v>1</v>
      </c>
      <c r="AK22" s="147" t="n">
        <v>3</v>
      </c>
      <c r="AL22" s="147" t="n"/>
      <c r="AM22" s="602">
        <f>SUM(IF(AI22=AI$5,4,0),IF(AI22&amp;AJ22=AI$5&amp;AJ$5,1,0),
IF(AND(AI22=AI$5,AJ$6&gt;=$D$115),1,0),
IF(AND(AJ22=AI$5,AJ$6&gt;=$D$115),1,0),
IF(AND(AK22=AI$5,AJ$6&gt;=$D$115),1,0),
IF(AI22&amp;AL22=AM$5,1,0),
IF(AJ22=AI$5,2,0),
IF(AK22=AI$5,1,0),
IF(OR(AI22&amp;AJ22&amp;AK22=AI$5&amp;AJ$5&amp;AK$5,AI22&amp;AJ22&amp;AK22=AI$5&amp;AK$5&amp;AJ$5,AI22&amp;AJ22&amp;AK22=AJ$5&amp;AI$5&amp;AK$5,AI22&amp;AJ22&amp;AK22=AJ$5&amp;AK$5&amp;AI$5,AI22&amp;AJ22&amp;AK22=AK$5&amp;AI$5&amp;AJ$5,AI22&amp;AJ22&amp;AK22=AK$5&amp;AJ$5&amp;AI$5),2,0),IF(AND(AI22=AI$5,AJ$6&gt;=$D$129),1,0),IF(AND(AJ22=AI$5,AJ$6&gt;=$D$129),1,0),IF(AND(AK22=AI$5,AJ$6&gt;=$D$129),1,0),IF(AI22&amp;AL22=AL$5,4,0),IF(AND(AI22=AI$5,AJ$6&lt;=$D$104),-0.5,0),IF(AND(AJ22=AI$5,AJ$6&lt;=$D$104),-0.5,0),IF(AND(AK22=AI$5,AJ$6&lt;=$D$104),-0.5,0))</f>
        <v/>
      </c>
      <c r="AN22" s="145" t="n">
        <v>8</v>
      </c>
      <c r="AO22" s="147" t="n">
        <v>9</v>
      </c>
      <c r="AP22" s="147" t="n">
        <v>5</v>
      </c>
      <c r="AQ22" s="147" t="n"/>
      <c r="AR22" s="602">
        <f>SUM(IF(AN22=AN$5,4,0),IF(AN22&amp;AO22=AN$5&amp;AO$5,1,0),
IF(AND(AN22=AN$5,AO$6&gt;=$D$115),1,0),
IF(AND(AO22=AN$5,AO$6&gt;=$D$115),1,0),
IF(AND(AP22=AN$5,AO$6&gt;=$D$115),1,0),
IF(AN22&amp;AQ22=AR$5,1,0),
IF(AO22=AN$5,2,0),
IF(AP22=AN$5,1,0),
IF(OR(AN22&amp;AO22&amp;AP22=AN$5&amp;AO$5&amp;AP$5,AN22&amp;AO22&amp;AP22=AN$5&amp;AP$5&amp;AO$5,AN22&amp;AO22&amp;AP22=AO$5&amp;AN$5&amp;AP$5,AN22&amp;AO22&amp;AP22=AO$5&amp;AP$5&amp;AN$5,AN22&amp;AO22&amp;AP22=AP$5&amp;AN$5&amp;AO$5,AN22&amp;AO22&amp;AP22=AP$5&amp;AO$5&amp;AN$5),2,0),IF(AND(AN22=AN$5,AO$6&gt;=$D$129),1,0),IF(AND(AO22=AN$5,AO$6&gt;=$D$129),1,0),IF(AND(AP22=AN$5,AO$6&gt;=$D$129),1,0),IF(AN22&amp;AQ22=AQ$5,4,0),IF(AND(AN22=AN$5,AO$6&lt;=$D$104),-0.5,0),IF(AND(AO22=AN$5,AO$6&lt;=$D$104),-0.5,0),IF(AND(AP22=AN$5,AO$6&lt;=$D$104),-0.5,0))</f>
        <v/>
      </c>
      <c r="AS22" s="145" t="n">
        <v>1</v>
      </c>
      <c r="AT22" s="147" t="n">
        <v>7</v>
      </c>
      <c r="AU22" s="147" t="n">
        <v>2</v>
      </c>
      <c r="AV22" s="147" t="n"/>
      <c r="AW22" s="602">
        <f>SUM(IF(AS22=AS$5,4,0),IF(AS22&amp;AT22=AS$5&amp;AT$5,1,0),
IF(AND(AS22=AS$5,AT$6&gt;=$D$115),1,0),
IF(AND(AT22=AS$5,AT$6&gt;=$D$115),1,0),
IF(AND(AU22=AS$5,AT$6&gt;=$D$115),1,0),
IF(AS22&amp;AV22=AW$5,1,0),
IF(AT22=AS$5,2,0),
IF(AU22=AS$5,1,0),
IF(OR(AS22&amp;AT22&amp;AU22=AS$5&amp;AT$5&amp;AU$5,AS22&amp;AT22&amp;AU22=AS$5&amp;AU$5&amp;AT$5,AS22&amp;AT22&amp;AU22=AT$5&amp;AS$5&amp;AU$5,AS22&amp;AT22&amp;AU22=AT$5&amp;AU$5&amp;AS$5,AS22&amp;AT22&amp;AU22=AU$5&amp;AS$5&amp;AT$5,AS22&amp;AT22&amp;AU22=AU$5&amp;AT$5&amp;AS$5),2,0),IF(AND(AS22=AS$5,AT$6&gt;=$D$129),1,0),IF(AND(AT22=AS$5,AT$6&gt;=$D$129),1,0),IF(AND(AU22=AS$5,AT$6&gt;=$D$129),1,0),IF(AS22&amp;AV22=AV$5,4,0),IF(AND(AS22=AS$5,AT$6&lt;=$D$104),-0.5,0),IF(AND(AT22=AS$5,AT$6&lt;=$D$104),-0.5,0),IF(AND(AU22=AS$5,AT$6&lt;=$D$104),-0.5,0))</f>
        <v/>
      </c>
      <c r="AX22" s="145" t="n">
        <v>9</v>
      </c>
      <c r="AY22" s="147" t="n">
        <v>3</v>
      </c>
      <c r="AZ22" s="147" t="n">
        <v>1</v>
      </c>
      <c r="BA22" s="147" t="n"/>
      <c r="BB22" s="602">
        <f>SUM(IF(AX22=AX$5,4,0),IF(AX22&amp;AY22=AX$5&amp;AY$5,1,0),
IF(AND(AX22=AX$5,AY$6&gt;=$D$115),1,0),
IF(AND(AY22=AX$5,AY$6&gt;=$D$115),1,0),
IF(AND(AZ22=AX$5,AY$6&gt;=$D$115),1,0),
IF(AX22&amp;BA22=BB$5,1,0),
IF(AY22=AX$5,2,0),
IF(AZ22=AX$5,1,0),
IF(OR(AX22&amp;AY22&amp;AZ22=AX$5&amp;AY$5&amp;AZ$5,AX22&amp;AY22&amp;AZ22=AX$5&amp;AZ$5&amp;AY$5,AX22&amp;AY22&amp;AZ22=AY$5&amp;AX$5&amp;AZ$5,AX22&amp;AY22&amp;AZ22=AY$5&amp;AZ$5&amp;AX$5,AX22&amp;AY22&amp;AZ22=AZ$5&amp;AX$5&amp;AY$5,AX22&amp;AY22&amp;AZ22=AZ$5&amp;AY$5&amp;AX$5),2,0),IF(AND(AX22=AX$5,AY$6&gt;=$D$129),1,0),IF(AND(AY22=AX$5,AY$6&gt;=$D$129),1,0),IF(AND(AZ22=AX$5,AY$6&gt;=$D$129),1,0),IF(AX22&amp;BA22=BA$5,4,0),IF(AND(AX22=AX$5,AY$6&lt;=$D$104),-0.5,0),IF(AND(AY22=AX$5,AY$6&lt;=$D$104),-0.5,0),IF(AND(AZ22=AX$5,AY$6&lt;=$D$104),-0.5,0))</f>
        <v/>
      </c>
      <c r="BC22" s="145" t="n">
        <v>4</v>
      </c>
      <c r="BD22" s="147" t="n">
        <v>2</v>
      </c>
      <c r="BE22" s="147" t="n">
        <v>5</v>
      </c>
      <c r="BF22" s="147" t="inlineStr">
        <is>
          <t>F</t>
        </is>
      </c>
      <c r="BG22" s="602">
        <f>SUM(IF(BC22=BC$5,4,0),IF(BC22&amp;BD22=BC$5&amp;BD$5,1,0),
IF(AND(BC22=BC$5,BD$6&gt;=$D$115),1,0),
IF(AND(BD22=BC$5,BD$6&gt;=$D$115),1,0),
IF(AND(BE22=BC$5,BD$6&gt;=$D$115),1,0),
IF(BC22&amp;BF22=BG$5,1,0),
IF(BD22=BC$5,2,0),
IF(BE22=BC$5,1,0),
IF(OR(BC22&amp;BD22&amp;BE22=BC$5&amp;BD$5&amp;BE$5,BC22&amp;BD22&amp;BE22=BC$5&amp;BE$5&amp;BD$5,BC22&amp;BD22&amp;BE22=BD$5&amp;BC$5&amp;BE$5,BC22&amp;BD22&amp;BE22=BD$5&amp;BE$5&amp;BC$5,BC22&amp;BD22&amp;BE22=BE$5&amp;BC$5&amp;BD$5,BC22&amp;BD22&amp;BE22=BE$5&amp;BD$5&amp;BC$5),2,0),IF(AND(BC22=BC$5,BD$6&gt;=$D$129),1,0),IF(AND(BD22=BC$5,BD$6&gt;=$D$129),1,0),IF(AND(BE22=BC$5,BD$6&gt;=$D$129),1,0),IF(BC22&amp;BF22=BF$5,4,0),IF(AND(BC22=BC$5,BD$6&lt;=$D$104),-0.5,0),IF(AND(BD22=BC$5,BD$6&lt;=$D$104),-0.5,0),IF(AND(BE22=BC$5,BD$6&lt;=$D$104),-0.5,0))</f>
        <v/>
      </c>
      <c r="BH22" s="145" t="n">
        <v>5</v>
      </c>
      <c r="BI22" s="147" t="n">
        <v>6</v>
      </c>
      <c r="BJ22" s="147" t="n">
        <v>1</v>
      </c>
      <c r="BK22" s="147" t="n"/>
      <c r="BL22" s="602">
        <f>SUM(IF(BH22=BH$5,4,0),IF(BH22&amp;BI22=BH$5&amp;BI$5,1,0),
IF(AND(BH22=BH$5,BI$6&gt;=$D$115),1,0),
IF(AND(BI22=BH$5,BI$6&gt;=$D$115),1,0),
IF(AND(BJ22=BH$5,BI$6&gt;=$D$115),1,0),
IF(BH22&amp;BK22=BL$5,1,0),
IF(BI22=BH$5,2,0),
IF(BJ22=BH$5,1,0),
IF(OR(BH22&amp;BI22&amp;BJ22=BH$5&amp;BI$5&amp;BJ$5,BH22&amp;BI22&amp;BJ22=BH$5&amp;BJ$5&amp;BI$5,BH22&amp;BI22&amp;BJ22=BI$5&amp;BH$5&amp;BJ$5,BH22&amp;BI22&amp;BJ22=BI$5&amp;BJ$5&amp;BH$5,BH22&amp;BI22&amp;BJ22=BJ$5&amp;BH$5&amp;BI$5,BH22&amp;BI22&amp;BJ22=BJ$5&amp;BI$5&amp;BH$5),2,0),IF(AND(BH22=BH$5,BI$6&gt;=$D$129),1,0),IF(AND(BI22=BH$5,BI$6&gt;=$D$129),1,0),IF(AND(BJ22=BH$5,BI$6&gt;=$D$129),1,0),IF(BH22&amp;BK22=BK$5,4,0),IF(AND(BH22=BH$5,BI$6&lt;=$D$104),-0.5,0),IF(AND(BI22=BH$5,BI$6&lt;=$D$104),-0.5,0),IF(AND(BJ22=BH$5,BI$6&lt;=$D$104),-0.5,0))</f>
        <v/>
      </c>
      <c r="BM22" s="145" t="n">
        <v>9</v>
      </c>
      <c r="BN22" s="147" t="n">
        <v>10</v>
      </c>
      <c r="BO22" s="147" t="n">
        <v>3</v>
      </c>
      <c r="BP22" s="147" t="n"/>
      <c r="BQ22" s="602">
        <f>SUM(IF(BM22=BM$5,4,0),IF(BM22&amp;BN22=BM$5&amp;BN$5,1,0),
IF(AND(BM22=BM$5,BN$6&gt;=$D$115),1,0),
IF(AND(BN22=BM$5,BN$6&gt;=$D$115),1,0),
IF(AND(BO22=BM$5,BN$6&gt;=$D$115),1,0),
IF(BM22&amp;BP22=BQ$5,1,0),
IF(BN22=BM$5,2,0),
IF(BO22=BM$5,1,0),
IF(OR(BM22&amp;BN22&amp;BO22=BM$5&amp;BN$5&amp;BO$5,BM22&amp;BN22&amp;BO22=BM$5&amp;BO$5&amp;BN$5,BM22&amp;BN22&amp;BO22=BN$5&amp;BM$5&amp;BO$5,BM22&amp;BN22&amp;BO22=BN$5&amp;BO$5&amp;BM$5,BM22&amp;BN22&amp;BO22=BO$5&amp;BM$5&amp;BN$5,BM22&amp;BN22&amp;BO22=BO$5&amp;BN$5&amp;BM$5),2,0),IF(AND(BM22=BM$5,BN$6&gt;=$D$129),1,0),IF(AND(BN22=BM$5,BN$6&gt;=$D$129),1,0),IF(AND(BO22=BM$5,BN$6&gt;=$D$129),1,0),IF(BM22&amp;BP22=BP$5,4,0),IF(AND(BM22=BM$5,BN$6&lt;=$D$104),-0.5,0),IF(AND(BN22=BM$5,BN$6&lt;=$D$104),-0.5,0),IF(AND(BO22=BM$5,BN$6&lt;=$D$104),-0.5,0))</f>
        <v/>
      </c>
      <c r="BR22" s="145" t="n"/>
      <c r="BS22" s="147" t="n"/>
      <c r="BT22" s="147" t="n"/>
      <c r="BU22" s="147" t="n"/>
      <c r="BV22" s="602">
        <f>SUM(IF(BR22=BR$5,4,0),IF(BR22&amp;BS22=BR$5&amp;BS$5,1,0),
IF(AND(BR22=BR$5,BS$6&gt;=$D$115),1,0),
IF(AND(BS22=BR$5,BS$6&gt;=$D$115),1,0),
IF(AND(BT22=BR$5,BS$6&gt;=$D$115),1,0),
IF(BR22&amp;BU22=BV$5,1,0),
IF(BS22=BR$5,2,0),
IF(BT22=BR$5,1,0),
IF(OR(BR22&amp;BS22&amp;BT22=BR$5&amp;BS$5&amp;BT$5,BR22&amp;BS22&amp;BT22=BR$5&amp;BT$5&amp;BS$5,BR22&amp;BS22&amp;BT22=BS$5&amp;BR$5&amp;BT$5,BR22&amp;BS22&amp;BT22=BS$5&amp;BT$5&amp;BR$5,BR22&amp;BS22&amp;BT22=BT$5&amp;BR$5&amp;BS$5,BR22&amp;BS22&amp;BT22=BT$5&amp;BS$5&amp;BR$5),2,0),IF(AND(BR22=BR$5,BS$6&gt;=$D$129),1,0),IF(AND(BS22=BR$5,BS$6&gt;=$D$129),1,0),IF(AND(BT22=BR$5,BS$6&gt;=$D$129),1,0),IF(BR22&amp;BU22=BU$5,4,0),IF(AND(BR22=BR$5,BS$6&lt;=$D$104),-0.5,0),IF(AND(BS22=BR$5,BS$6&lt;=$D$104),-0.5,0),IF(AND(BT22=BR$5,BS$6&lt;=$D$104),-0.5,0))</f>
        <v/>
      </c>
      <c r="BW22" s="145" t="n"/>
      <c r="BX22" s="147" t="n"/>
      <c r="BY22" s="147" t="n"/>
      <c r="BZ22" s="147" t="n"/>
      <c r="CA22" s="602">
        <f>SUM(IF(BW22=BW$5,4,0),IF(BW22&amp;BX22=BW$5&amp;BX$5,1,0),
IF(AND(BW22=BW$5,BX$6&gt;=$D$115),1,0),
IF(AND(BX22=BW$5,BX$6&gt;=$D$115),1,0),
IF(AND(BY22=BW$5,BX$6&gt;=$D$115),1,0),
IF(BW22&amp;BZ22=CA$5,1,0),
IF(BX22=BW$5,2,0),
IF(BY22=BW$5,1,0),
IF(OR(BW22&amp;BX22&amp;BY22=BW$5&amp;BX$5&amp;BY$5,BW22&amp;BX22&amp;BY22=BW$5&amp;BY$5&amp;BX$5,BW22&amp;BX22&amp;BY22=BX$5&amp;BW$5&amp;BY$5,BW22&amp;BX22&amp;BY22=BX$5&amp;BY$5&amp;BW$5,BW22&amp;BX22&amp;BY22=BY$5&amp;BW$5&amp;BX$5,BW22&amp;BX22&amp;BY22=BY$5&amp;BX$5&amp;BW$5),2,0),IF(AND(BW22=BW$5,BX$6&gt;=$D$129),1,0),IF(AND(BX22=BW$5,BX$6&gt;=$D$129),1,0),IF(AND(BY22=BW$5,BX$6&gt;=$D$129),1,0),IF(BW22&amp;BZ22=BZ$5,4,0),IF(AND(BW22=BW$5,BX$6&lt;=$D$104),-0.5,0),IF(AND(BX22=BW$5,BX$6&lt;=$D$104),-0.5,0),IF(AND(BY22=BW$5,BX$6&lt;=$D$104),-0.5,0))</f>
        <v/>
      </c>
      <c r="CB22" s="145" t="n"/>
      <c r="CC22" s="147" t="n"/>
      <c r="CD22" s="147" t="n"/>
      <c r="CE22" s="147" t="n"/>
      <c r="CF22" s="602">
        <f>SUM(IF(CB22=CB$5,4,0),IF(CB22&amp;CC22=CB$5&amp;CC$5,1,0),
IF(AND(CB22=CB$5,CC$6&gt;=$D$115),1,0),
IF(AND(CC22=CB$5,CC$6&gt;=$D$115),1,0),
IF(AND(CD22=CB$5,CC$6&gt;=$D$115),1,0),
IF(CB22&amp;CE22=CF$5,1,0),
IF(CC22=CB$5,2,0),
IF(CD22=CB$5,1,0),
IF(OR(CB22&amp;CC22&amp;CD22=CB$5&amp;CC$5&amp;CD$5,CB22&amp;CC22&amp;CD22=CB$5&amp;CD$5&amp;CC$5,CB22&amp;CC22&amp;CD22=CC$5&amp;CB$5&amp;CD$5,CB22&amp;CC22&amp;CD22=CC$5&amp;CD$5&amp;CB$5,CB22&amp;CC22&amp;CD22=CD$5&amp;CB$5&amp;CC$5,CB22&amp;CC22&amp;CD22=CD$5&amp;CC$5&amp;CB$5),2,0),IF(AND(CB22=CB$5,CC$6&gt;=$D$129),1,0),IF(AND(CC22=CB$5,CC$6&gt;=$D$129),1,0),IF(AND(CD22=CB$5,CC$6&gt;=$D$129),1,0),IF(CB22&amp;CE22=CE$5,4,0),IF(AND(CB22=CB$5,CC$6&lt;=$D$104),-0.5,0),IF(AND(CC22=CB$5,CC$6&lt;=$D$104),-0.5,0),IF(AND(CD22=CB$5,CC$6&lt;=$D$104),-0.5,0))</f>
        <v/>
      </c>
      <c r="CG22" s="164">
        <f>IF(BASE01[[#This Row],[1]]="",0,$B$4)</f>
        <v/>
      </c>
      <c r="CH22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2" s="166">
        <f>IF(BASE01[[#This Row],[Columna14]]=0,0,(CH22/CG22))</f>
        <v/>
      </c>
      <c r="CJ22" s="165">
        <f>IF(BASE01[[#This Row],[1]]="",0,$B$4)</f>
        <v/>
      </c>
      <c r="CK22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2" s="166">
        <f>IF(BASE01[[#This Row],[Columna14]]=0,0,(CK22/CJ22))</f>
        <v/>
      </c>
      <c r="CM22" s="164">
        <f>IF(BASE01[[#This Row],[1]]="",0,$B$4)</f>
        <v/>
      </c>
      <c r="CN22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2" s="166">
        <f>IF(BASE01[[#This Row],[Columna14]]=0,0,(CN22/CM22))</f>
        <v/>
      </c>
      <c r="CP22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2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Row],[Columna25]],$AX$5,BA22,"SF")+COUNTIFS(BASE01[[#This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2" s="166">
        <f>IF(BASE01[[#This Row],[Columna14]]=0,0,(CQ22/CP22))</f>
        <v/>
      </c>
      <c r="CS22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2" s="95" t="n"/>
      <c r="CU22" s="604">
        <f>SUM(CS22,CT22)</f>
        <v/>
      </c>
      <c r="CV22" s="96">
        <f>IF(BASE01[[#This Row],[TIPO]]="PREMIO",$O$3,"0,00")</f>
        <v/>
      </c>
      <c r="CW22" s="576" t="n"/>
      <c r="CY22" s="393" t="n">
        <v>15</v>
      </c>
      <c r="CZ22" s="354">
        <f>BX$6</f>
        <v/>
      </c>
      <c r="DB22" s="605">
        <f>BASE01[[#This Row],[COD]]</f>
        <v/>
      </c>
      <c r="DC22" s="395">
        <f t="array" ref="DC22">IFERROR(IF(AND(INDEX($E$8:$CE$57, MATCH($C22, $C$8:$C$57, 0), (COLUMNS($DC22:DC22)-1)*5 + 1) = INDEX($E$5:$CE$5, 1, (COLUMNS($DC22:DC22)-1)*5 + 1), INDEX($E$8:$CE$57, MATCH($C22, $C$8:$C$57, 0), (COLUMNS($DC22:DC22)-1)*5 + 4) = "F"), INDEX($CZ$8:$CZ$23, COLUMNS($DC22:DC22)), "0"), "")</f>
        <v/>
      </c>
      <c r="DD22" s="395">
        <f t="array" ref="DD22">IFERROR(IF(AND(INDEX($E$8:$CE$57, MATCH($C22, $C$8:$C$57, 0), (COLUMNS($DC22:DD22)-1)*5 + 1) = INDEX($E$5:$CE$5, 1, (COLUMNS($DC22:DD22)-1)*5 + 1), INDEX($E$8:$CE$57, MATCH($C22, $C$8:$C$57, 0), (COLUMNS($DC22:DD22)-1)*5 + 4) = "F"), INDEX($CZ$8:$CZ$23, COLUMNS($DC22:DD22)), "0"), "")</f>
        <v/>
      </c>
      <c r="DE22" s="395">
        <f t="array" ref="DE22">IFERROR(IF(AND(INDEX($E$8:$CE$57, MATCH($C22, $C$8:$C$57, 0), (COLUMNS($DC22:DE22)-1)*5 + 1) = INDEX($E$5:$CE$5, 1, (COLUMNS($DC22:DE22)-1)*5 + 1), INDEX($E$8:$CE$57, MATCH($C22, $C$8:$C$57, 0), (COLUMNS($DC22:DE22)-1)*5 + 4) = "F"), INDEX($CZ$8:$CZ$23, COLUMNS($DC22:DE22)), "0"), "")</f>
        <v/>
      </c>
      <c r="DF22" s="395">
        <f t="array" ref="DF22">IFERROR(IF(AND(INDEX($E$8:$CE$57, MATCH($C22, $C$8:$C$57, 0), (COLUMNS($DC22:DF22)-1)*5 + 1) = INDEX($E$5:$CE$5, 1, (COLUMNS($DC22:DF22)-1)*5 + 1), INDEX($E$8:$CE$57, MATCH($C22, $C$8:$C$57, 0), (COLUMNS($DC22:DF22)-1)*5 + 4) = "F"), INDEX($CZ$8:$CZ$23, COLUMNS($DC22:DF22)), "0"), "")</f>
        <v/>
      </c>
      <c r="DG22" s="395">
        <f t="array" ref="DG22">IFERROR(IF(AND(INDEX($E$8:$CE$57, MATCH($C22, $C$8:$C$57, 0), (COLUMNS($DC22:DG22)-1)*5 + 1) = INDEX($E$5:$CE$5, 1, (COLUMNS($DC22:DG22)-1)*5 + 1), INDEX($E$8:$CE$57, MATCH($C22, $C$8:$C$57, 0), (COLUMNS($DC22:DG22)-1)*5 + 4) = "F"), INDEX($CZ$8:$CZ$23, COLUMNS($DC22:DG22)), "0"), "")</f>
        <v/>
      </c>
      <c r="DH22" s="395">
        <f t="array" ref="DH22">IFERROR(IF(AND(INDEX($E$8:$CE$57, MATCH($C22, $C$8:$C$57, 0), (COLUMNS($DC22:DH22)-1)*5 + 1) = INDEX($E$5:$CE$5, 1, (COLUMNS($DC22:DH22)-1)*5 + 1), INDEX($E$8:$CE$57, MATCH($C22, $C$8:$C$57, 0), (COLUMNS($DC22:DH22)-1)*5 + 4) = "F"), INDEX($CZ$8:$CZ$23, COLUMNS($DC22:DH22)), "0"), "")</f>
        <v/>
      </c>
      <c r="DI22" s="395">
        <f t="array" ref="DI22">IFERROR(IF(AND(INDEX($E$8:$CE$57, MATCH($C22, $C$8:$C$57, 0), (COLUMNS($DC22:DI22)-1)*5 + 1) = INDEX($E$5:$CE$5, 1, (COLUMNS($DC22:DI22)-1)*5 + 1), INDEX($E$8:$CE$57, MATCH($C22, $C$8:$C$57, 0), (COLUMNS($DC22:DI22)-1)*5 + 4) = "F"), INDEX($CZ$8:$CZ$23, COLUMNS($DC22:DI22)), "0"), "")</f>
        <v/>
      </c>
      <c r="DJ22" s="395">
        <f t="array" ref="DJ22">IFERROR(IF(AND(INDEX($E$8:$CE$57, MATCH($C22, $C$8:$C$57, 0), (COLUMNS($DC22:DJ22)-1)*5 + 1) = INDEX($E$5:$CE$5, 1, (COLUMNS($DC22:DJ22)-1)*5 + 1), INDEX($E$8:$CE$57, MATCH($C22, $C$8:$C$57, 0), (COLUMNS($DC22:DJ22)-1)*5 + 4) = "F"), INDEX($CZ$8:$CZ$23, COLUMNS($DC22:DJ22)), "0"), "")</f>
        <v/>
      </c>
      <c r="DK22" s="395">
        <f t="array" ref="DK22">IFERROR(IF(AND(INDEX($E$8:$CE$57, MATCH($C22, $C$8:$C$57, 0), (COLUMNS($DC22:DK22)-1)*5 + 1) = INDEX($E$5:$CE$5, 1, (COLUMNS($DC22:DK22)-1)*5 + 1), INDEX($E$8:$CE$57, MATCH($C22, $C$8:$C$57, 0), (COLUMNS($DC22:DK22)-1)*5 + 4) = "F"), INDEX($CZ$8:$CZ$23, COLUMNS($DC22:DK22)), "0"), "")</f>
        <v/>
      </c>
      <c r="DL22" s="395">
        <f t="array" ref="DL22">IFERROR(IF(AND(INDEX($E$8:$CE$57, MATCH($C22, $C$8:$C$57, 0), (COLUMNS($DC22:DL22)-1)*5 + 1) = INDEX($E$5:$CE$5, 1, (COLUMNS($DC22:DL22)-1)*5 + 1), INDEX($E$8:$CE$57, MATCH($C22, $C$8:$C$57, 0), (COLUMNS($DC22:DL22)-1)*5 + 4) = "F"), INDEX($CZ$8:$CZ$23, COLUMNS($DC22:DL22)), "0"), "")</f>
        <v/>
      </c>
      <c r="DM22" s="395">
        <f t="array" ref="DM22">IFERROR(IF(AND(INDEX($E$8:$CE$57, MATCH($C22, $C$8:$C$57, 0), (COLUMNS($DC22:DM22)-1)*5 + 1) = INDEX($E$5:$CE$5, 1, (COLUMNS($DC22:DM22)-1)*5 + 1), INDEX($E$8:$CE$57, MATCH($C22, $C$8:$C$57, 0), (COLUMNS($DC22:DM22)-1)*5 + 4) = "F"), INDEX($CZ$8:$CZ$23, COLUMNS($DC22:DM22)), "0"), "")</f>
        <v/>
      </c>
      <c r="DN22" s="395">
        <f t="array" ref="DN22">IFERROR(IF(AND(INDEX($E$8:$CE$57, MATCH($C22, $C$8:$C$57, 0), (COLUMNS($DC22:DN22)-1)*5 + 1) = INDEX($E$5:$CE$5, 1, (COLUMNS($DC22:DN22)-1)*5 + 1), INDEX($E$8:$CE$57, MATCH($C22, $C$8:$C$57, 0), (COLUMNS($DC22:DN22)-1)*5 + 4) = "F"), INDEX($CZ$8:$CZ$23, COLUMNS($DC22:DN22)), "0"), "")</f>
        <v/>
      </c>
      <c r="DO22" s="395">
        <f t="array" ref="DO22">IFERROR(IF(AND(INDEX($E$8:$CE$57, MATCH($C22, $C$8:$C$57, 0), (COLUMNS($DC22:DO22)-1)*5 + 1) = INDEX($E$5:$CE$5, 1, (COLUMNS($DC22:DO22)-1)*5 + 1), INDEX($E$8:$CE$57, MATCH($C22, $C$8:$C$57, 0), (COLUMNS($DC22:DO22)-1)*5 + 4) = "F"), INDEX($CZ$8:$CZ$23, COLUMNS($DC22:DO22)), "0"), "")</f>
        <v/>
      </c>
      <c r="DP22" s="395">
        <f t="array" ref="DP22">IFERROR(IF(AND(INDEX($E$8:$CE$57, MATCH($C22, $C$8:$C$57, 0), (COLUMNS($DC22:DP22)-1)*5 + 1) = INDEX($E$5:$CE$5, 1, (COLUMNS($DC22:DP22)-1)*5 + 1), INDEX($E$8:$CE$57, MATCH($C22, $C$8:$C$57, 0), (COLUMNS($DC22:DP22)-1)*5 + 4) = "F"), INDEX($CZ$8:$CZ$23, COLUMNS($DC22:DP22)), "0"), "")</f>
        <v/>
      </c>
      <c r="DQ22" s="395">
        <f t="array" ref="DQ22">IFERROR(IF(AND(INDEX($E$8:$CE$57, MATCH($C22, $C$8:$C$57, 0), (COLUMNS($DC22:DQ22)-1)*5 + 1) = INDEX($E$5:$CE$5, 1, (COLUMNS($DC22:DQ22)-1)*5 + 1), INDEX($E$8:$CE$57, MATCH($C22, $C$8:$C$57, 0), (COLUMNS($DC22:DQ22)-1)*5 + 4) = "F"), INDEX($CZ$8:$CZ$23, COLUMNS($DC22:DQ22)), "0"), "")</f>
        <v/>
      </c>
      <c r="DR22" s="395">
        <f t="array" ref="DR22">IFERROR(IF(AND(INDEX($E$8:$CE$57, MATCH($C22, $C$8:$C$57, 0), (COLUMNS($DC22:DR22)-1)*5 + 1) = INDEX($E$5:$CE$5, 1, (COLUMNS($DC22:DR22)-1)*5 + 1), INDEX($E$8:$CE$57, MATCH($C22, $C$8:$C$57, 0), (COLUMNS($DC22:DR22)-1)*5 + 4) = "F"), INDEX($CZ$8:$CZ$23, COLUMNS($DC22:DR22)), "0"), "")</f>
        <v/>
      </c>
      <c r="DT22" s="605">
        <f>BASE01[[#This Row],[COD]]</f>
        <v/>
      </c>
      <c r="DU22" s="395">
        <f t="array" ref="DU22">IFERROR(IF(AND(INDEX($E$8:$CE$57, MATCH($C22, $C$8:$C$57, 0), (COLUMNS($DU22:DU22)-1)*5 + 1) = INDEX($E$5:$CE$5, 1, (COLUMNS($DU22:DU22)-1)*5 + 1), INDEX($E$8:$CE$57, MATCH($C22, $C$8:$C$57, 0), (COLUMNS($DU22:DU22)-1)*5 + 4) = "SF"), INDEX($CZ$8:$CZ$23, COLUMNS($DU22:DU22)), "0"), "")</f>
        <v/>
      </c>
      <c r="DV22" s="395">
        <f t="array" ref="DV22">IFERROR(IF(AND(INDEX($E$8:$CE$57, MATCH($C22, $C$8:$C$57, 0), (COLUMNS($DU22:DV22)-1)*5 + 1) = INDEX($E$5:$CE$5, 1, (COLUMNS($DU22:DV22)-1)*5 + 1), INDEX($E$8:$CE$57, MATCH($C22, $C$8:$C$57, 0), (COLUMNS($DU22:DV22)-1)*5 + 4) = "SF"), INDEX($CZ$8:$CZ$23, COLUMNS($DU22:DV22)), "0"), "")</f>
        <v/>
      </c>
      <c r="DW22" s="395">
        <f t="array" ref="DW22">IFERROR(IF(AND(INDEX($E$8:$CE$57, MATCH($C22, $C$8:$C$57, 0), (COLUMNS($DU22:DW22)-1)*5 + 1) = INDEX($E$5:$CE$5, 1, (COLUMNS($DU22:DW22)-1)*5 + 1), INDEX($E$8:$CE$57, MATCH($C22, $C$8:$C$57, 0), (COLUMNS($DU22:DW22)-1)*5 + 4) = "SF"), INDEX($CZ$8:$CZ$23, COLUMNS($DU22:DW22)), "0"), "")</f>
        <v/>
      </c>
      <c r="DX22" s="395">
        <f t="array" ref="DX22">IFERROR(IF(AND(INDEX($E$8:$CE$57, MATCH($C22, $C$8:$C$57, 0), (COLUMNS($DU22:DX22)-1)*5 + 1) = INDEX($E$5:$CE$5, 1, (COLUMNS($DU22:DX22)-1)*5 + 1), INDEX($E$8:$CE$57, MATCH($C22, $C$8:$C$57, 0), (COLUMNS($DU22:DX22)-1)*5 + 4) = "SF"), INDEX($CZ$8:$CZ$23, COLUMNS($DU22:DX22)), "0"), "")</f>
        <v/>
      </c>
      <c r="DY22" s="395">
        <f t="array" ref="DY22">IFERROR(IF(AND(INDEX($E$8:$CE$57, MATCH($C22, $C$8:$C$57, 0), (COLUMNS($DU22:DY22)-1)*5 + 1) = INDEX($E$5:$CE$5, 1, (COLUMNS($DU22:DY22)-1)*5 + 1), INDEX($E$8:$CE$57, MATCH($C22, $C$8:$C$57, 0), (COLUMNS($DU22:DY22)-1)*5 + 4) = "SF"), INDEX($CZ$8:$CZ$23, COLUMNS($DU22:DY22)), "0"), "")</f>
        <v/>
      </c>
      <c r="DZ22" s="395">
        <f t="array" ref="DZ22">IFERROR(IF(AND(INDEX($E$8:$CE$57, MATCH($C22, $C$8:$C$57, 0), (COLUMNS($DU22:DZ22)-1)*5 + 1) = INDEX($E$5:$CE$5, 1, (COLUMNS($DU22:DZ22)-1)*5 + 1), INDEX($E$8:$CE$57, MATCH($C22, $C$8:$C$57, 0), (COLUMNS($DU22:DZ22)-1)*5 + 4) = "SF"), INDEX($CZ$8:$CZ$23, COLUMNS($DU22:DZ22)), "0"), "")</f>
        <v/>
      </c>
      <c r="EA22" s="395">
        <f t="array" ref="EA22">IFERROR(IF(AND(INDEX($E$8:$CE$57, MATCH($C22, $C$8:$C$57, 0), (COLUMNS($DU22:EA22)-1)*5 + 1) = INDEX($E$5:$CE$5, 1, (COLUMNS($DU22:EA22)-1)*5 + 1), INDEX($E$8:$CE$57, MATCH($C22, $C$8:$C$57, 0), (COLUMNS($DU22:EA22)-1)*5 + 4) = "SF"), INDEX($CZ$8:$CZ$23, COLUMNS($DU22:EA22)), "0"), "")</f>
        <v/>
      </c>
      <c r="EB22" s="395">
        <f t="array" ref="EB22">IFERROR(IF(AND(INDEX($E$8:$CE$57, MATCH($C22, $C$8:$C$57, 0), (COLUMNS($DU22:EB22)-1)*5 + 1) = INDEX($E$5:$CE$5, 1, (COLUMNS($DU22:EB22)-1)*5 + 1), INDEX($E$8:$CE$57, MATCH($C22, $C$8:$C$57, 0), (COLUMNS($DU22:EB22)-1)*5 + 4) = "SF"), INDEX($CZ$8:$CZ$23, COLUMNS($DU22:EB22)), "0"), "")</f>
        <v/>
      </c>
      <c r="EC22" s="395">
        <f t="array" ref="EC22">IFERROR(IF(AND(INDEX($E$8:$CE$57, MATCH($C22, $C$8:$C$57, 0), (COLUMNS($DU22:EC22)-1)*5 + 1) = INDEX($E$5:$CE$5, 1, (COLUMNS($DU22:EC22)-1)*5 + 1), INDEX($E$8:$CE$57, MATCH($C22, $C$8:$C$57, 0), (COLUMNS($DU22:EC22)-1)*5 + 4) = "SF"), INDEX($CZ$8:$CZ$23, COLUMNS($DU22:EC22)), "0"), "")</f>
        <v/>
      </c>
      <c r="ED22" s="395">
        <f t="array" ref="ED22">IFERROR(IF(AND(INDEX($E$8:$CE$57, MATCH($C22, $C$8:$C$57, 0), (COLUMNS($DU22:ED22)-1)*5 + 1) = INDEX($E$5:$CE$5, 1, (COLUMNS($DU22:ED22)-1)*5 + 1), INDEX($E$8:$CE$57, MATCH($C22, $C$8:$C$57, 0), (COLUMNS($DU22:ED22)-1)*5 + 4) = "SF"), INDEX($CZ$8:$CZ$23, COLUMNS($DU22:ED22)), "0"), "")</f>
        <v/>
      </c>
      <c r="EE22" s="395">
        <f t="array" ref="EE22">IFERROR(IF(AND(INDEX($E$8:$CE$57, MATCH($C22, $C$8:$C$57, 0), (COLUMNS($DU22:EE22)-1)*5 + 1) = INDEX($E$5:$CE$5, 1, (COLUMNS($DU22:EE22)-1)*5 + 1), INDEX($E$8:$CE$57, MATCH($C22, $C$8:$C$57, 0), (COLUMNS($DU22:EE22)-1)*5 + 4) = "SF"), INDEX($CZ$8:$CZ$23, COLUMNS($DU22:EE22)), "0"), "")</f>
        <v/>
      </c>
      <c r="EF22" s="395">
        <f t="array" ref="EF22">IFERROR(IF(AND(INDEX($E$8:$CE$57, MATCH($C22, $C$8:$C$57, 0), (COLUMNS($DU22:EF22)-1)*5 + 1) = INDEX($E$5:$CE$5, 1, (COLUMNS($DU22:EF22)-1)*5 + 1), INDEX($E$8:$CE$57, MATCH($C22, $C$8:$C$57, 0), (COLUMNS($DU22:EF22)-1)*5 + 4) = "SF"), INDEX($CZ$8:$CZ$23, COLUMNS($DU22:EF22)), "0"), "")</f>
        <v/>
      </c>
      <c r="EG22" s="395">
        <f t="array" ref="EG22">IFERROR(IF(AND(INDEX($E$8:$CE$57, MATCH($C22, $C$8:$C$57, 0), (COLUMNS($DU22:EG22)-1)*5 + 1) = INDEX($E$5:$CE$5, 1, (COLUMNS($DU22:EG22)-1)*5 + 1), INDEX($E$8:$CE$57, MATCH($C22, $C$8:$C$57, 0), (COLUMNS($DU22:EG22)-1)*5 + 4) = "SF"), INDEX($CZ$8:$CZ$23, COLUMNS($DU22:EG22)), "0"), "")</f>
        <v/>
      </c>
      <c r="EH22" s="395">
        <f t="array" ref="EH22">IFERROR(IF(AND(INDEX($E$8:$CE$57, MATCH($C22, $C$8:$C$57, 0), (COLUMNS($DU22:EH22)-1)*5 + 1) = INDEX($E$5:$CE$5, 1, (COLUMNS($DU22:EH22)-1)*5 + 1), INDEX($E$8:$CE$57, MATCH($C22, $C$8:$C$57, 0), (COLUMNS($DU22:EH22)-1)*5 + 4) = "SF"), INDEX($CZ$8:$CZ$23, COLUMNS($DU22:EH22)), "0"), "")</f>
        <v/>
      </c>
      <c r="EI22" s="395">
        <f t="array" ref="EI22">IFERROR(IF(AND(INDEX($E$8:$CE$57, MATCH($C22, $C$8:$C$57, 0), (COLUMNS($DU22:EI22)-1)*5 + 1) = INDEX($E$5:$CE$5, 1, (COLUMNS($DU22:EI22)-1)*5 + 1), INDEX($E$8:$CE$57, MATCH($C22, $C$8:$C$57, 0), (COLUMNS($DU22:EI22)-1)*5 + 4) = "SF"), INDEX($CZ$8:$CZ$23, COLUMNS($DU22:EI22)), "0"), "")</f>
        <v/>
      </c>
      <c r="EJ22" s="395">
        <f t="array" ref="EJ22">IFERROR(IF(AND(INDEX($E$8:$CE$57, MATCH($C22, $C$8:$C$57, 0), (COLUMNS($DU22:EJ22)-1)*5 + 1) = INDEX($E$5:$CE$5, 1, (COLUMNS($DU22:EJ22)-1)*5 + 1), INDEX($E$8:$CE$57, MATCH($C22, $C$8:$C$57, 0), (COLUMNS($DU22:EJ22)-1)*5 + 4) = "SF"), INDEX($CZ$8:$CZ$23, COLUMNS($DU22:EJ22)), "0"), "")</f>
        <v/>
      </c>
    </row>
    <row r="23" ht="20.1" customHeight="1" s="568">
      <c r="A23" s="576" t="n"/>
      <c r="B23" s="92">
        <f>IF(BASE01[[#This Row],[COD]]&lt;&gt;"",B22+1,"")</f>
        <v/>
      </c>
      <c r="C23" s="601" t="inlineStr">
        <is>
          <t>COD 16</t>
        </is>
      </c>
      <c r="D23" s="93">
        <f t="array" ref="D23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3" s="145" t="n">
        <v>1</v>
      </c>
      <c r="F23" s="147" t="n">
        <v>8</v>
      </c>
      <c r="G23" s="147" t="n">
        <v>6</v>
      </c>
      <c r="H23" s="147" t="n"/>
      <c r="I23" s="602">
        <f>SUM(IF(E23=E$5,4,0),IF(E23&amp;F23=E$5&amp;F$5,1,0),
IF(AND(E23=E$5,F$6&gt;=$D$115),1,0),
IF(AND(F23=E$5,F$6&gt;=$D$115),1,0),
IF(AND(G23=E$5,F$6&gt;=$D$115),1,0),
IF(E23&amp;H23=I$5,1,0),
IF(F23=E$5,2,0),
IF(G23=E$5,1,0),
IF(OR(E23&amp;F23&amp;G23=E$5&amp;F$5&amp;G$5,E23&amp;F23&amp;G23=E$5&amp;G$5&amp;F$5,E23&amp;F23&amp;G23=F$5&amp;E$5&amp;G$5,E23&amp;F23&amp;G23=F$5&amp;G$5&amp;E$5,E23&amp;F23&amp;G23=G$5&amp;E$5&amp;F$5,E23&amp;F23&amp;G23=G$5&amp;F$5&amp;E$5),2,0),IF(AND(E23=E$5,F$6&gt;=$D$129),1,0),IF(AND(F23=E$5,F$6&gt;=$D$129),1,0),IF(AND(G23=E$5,F$6&gt;=$D$129),1,0),IF(E23&amp;H23=H$5,4,0),IF(AND(E23=E$5,F$6&lt;=$D$104),-0.5,0),IF(AND(F23=E$5,F$6&lt;=$D$104),-0.5,0),IF(AND(G23=E$5,F$6&lt;=$D$104),-0.5,0))</f>
        <v/>
      </c>
      <c r="J23" s="145" t="n">
        <v>8</v>
      </c>
      <c r="K23" s="147" t="n">
        <v>3</v>
      </c>
      <c r="L23" s="147" t="n">
        <v>1</v>
      </c>
      <c r="M23" s="147" t="n"/>
      <c r="N23" s="602">
        <f>SUM(IF(J23=J$5,4,0),IF(J23&amp;K23=J$5&amp;K$5,1,0),
IF(AND(J23=J$5,K$6&gt;=$D$115),1,0),
IF(AND(K23=J$5,K$6&gt;=$D$115),1,0),
IF(AND(L23=J$5,K$6&gt;=$D$115),1,0),
IF(J23&amp;M23=N$5,1,0),
IF(K23=J$5,2,0),
IF(L23=J$5,1,0),
IF(OR(J23&amp;K23&amp;L23=J$5&amp;K$5&amp;L$5,J23&amp;K23&amp;L23=J$5&amp;L$5&amp;K$5,J23&amp;K23&amp;L23=K$5&amp;J$5&amp;L$5,J23&amp;K23&amp;L23=K$5&amp;L$5&amp;J$5,J23&amp;K23&amp;L23=L$5&amp;J$5&amp;K$5,J23&amp;K23&amp;L23=L$5&amp;K$5&amp;J$5),2,0),IF(AND(J23=J$5,K$6&gt;=$D$129),1,0),IF(AND(K23=J$5,K$6&gt;=$D$129),1,0),IF(AND(L23=J$5,K$6&gt;=$D$129),1,0),IF(J23&amp;M23=M$5,4,0),IF(AND(J23=J$5,K$6&lt;=$D$104),-0.5,0),IF(AND(K23=J$5,K$6&lt;=$D$104),-0.5,0),IF(AND(L23=J$5,K$6&lt;=$D$104),-0.5,0))</f>
        <v/>
      </c>
      <c r="O23" s="145" t="n">
        <v>3</v>
      </c>
      <c r="P23" s="147" t="n">
        <v>8</v>
      </c>
      <c r="Q23" s="147" t="n">
        <v>2</v>
      </c>
      <c r="R23" s="147" t="n"/>
      <c r="S23" s="602">
        <f>SUM(IF(O23=O$5,4,0),IF(O23&amp;P23=O$5&amp;P$5,1,0),
IF(AND(O23=O$5,P$6&gt;=$D$115),1,0),
IF(AND(P23=O$5,P$6&gt;=$D$115),1,0),
IF(AND(Q23=O$5,P$6&gt;=$D$115),1,0),
IF(O23&amp;R23=S$5,1,0),
IF(P23=O$5,2,0),
IF(Q23=O$5,1,0),
IF(OR(O23&amp;P23&amp;Q23=O$5&amp;P$5&amp;Q$5,O23&amp;P23&amp;Q23=O$5&amp;Q$5&amp;P$5,O23&amp;P23&amp;Q23=P$5&amp;O$5&amp;Q$5,O23&amp;P23&amp;Q23=P$5&amp;Q$5&amp;O$5,O23&amp;P23&amp;Q23=Q$5&amp;O$5&amp;P$5,O23&amp;P23&amp;Q23=Q$5&amp;P$5&amp;O$5),2,0),IF(AND(O23=O$5,P$6&gt;=$D$129),1,0),IF(AND(P23=O$5,P$6&gt;=$D$129),1,0),IF(AND(Q23=O$5,P$6&gt;=$D$129),1,0),IF(O23&amp;R23=R$5,4,0),IF(AND(O23=O$5,P$6&lt;=$D$104),-0.5,0),IF(AND(P23=O$5,P$6&lt;=$D$104),-0.5,0),IF(AND(Q23=O$5,P$6&lt;=$D$104),-0.5,0))</f>
        <v/>
      </c>
      <c r="T23" s="145" t="n">
        <v>6</v>
      </c>
      <c r="U23" s="147" t="n">
        <v>9</v>
      </c>
      <c r="V23" s="147" t="n">
        <v>1</v>
      </c>
      <c r="W23" s="147" t="inlineStr">
        <is>
          <t>F</t>
        </is>
      </c>
      <c r="X23" s="602">
        <f>SUM(IF(T23=T$5,4,0),IF(T23&amp;U23=T$5&amp;U$5,1,0),
IF(AND(T23=T$5,U$6&gt;=$D$115),1,0),
IF(AND(U23=T$5,U$6&gt;=$D$115),1,0),
IF(AND(V23=T$5,U$6&gt;=$D$115),1,0),
IF(T23&amp;W23=X$5,1,0),
IF(U23=T$5,2,0),
IF(V23=T$5,1,0),
IF(OR(T23&amp;U23&amp;V23=T$5&amp;U$5&amp;V$5,T23&amp;U23&amp;V23=T$5&amp;V$5&amp;U$5,T23&amp;U23&amp;V23=U$5&amp;T$5&amp;V$5,T23&amp;U23&amp;V23=U$5&amp;V$5&amp;T$5,T23&amp;U23&amp;V23=V$5&amp;T$5&amp;U$5,T23&amp;U23&amp;V23=V$5&amp;U$5&amp;T$5),2,0),IF(AND(T23=T$5,U$6&gt;=$D$129),1,0),IF(AND(U23=T$5,U$6&gt;=$D$129),1,0),IF(AND(V23=T$5,U$6&gt;=$D$129),1,0),IF(T23&amp;W23=W$5,4,0),IF(AND(T23=T$5,U$6&lt;=$D$104),-0.5,0),IF(AND(U23=T$5,U$6&lt;=$D$104),-0.5,0),IF(AND(V23=T$5,U$6&lt;=$D$104),-0.5,0))</f>
        <v/>
      </c>
      <c r="Y23" s="145" t="n">
        <v>5</v>
      </c>
      <c r="Z23" s="147" t="n"/>
      <c r="AA23" s="147" t="n"/>
      <c r="AB23" s="147" t="inlineStr">
        <is>
          <t>SF</t>
        </is>
      </c>
      <c r="AC23" s="602">
        <f>SUM(IF(Y23=Y$5,4,0),IF(Y23&amp;Z23=Y$5&amp;Z$5,1,0),
IF(AND(Y23=Y$5,Z$6&gt;=$D$115),1,0),
IF(AND(Z23=Y$5,Z$6&gt;=$D$115),1,0),
IF(AND(AA23=Y$5,Z$6&gt;=$D$115),1,0),
IF(Y23&amp;AB23=AC$5,1,0),
IF(Z23=Y$5,2,0),
IF(AA23=Y$5,1,0),
IF(OR(Y23&amp;Z23&amp;AA23=Y$5&amp;Z$5&amp;AA$5,Y23&amp;Z23&amp;AA23=Y$5&amp;AA$5&amp;Z$5,Y23&amp;Z23&amp;AA23=Z$5&amp;Y$5&amp;AA$5,Y23&amp;Z23&amp;AA23=Z$5&amp;AA$5&amp;Y$5,Y23&amp;Z23&amp;AA23=AA$5&amp;Y$5&amp;Z$5,Y23&amp;Z23&amp;AA23=AA$5&amp;Z$5&amp;Y$5),2,0),IF(AND(Y23=Y$5,Z$6&gt;=$D$129),1,0),IF(AND(Z23=Y$5,Z$6&gt;=$D$129),1,0),IF(AND(AA23=Y$5,Z$6&gt;=$D$129),1,0),IF(Y23&amp;AB23=AB$5,4,0),IF(AND(Y23=Y$5,Z$6&lt;=$D$104),-0.5,0),IF(AND(Z23=Y$5,Z$6&lt;=$D$104),-0.5,0),IF(AND(AA23=Y$5,Z$6&lt;=$D$104),-0.5,0))</f>
        <v/>
      </c>
      <c r="AD23" s="145" t="n">
        <v>7</v>
      </c>
      <c r="AE23" s="147" t="n">
        <v>2</v>
      </c>
      <c r="AF23" s="147" t="n">
        <v>5</v>
      </c>
      <c r="AG23" s="147" t="n"/>
      <c r="AH23" s="602">
        <f>SUM(IF(AD23=AD$5,4,0),IF(AD23&amp;AE23=AD$5&amp;AE$5,1,0),
IF(AND(AD23=AD$5,AE$6&gt;=$D$115),1,0),
IF(AND(AE23=AD$5,AE$6&gt;=$D$115),1,0),
IF(AND(AF23=AD$5,AE$6&gt;=$D$115),1,0),
IF(AD23&amp;AG23=AH$5,1,0),
IF(AE23=AD$5,2,0),
IF(AF23=AD$5,1,0),
IF(OR(AD23&amp;AE23&amp;AF23=AD$5&amp;AE$5&amp;AF$5,AD23&amp;AE23&amp;AF23=AD$5&amp;AF$5&amp;AE$5,AD23&amp;AE23&amp;AF23=AE$5&amp;AD$5&amp;AF$5,AD23&amp;AE23&amp;AF23=AE$5&amp;AF$5&amp;AD$5,AD23&amp;AE23&amp;AF23=AF$5&amp;AD$5&amp;AE$5,AD23&amp;AE23&amp;AF23=AF$5&amp;AE$5&amp;AD$5),2,0),IF(AND(AD23=AD$5,AE$6&gt;=$D$129),1,0),IF(AND(AE23=AD$5,AE$6&gt;=$D$129),1,0),IF(AND(AF23=AD$5,AE$6&gt;=$D$129),1,0),IF(AD23&amp;AG23=AG$5,4,0),IF(AND(AD23=AD$5,AE$6&lt;=$D$104),-0.5,0),IF(AND(AE23=AD$5,AE$6&lt;=$D$104),-0.5,0),IF(AND(AF23=AD$5,AE$6&lt;=$D$104),-0.5,0))</f>
        <v/>
      </c>
      <c r="AI23" s="145" t="n">
        <v>4</v>
      </c>
      <c r="AJ23" s="147" t="n">
        <v>7</v>
      </c>
      <c r="AK23" s="147" t="n">
        <v>3</v>
      </c>
      <c r="AL23" s="147" t="n"/>
      <c r="AM23" s="602">
        <f>SUM(IF(AI23=AI$5,4,0),IF(AI23&amp;AJ23=AI$5&amp;AJ$5,1,0),
IF(AND(AI23=AI$5,AJ$6&gt;=$D$115),1,0),
IF(AND(AJ23=AI$5,AJ$6&gt;=$D$115),1,0),
IF(AND(AK23=AI$5,AJ$6&gt;=$D$115),1,0),
IF(AI23&amp;AL23=AM$5,1,0),
IF(AJ23=AI$5,2,0),
IF(AK23=AI$5,1,0),
IF(OR(AI23&amp;AJ23&amp;AK23=AI$5&amp;AJ$5&amp;AK$5,AI23&amp;AJ23&amp;AK23=AI$5&amp;AK$5&amp;AJ$5,AI23&amp;AJ23&amp;AK23=AJ$5&amp;AI$5&amp;AK$5,AI23&amp;AJ23&amp;AK23=AJ$5&amp;AK$5&amp;AI$5,AI23&amp;AJ23&amp;AK23=AK$5&amp;AI$5&amp;AJ$5,AI23&amp;AJ23&amp;AK23=AK$5&amp;AJ$5&amp;AI$5),2,0),IF(AND(AI23=AI$5,AJ$6&gt;=$D$129),1,0),IF(AND(AJ23=AI$5,AJ$6&gt;=$D$129),1,0),IF(AND(AK23=AI$5,AJ$6&gt;=$D$129),1,0),IF(AI23&amp;AL23=AL$5,4,0),IF(AND(AI23=AI$5,AJ$6&lt;=$D$104),-0.5,0),IF(AND(AJ23=AI$5,AJ$6&lt;=$D$104),-0.5,0),IF(AND(AK23=AI$5,AJ$6&lt;=$D$104),-0.5,0))</f>
        <v/>
      </c>
      <c r="AN23" s="145" t="n">
        <v>8</v>
      </c>
      <c r="AO23" s="147" t="n">
        <v>9</v>
      </c>
      <c r="AP23" s="147" t="n">
        <v>11</v>
      </c>
      <c r="AQ23" s="147" t="n"/>
      <c r="AR23" s="602">
        <f>SUM(IF(AN23=AN$5,4,0),IF(AN23&amp;AO23=AN$5&amp;AO$5,1,0),
IF(AND(AN23=AN$5,AO$6&gt;=$D$115),1,0),
IF(AND(AO23=AN$5,AO$6&gt;=$D$115),1,0),
IF(AND(AP23=AN$5,AO$6&gt;=$D$115),1,0),
IF(AN23&amp;AQ23=AR$5,1,0),
IF(AO23=AN$5,2,0),
IF(AP23=AN$5,1,0),
IF(OR(AN23&amp;AO23&amp;AP23=AN$5&amp;AO$5&amp;AP$5,AN23&amp;AO23&amp;AP23=AN$5&amp;AP$5&amp;AO$5,AN23&amp;AO23&amp;AP23=AO$5&amp;AN$5&amp;AP$5,AN23&amp;AO23&amp;AP23=AO$5&amp;AP$5&amp;AN$5,AN23&amp;AO23&amp;AP23=AP$5&amp;AN$5&amp;AO$5,AN23&amp;AO23&amp;AP23=AP$5&amp;AO$5&amp;AN$5),2,0),IF(AND(AN23=AN$5,AO$6&gt;=$D$129),1,0),IF(AND(AO23=AN$5,AO$6&gt;=$D$129),1,0),IF(AND(AP23=AN$5,AO$6&gt;=$D$129),1,0),IF(AN23&amp;AQ23=AQ$5,4,0),IF(AND(AN23=AN$5,AO$6&lt;=$D$104),-0.5,0),IF(AND(AO23=AN$5,AO$6&lt;=$D$104),-0.5,0),IF(AND(AP23=AN$5,AO$6&lt;=$D$104),-0.5,0))</f>
        <v/>
      </c>
      <c r="AS23" s="145" t="n">
        <v>1</v>
      </c>
      <c r="AT23" s="147" t="n">
        <v>7</v>
      </c>
      <c r="AU23" s="147" t="n">
        <v>2</v>
      </c>
      <c r="AV23" s="147" t="n"/>
      <c r="AW23" s="602">
        <f>SUM(IF(AS23=AS$5,4,0),IF(AS23&amp;AT23=AS$5&amp;AT$5,1,0),
IF(AND(AS23=AS$5,AT$6&gt;=$D$115),1,0),
IF(AND(AT23=AS$5,AT$6&gt;=$D$115),1,0),
IF(AND(AU23=AS$5,AT$6&gt;=$D$115),1,0),
IF(AS23&amp;AV23=AW$5,1,0),
IF(AT23=AS$5,2,0),
IF(AU23=AS$5,1,0),
IF(OR(AS23&amp;AT23&amp;AU23=AS$5&amp;AT$5&amp;AU$5,AS23&amp;AT23&amp;AU23=AS$5&amp;AU$5&amp;AT$5,AS23&amp;AT23&amp;AU23=AT$5&amp;AS$5&amp;AU$5,AS23&amp;AT23&amp;AU23=AT$5&amp;AU$5&amp;AS$5,AS23&amp;AT23&amp;AU23=AU$5&amp;AS$5&amp;AT$5,AS23&amp;AT23&amp;AU23=AU$5&amp;AT$5&amp;AS$5),2,0),IF(AND(AS23=AS$5,AT$6&gt;=$D$129),1,0),IF(AND(AT23=AS$5,AT$6&gt;=$D$129),1,0),IF(AND(AU23=AS$5,AT$6&gt;=$D$129),1,0),IF(AS23&amp;AV23=AV$5,4,0),IF(AND(AS23=AS$5,AT$6&lt;=$D$104),-0.5,0),IF(AND(AT23=AS$5,AT$6&lt;=$D$104),-0.5,0),IF(AND(AU23=AS$5,AT$6&lt;=$D$104),-0.5,0))</f>
        <v/>
      </c>
      <c r="AX23" s="145" t="n">
        <v>9</v>
      </c>
      <c r="AY23" s="147" t="n">
        <v>1</v>
      </c>
      <c r="AZ23" s="147" t="n">
        <v>8</v>
      </c>
      <c r="BA23" s="147" t="n"/>
      <c r="BB23" s="602">
        <f>SUM(IF(AX23=AX$5,4,0),IF(AX23&amp;AY23=AX$5&amp;AY$5,1,0),
IF(AND(AX23=AX$5,AY$6&gt;=$D$115),1,0),
IF(AND(AY23=AX$5,AY$6&gt;=$D$115),1,0),
IF(AND(AZ23=AX$5,AY$6&gt;=$D$115),1,0),
IF(AX23&amp;BA23=BB$5,1,0),
IF(AY23=AX$5,2,0),
IF(AZ23=AX$5,1,0),
IF(OR(AX23&amp;AY23&amp;AZ23=AX$5&amp;AY$5&amp;AZ$5,AX23&amp;AY23&amp;AZ23=AX$5&amp;AZ$5&amp;AY$5,AX23&amp;AY23&amp;AZ23=AY$5&amp;AX$5&amp;AZ$5,AX23&amp;AY23&amp;AZ23=AY$5&amp;AZ$5&amp;AX$5,AX23&amp;AY23&amp;AZ23=AZ$5&amp;AX$5&amp;AY$5,AX23&amp;AY23&amp;AZ23=AZ$5&amp;AY$5&amp;AX$5),2,0),IF(AND(AX23=AX$5,AY$6&gt;=$D$129),1,0),IF(AND(AY23=AX$5,AY$6&gt;=$D$129),1,0),IF(AND(AZ23=AX$5,AY$6&gt;=$D$129),1,0),IF(AX23&amp;BA23=BA$5,4,0),IF(AND(AX23=AX$5,AY$6&lt;=$D$104),-0.5,0),IF(AND(AY23=AX$5,AY$6&lt;=$D$104),-0.5,0),IF(AND(AZ23=AX$5,AY$6&lt;=$D$104),-0.5,0))</f>
        <v/>
      </c>
      <c r="BC23" s="145" t="n">
        <v>4</v>
      </c>
      <c r="BD23" s="147" t="n">
        <v>8</v>
      </c>
      <c r="BE23" s="147" t="n">
        <v>7</v>
      </c>
      <c r="BF23" s="147" t="n"/>
      <c r="BG23" s="602">
        <f>SUM(IF(BC23=BC$5,4,0),IF(BC23&amp;BD23=BC$5&amp;BD$5,1,0),
IF(AND(BC23=BC$5,BD$6&gt;=$D$115),1,0),
IF(AND(BD23=BC$5,BD$6&gt;=$D$115),1,0),
IF(AND(BE23=BC$5,BD$6&gt;=$D$115),1,0),
IF(BC23&amp;BF23=BG$5,1,0),
IF(BD23=BC$5,2,0),
IF(BE23=BC$5,1,0),
IF(OR(BC23&amp;BD23&amp;BE23=BC$5&amp;BD$5&amp;BE$5,BC23&amp;BD23&amp;BE23=BC$5&amp;BE$5&amp;BD$5,BC23&amp;BD23&amp;BE23=BD$5&amp;BC$5&amp;BE$5,BC23&amp;BD23&amp;BE23=BD$5&amp;BE$5&amp;BC$5,BC23&amp;BD23&amp;BE23=BE$5&amp;BC$5&amp;BD$5,BC23&amp;BD23&amp;BE23=BE$5&amp;BD$5&amp;BC$5),2,0),IF(AND(BC23=BC$5,BD$6&gt;=$D$129),1,0),IF(AND(BD23=BC$5,BD$6&gt;=$D$129),1,0),IF(AND(BE23=BC$5,BD$6&gt;=$D$129),1,0),IF(BC23&amp;BF23=BF$5,4,0),IF(AND(BC23=BC$5,BD$6&lt;=$D$104),-0.5,0),IF(AND(BD23=BC$5,BD$6&lt;=$D$104),-0.5,0),IF(AND(BE23=BC$5,BD$6&lt;=$D$104),-0.5,0))</f>
        <v/>
      </c>
      <c r="BH23" s="145" t="n">
        <v>5</v>
      </c>
      <c r="BI23" s="147" t="n">
        <v>1</v>
      </c>
      <c r="BJ23" s="147" t="n">
        <v>2</v>
      </c>
      <c r="BK23" s="147" t="inlineStr">
        <is>
          <t>F</t>
        </is>
      </c>
      <c r="BL23" s="602">
        <f>SUM(IF(BH23=BH$5,4,0),IF(BH23&amp;BI23=BH$5&amp;BI$5,1,0),
IF(AND(BH23=BH$5,BI$6&gt;=$D$115),1,0),
IF(AND(BI23=BH$5,BI$6&gt;=$D$115),1,0),
IF(AND(BJ23=BH$5,BI$6&gt;=$D$115),1,0),
IF(BH23&amp;BK23=BL$5,1,0),
IF(BI23=BH$5,2,0),
IF(BJ23=BH$5,1,0),
IF(OR(BH23&amp;BI23&amp;BJ23=BH$5&amp;BI$5&amp;BJ$5,BH23&amp;BI23&amp;BJ23=BH$5&amp;BJ$5&amp;BI$5,BH23&amp;BI23&amp;BJ23=BI$5&amp;BH$5&amp;BJ$5,BH23&amp;BI23&amp;BJ23=BI$5&amp;BJ$5&amp;BH$5,BH23&amp;BI23&amp;BJ23=BJ$5&amp;BH$5&amp;BI$5,BH23&amp;BI23&amp;BJ23=BJ$5&amp;BI$5&amp;BH$5),2,0),IF(AND(BH23=BH$5,BI$6&gt;=$D$129),1,0),IF(AND(BI23=BH$5,BI$6&gt;=$D$129),1,0),IF(AND(BJ23=BH$5,BI$6&gt;=$D$129),1,0),IF(BH23&amp;BK23=BK$5,4,0),IF(AND(BH23=BH$5,BI$6&lt;=$D$104),-0.5,0),IF(AND(BI23=BH$5,BI$6&lt;=$D$104),-0.5,0),IF(AND(BJ23=BH$5,BI$6&lt;=$D$104),-0.5,0))</f>
        <v/>
      </c>
      <c r="BM23" s="145" t="n">
        <v>1</v>
      </c>
      <c r="BN23" s="147" t="n">
        <v>3</v>
      </c>
      <c r="BO23" s="147" t="n">
        <v>9</v>
      </c>
      <c r="BP23" s="147" t="n"/>
      <c r="BQ23" s="602">
        <f>SUM(IF(BM23=BM$5,4,0),IF(BM23&amp;BN23=BM$5&amp;BN$5,1,0),
IF(AND(BM23=BM$5,BN$6&gt;=$D$115),1,0),
IF(AND(BN23=BM$5,BN$6&gt;=$D$115),1,0),
IF(AND(BO23=BM$5,BN$6&gt;=$D$115),1,0),
IF(BM23&amp;BP23=BQ$5,1,0),
IF(BN23=BM$5,2,0),
IF(BO23=BM$5,1,0),
IF(OR(BM23&amp;BN23&amp;BO23=BM$5&amp;BN$5&amp;BO$5,BM23&amp;BN23&amp;BO23=BM$5&amp;BO$5&amp;BN$5,BM23&amp;BN23&amp;BO23=BN$5&amp;BM$5&amp;BO$5,BM23&amp;BN23&amp;BO23=BN$5&amp;BO$5&amp;BM$5,BM23&amp;BN23&amp;BO23=BO$5&amp;BM$5&amp;BN$5,BM23&amp;BN23&amp;BO23=BO$5&amp;BN$5&amp;BM$5),2,0),IF(AND(BM23=BM$5,BN$6&gt;=$D$129),1,0),IF(AND(BN23=BM$5,BN$6&gt;=$D$129),1,0),IF(AND(BO23=BM$5,BN$6&gt;=$D$129),1,0),IF(BM23&amp;BP23=BP$5,4,0),IF(AND(BM23=BM$5,BN$6&lt;=$D$104),-0.5,0),IF(AND(BN23=BM$5,BN$6&lt;=$D$104),-0.5,0),IF(AND(BO23=BM$5,BN$6&lt;=$D$104),-0.5,0))</f>
        <v/>
      </c>
      <c r="BR23" s="145" t="n"/>
      <c r="BS23" s="147" t="n"/>
      <c r="BT23" s="147" t="n"/>
      <c r="BU23" s="147" t="n"/>
      <c r="BV23" s="602">
        <f>SUM(IF(BR23=BR$5,4,0),IF(BR23&amp;BS23=BR$5&amp;BS$5,1,0),
IF(AND(BR23=BR$5,BS$6&gt;=$D$115),1,0),
IF(AND(BS23=BR$5,BS$6&gt;=$D$115),1,0),
IF(AND(BT23=BR$5,BS$6&gt;=$D$115),1,0),
IF(BR23&amp;BU23=BV$5,1,0),
IF(BS23=BR$5,2,0),
IF(BT23=BR$5,1,0),
IF(OR(BR23&amp;BS23&amp;BT23=BR$5&amp;BS$5&amp;BT$5,BR23&amp;BS23&amp;BT23=BR$5&amp;BT$5&amp;BS$5,BR23&amp;BS23&amp;BT23=BS$5&amp;BR$5&amp;BT$5,BR23&amp;BS23&amp;BT23=BS$5&amp;BT$5&amp;BR$5,BR23&amp;BS23&amp;BT23=BT$5&amp;BR$5&amp;BS$5,BR23&amp;BS23&amp;BT23=BT$5&amp;BS$5&amp;BR$5),2,0),IF(AND(BR23=BR$5,BS$6&gt;=$D$129),1,0),IF(AND(BS23=BR$5,BS$6&gt;=$D$129),1,0),IF(AND(BT23=BR$5,BS$6&gt;=$D$129),1,0),IF(BR23&amp;BU23=BU$5,4,0),IF(AND(BR23=BR$5,BS$6&lt;=$D$104),-0.5,0),IF(AND(BS23=BR$5,BS$6&lt;=$D$104),-0.5,0),IF(AND(BT23=BR$5,BS$6&lt;=$D$104),-0.5,0))</f>
        <v/>
      </c>
      <c r="BW23" s="145" t="n"/>
      <c r="BX23" s="147" t="n"/>
      <c r="BY23" s="147" t="n"/>
      <c r="BZ23" s="147" t="n"/>
      <c r="CA23" s="602">
        <f>SUM(IF(BW23=BW$5,4,0),IF(BW23&amp;BX23=BW$5&amp;BX$5,1,0),
IF(AND(BW23=BW$5,BX$6&gt;=$D$115),1,0),
IF(AND(BX23=BW$5,BX$6&gt;=$D$115),1,0),
IF(AND(BY23=BW$5,BX$6&gt;=$D$115),1,0),
IF(BW23&amp;BZ23=CA$5,1,0),
IF(BX23=BW$5,2,0),
IF(BY23=BW$5,1,0),
IF(OR(BW23&amp;BX23&amp;BY23=BW$5&amp;BX$5&amp;BY$5,BW23&amp;BX23&amp;BY23=BW$5&amp;BY$5&amp;BX$5,BW23&amp;BX23&amp;BY23=BX$5&amp;BW$5&amp;BY$5,BW23&amp;BX23&amp;BY23=BX$5&amp;BY$5&amp;BW$5,BW23&amp;BX23&amp;BY23=BY$5&amp;BW$5&amp;BX$5,BW23&amp;BX23&amp;BY23=BY$5&amp;BX$5&amp;BW$5),2,0),IF(AND(BW23=BW$5,BX$6&gt;=$D$129),1,0),IF(AND(BX23=BW$5,BX$6&gt;=$D$129),1,0),IF(AND(BY23=BW$5,BX$6&gt;=$D$129),1,0),IF(BW23&amp;BZ23=BZ$5,4,0),IF(AND(BW23=BW$5,BX$6&lt;=$D$104),-0.5,0),IF(AND(BX23=BW$5,BX$6&lt;=$D$104),-0.5,0),IF(AND(BY23=BW$5,BX$6&lt;=$D$104),-0.5,0))</f>
        <v/>
      </c>
      <c r="CB23" s="145" t="n"/>
      <c r="CC23" s="147" t="n"/>
      <c r="CD23" s="147" t="n"/>
      <c r="CE23" s="147" t="n"/>
      <c r="CF23" s="602">
        <f>SUM(IF(CB23=CB$5,4,0),IF(CB23&amp;CC23=CB$5&amp;CC$5,1,0),
IF(AND(CB23=CB$5,CC$6&gt;=$D$115),1,0),
IF(AND(CC23=CB$5,CC$6&gt;=$D$115),1,0),
IF(AND(CD23=CB$5,CC$6&gt;=$D$115),1,0),
IF(CB23&amp;CE23=CF$5,1,0),
IF(CC23=CB$5,2,0),
IF(CD23=CB$5,1,0),
IF(OR(CB23&amp;CC23&amp;CD23=CB$5&amp;CC$5&amp;CD$5,CB23&amp;CC23&amp;CD23=CB$5&amp;CD$5&amp;CC$5,CB23&amp;CC23&amp;CD23=CC$5&amp;CB$5&amp;CD$5,CB23&amp;CC23&amp;CD23=CC$5&amp;CD$5&amp;CB$5,CB23&amp;CC23&amp;CD23=CD$5&amp;CB$5&amp;CC$5,CB23&amp;CC23&amp;CD23=CD$5&amp;CC$5&amp;CB$5),2,0),IF(AND(CB23=CB$5,CC$6&gt;=$D$129),1,0),IF(AND(CC23=CB$5,CC$6&gt;=$D$129),1,0),IF(AND(CD23=CB$5,CC$6&gt;=$D$129),1,0),IF(CB23&amp;CE23=CE$5,4,0),IF(AND(CB23=CB$5,CC$6&lt;=$D$104),-0.5,0),IF(AND(CC23=CB$5,CC$6&lt;=$D$104),-0.5,0),IF(AND(CD23=CB$5,CC$6&lt;=$D$104),-0.5,0))</f>
        <v/>
      </c>
      <c r="CG23" s="164">
        <f>IF(BASE01[[#This Row],[1]]="",0,$B$4)</f>
        <v/>
      </c>
      <c r="CH23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3" s="166">
        <f>IF(BASE01[[#This Row],[Columna14]]=0,0,(CH23/CG23))</f>
        <v/>
      </c>
      <c r="CJ23" s="165">
        <f>IF(BASE01[[#This Row],[1]]="",0,$B$4)</f>
        <v/>
      </c>
      <c r="CK23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3" s="166">
        <f>IF(BASE01[[#This Row],[Columna14]]=0,0,(CK23/CJ23))</f>
        <v/>
      </c>
      <c r="CM23" s="164">
        <f>IF(BASE01[[#This Row],[1]]="",0,$B$4)</f>
        <v/>
      </c>
      <c r="CN23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3" s="166">
        <f>IF(BASE01[[#This Row],[Columna14]]=0,0,(CN23/CM23))</f>
        <v/>
      </c>
      <c r="CP23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3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Row],[Columna25]],$AX$5,BA23,"SF")+COUNTIFS(BASE01[[#This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3" s="166">
        <f>IF(BASE01[[#This Row],[Columna14]]=0,0,(CQ23/CP23))</f>
        <v/>
      </c>
      <c r="CS23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3" s="95" t="n"/>
      <c r="CU23" s="604">
        <f>SUM(CS23,CT23)</f>
        <v/>
      </c>
      <c r="CV23" s="96">
        <f>IF(BASE01[[#This Row],[TIPO]]="PREMIO",$O$3,"0,00")</f>
        <v/>
      </c>
      <c r="CW23" s="576" t="n"/>
      <c r="CY23" s="393" t="n">
        <v>16</v>
      </c>
      <c r="CZ23" s="354">
        <f>CC$6</f>
        <v/>
      </c>
      <c r="DB23" s="605">
        <f>BASE01[[#This Row],[COD]]</f>
        <v/>
      </c>
      <c r="DC23" s="395">
        <f t="array" ref="DC23">IFERROR(IF(AND(INDEX($E$8:$CE$57, MATCH($C23, $C$8:$C$57, 0), (COLUMNS($DC23:DC23)-1)*5 + 1) = INDEX($E$5:$CE$5, 1, (COLUMNS($DC23:DC23)-1)*5 + 1), INDEX($E$8:$CE$57, MATCH($C23, $C$8:$C$57, 0), (COLUMNS($DC23:DC23)-1)*5 + 4) = "F"), INDEX($CZ$8:$CZ$23, COLUMNS($DC23:DC23)), "0"), "")</f>
        <v/>
      </c>
      <c r="DD23" s="395">
        <f t="array" ref="DD23">IFERROR(IF(AND(INDEX($E$8:$CE$57, MATCH($C23, $C$8:$C$57, 0), (COLUMNS($DC23:DD23)-1)*5 + 1) = INDEX($E$5:$CE$5, 1, (COLUMNS($DC23:DD23)-1)*5 + 1), INDEX($E$8:$CE$57, MATCH($C23, $C$8:$C$57, 0), (COLUMNS($DC23:DD23)-1)*5 + 4) = "F"), INDEX($CZ$8:$CZ$23, COLUMNS($DC23:DD23)), "0"), "")</f>
        <v/>
      </c>
      <c r="DE23" s="395">
        <f t="array" ref="DE23">IFERROR(IF(AND(INDEX($E$8:$CE$57, MATCH($C23, $C$8:$C$57, 0), (COLUMNS($DC23:DE23)-1)*5 + 1) = INDEX($E$5:$CE$5, 1, (COLUMNS($DC23:DE23)-1)*5 + 1), INDEX($E$8:$CE$57, MATCH($C23, $C$8:$C$57, 0), (COLUMNS($DC23:DE23)-1)*5 + 4) = "F"), INDEX($CZ$8:$CZ$23, COLUMNS($DC23:DE23)), "0"), "")</f>
        <v/>
      </c>
      <c r="DF23" s="395">
        <f t="array" ref="DF23">IFERROR(IF(AND(INDEX($E$8:$CE$57, MATCH($C23, $C$8:$C$57, 0), (COLUMNS($DC23:DF23)-1)*5 + 1) = INDEX($E$5:$CE$5, 1, (COLUMNS($DC23:DF23)-1)*5 + 1), INDEX($E$8:$CE$57, MATCH($C23, $C$8:$C$57, 0), (COLUMNS($DC23:DF23)-1)*5 + 4) = "F"), INDEX($CZ$8:$CZ$23, COLUMNS($DC23:DF23)), "0"), "")</f>
        <v/>
      </c>
      <c r="DG23" s="395">
        <f t="array" ref="DG23">IFERROR(IF(AND(INDEX($E$8:$CE$57, MATCH($C23, $C$8:$C$57, 0), (COLUMNS($DC23:DG23)-1)*5 + 1) = INDEX($E$5:$CE$5, 1, (COLUMNS($DC23:DG23)-1)*5 + 1), INDEX($E$8:$CE$57, MATCH($C23, $C$8:$C$57, 0), (COLUMNS($DC23:DG23)-1)*5 + 4) = "F"), INDEX($CZ$8:$CZ$23, COLUMNS($DC23:DG23)), "0"), "")</f>
        <v/>
      </c>
      <c r="DH23" s="395">
        <f t="array" ref="DH23">IFERROR(IF(AND(INDEX($E$8:$CE$57, MATCH($C23, $C$8:$C$57, 0), (COLUMNS($DC23:DH23)-1)*5 + 1) = INDEX($E$5:$CE$5, 1, (COLUMNS($DC23:DH23)-1)*5 + 1), INDEX($E$8:$CE$57, MATCH($C23, $C$8:$C$57, 0), (COLUMNS($DC23:DH23)-1)*5 + 4) = "F"), INDEX($CZ$8:$CZ$23, COLUMNS($DC23:DH23)), "0"), "")</f>
        <v/>
      </c>
      <c r="DI23" s="395">
        <f t="array" ref="DI23">IFERROR(IF(AND(INDEX($E$8:$CE$57, MATCH($C23, $C$8:$C$57, 0), (COLUMNS($DC23:DI23)-1)*5 + 1) = INDEX($E$5:$CE$5, 1, (COLUMNS($DC23:DI23)-1)*5 + 1), INDEX($E$8:$CE$57, MATCH($C23, $C$8:$C$57, 0), (COLUMNS($DC23:DI23)-1)*5 + 4) = "F"), INDEX($CZ$8:$CZ$23, COLUMNS($DC23:DI23)), "0"), "")</f>
        <v/>
      </c>
      <c r="DJ23" s="395">
        <f t="array" ref="DJ23">IFERROR(IF(AND(INDEX($E$8:$CE$57, MATCH($C23, $C$8:$C$57, 0), (COLUMNS($DC23:DJ23)-1)*5 + 1) = INDEX($E$5:$CE$5, 1, (COLUMNS($DC23:DJ23)-1)*5 + 1), INDEX($E$8:$CE$57, MATCH($C23, $C$8:$C$57, 0), (COLUMNS($DC23:DJ23)-1)*5 + 4) = "F"), INDEX($CZ$8:$CZ$23, COLUMNS($DC23:DJ23)), "0"), "")</f>
        <v/>
      </c>
      <c r="DK23" s="395">
        <f t="array" ref="DK23">IFERROR(IF(AND(INDEX($E$8:$CE$57, MATCH($C23, $C$8:$C$57, 0), (COLUMNS($DC23:DK23)-1)*5 + 1) = INDEX($E$5:$CE$5, 1, (COLUMNS($DC23:DK23)-1)*5 + 1), INDEX($E$8:$CE$57, MATCH($C23, $C$8:$C$57, 0), (COLUMNS($DC23:DK23)-1)*5 + 4) = "F"), INDEX($CZ$8:$CZ$23, COLUMNS($DC23:DK23)), "0"), "")</f>
        <v/>
      </c>
      <c r="DL23" s="395">
        <f t="array" ref="DL23">IFERROR(IF(AND(INDEX($E$8:$CE$57, MATCH($C23, $C$8:$C$57, 0), (COLUMNS($DC23:DL23)-1)*5 + 1) = INDEX($E$5:$CE$5, 1, (COLUMNS($DC23:DL23)-1)*5 + 1), INDEX($E$8:$CE$57, MATCH($C23, $C$8:$C$57, 0), (COLUMNS($DC23:DL23)-1)*5 + 4) = "F"), INDEX($CZ$8:$CZ$23, COLUMNS($DC23:DL23)), "0"), "")</f>
        <v/>
      </c>
      <c r="DM23" s="395">
        <f t="array" ref="DM23">IFERROR(IF(AND(INDEX($E$8:$CE$57, MATCH($C23, $C$8:$C$57, 0), (COLUMNS($DC23:DM23)-1)*5 + 1) = INDEX($E$5:$CE$5, 1, (COLUMNS($DC23:DM23)-1)*5 + 1), INDEX($E$8:$CE$57, MATCH($C23, $C$8:$C$57, 0), (COLUMNS($DC23:DM23)-1)*5 + 4) = "F"), INDEX($CZ$8:$CZ$23, COLUMNS($DC23:DM23)), "0"), "")</f>
        <v/>
      </c>
      <c r="DN23" s="395">
        <f t="array" ref="DN23">IFERROR(IF(AND(INDEX($E$8:$CE$57, MATCH($C23, $C$8:$C$57, 0), (COLUMNS($DC23:DN23)-1)*5 + 1) = INDEX($E$5:$CE$5, 1, (COLUMNS($DC23:DN23)-1)*5 + 1), INDEX($E$8:$CE$57, MATCH($C23, $C$8:$C$57, 0), (COLUMNS($DC23:DN23)-1)*5 + 4) = "F"), INDEX($CZ$8:$CZ$23, COLUMNS($DC23:DN23)), "0"), "")</f>
        <v/>
      </c>
      <c r="DO23" s="395">
        <f t="array" ref="DO23">IFERROR(IF(AND(INDEX($E$8:$CE$57, MATCH($C23, $C$8:$C$57, 0), (COLUMNS($DC23:DO23)-1)*5 + 1) = INDEX($E$5:$CE$5, 1, (COLUMNS($DC23:DO23)-1)*5 + 1), INDEX($E$8:$CE$57, MATCH($C23, $C$8:$C$57, 0), (COLUMNS($DC23:DO23)-1)*5 + 4) = "F"), INDEX($CZ$8:$CZ$23, COLUMNS($DC23:DO23)), "0"), "")</f>
        <v/>
      </c>
      <c r="DP23" s="395">
        <f t="array" ref="DP23">IFERROR(IF(AND(INDEX($E$8:$CE$57, MATCH($C23, $C$8:$C$57, 0), (COLUMNS($DC23:DP23)-1)*5 + 1) = INDEX($E$5:$CE$5, 1, (COLUMNS($DC23:DP23)-1)*5 + 1), INDEX($E$8:$CE$57, MATCH($C23, $C$8:$C$57, 0), (COLUMNS($DC23:DP23)-1)*5 + 4) = "F"), INDEX($CZ$8:$CZ$23, COLUMNS($DC23:DP23)), "0"), "")</f>
        <v/>
      </c>
      <c r="DQ23" s="395">
        <f t="array" ref="DQ23">IFERROR(IF(AND(INDEX($E$8:$CE$57, MATCH($C23, $C$8:$C$57, 0), (COLUMNS($DC23:DQ23)-1)*5 + 1) = INDEX($E$5:$CE$5, 1, (COLUMNS($DC23:DQ23)-1)*5 + 1), INDEX($E$8:$CE$57, MATCH($C23, $C$8:$C$57, 0), (COLUMNS($DC23:DQ23)-1)*5 + 4) = "F"), INDEX($CZ$8:$CZ$23, COLUMNS($DC23:DQ23)), "0"), "")</f>
        <v/>
      </c>
      <c r="DR23" s="395">
        <f t="array" ref="DR23">IFERROR(IF(AND(INDEX($E$8:$CE$57, MATCH($C23, $C$8:$C$57, 0), (COLUMNS($DC23:DR23)-1)*5 + 1) = INDEX($E$5:$CE$5, 1, (COLUMNS($DC23:DR23)-1)*5 + 1), INDEX($E$8:$CE$57, MATCH($C23, $C$8:$C$57, 0), (COLUMNS($DC23:DR23)-1)*5 + 4) = "F"), INDEX($CZ$8:$CZ$23, COLUMNS($DC23:DR23)), "0"), "")</f>
        <v/>
      </c>
      <c r="DT23" s="605">
        <f>BASE01[[#This Row],[COD]]</f>
        <v/>
      </c>
      <c r="DU23" s="395">
        <f t="array" ref="DU23">IFERROR(IF(AND(INDEX($E$8:$CE$57, MATCH($C23, $C$8:$C$57, 0), (COLUMNS($DU23:DU23)-1)*5 + 1) = INDEX($E$5:$CE$5, 1, (COLUMNS($DU23:DU23)-1)*5 + 1), INDEX($E$8:$CE$57, MATCH($C23, $C$8:$C$57, 0), (COLUMNS($DU23:DU23)-1)*5 + 4) = "SF"), INDEX($CZ$8:$CZ$23, COLUMNS($DU23:DU23)), "0"), "")</f>
        <v/>
      </c>
      <c r="DV23" s="395">
        <f t="array" ref="DV23">IFERROR(IF(AND(INDEX($E$8:$CE$57, MATCH($C23, $C$8:$C$57, 0), (COLUMNS($DU23:DV23)-1)*5 + 1) = INDEX($E$5:$CE$5, 1, (COLUMNS($DU23:DV23)-1)*5 + 1), INDEX($E$8:$CE$57, MATCH($C23, $C$8:$C$57, 0), (COLUMNS($DU23:DV23)-1)*5 + 4) = "SF"), INDEX($CZ$8:$CZ$23, COLUMNS($DU23:DV23)), "0"), "")</f>
        <v/>
      </c>
      <c r="DW23" s="395">
        <f t="array" ref="DW23">IFERROR(IF(AND(INDEX($E$8:$CE$57, MATCH($C23, $C$8:$C$57, 0), (COLUMNS($DU23:DW23)-1)*5 + 1) = INDEX($E$5:$CE$5, 1, (COLUMNS($DU23:DW23)-1)*5 + 1), INDEX($E$8:$CE$57, MATCH($C23, $C$8:$C$57, 0), (COLUMNS($DU23:DW23)-1)*5 + 4) = "SF"), INDEX($CZ$8:$CZ$23, COLUMNS($DU23:DW23)), "0"), "")</f>
        <v/>
      </c>
      <c r="DX23" s="395">
        <f t="array" ref="DX23">IFERROR(IF(AND(INDEX($E$8:$CE$57, MATCH($C23, $C$8:$C$57, 0), (COLUMNS($DU23:DX23)-1)*5 + 1) = INDEX($E$5:$CE$5, 1, (COLUMNS($DU23:DX23)-1)*5 + 1), INDEX($E$8:$CE$57, MATCH($C23, $C$8:$C$57, 0), (COLUMNS($DU23:DX23)-1)*5 + 4) = "SF"), INDEX($CZ$8:$CZ$23, COLUMNS($DU23:DX23)), "0"), "")</f>
        <v/>
      </c>
      <c r="DY23" s="395">
        <f t="array" ref="DY23">IFERROR(IF(AND(INDEX($E$8:$CE$57, MATCH($C23, $C$8:$C$57, 0), (COLUMNS($DU23:DY23)-1)*5 + 1) = INDEX($E$5:$CE$5, 1, (COLUMNS($DU23:DY23)-1)*5 + 1), INDEX($E$8:$CE$57, MATCH($C23, $C$8:$C$57, 0), (COLUMNS($DU23:DY23)-1)*5 + 4) = "SF"), INDEX($CZ$8:$CZ$23, COLUMNS($DU23:DY23)), "0"), "")</f>
        <v/>
      </c>
      <c r="DZ23" s="395">
        <f t="array" ref="DZ23">IFERROR(IF(AND(INDEX($E$8:$CE$57, MATCH($C23, $C$8:$C$57, 0), (COLUMNS($DU23:DZ23)-1)*5 + 1) = INDEX($E$5:$CE$5, 1, (COLUMNS($DU23:DZ23)-1)*5 + 1), INDEX($E$8:$CE$57, MATCH($C23, $C$8:$C$57, 0), (COLUMNS($DU23:DZ23)-1)*5 + 4) = "SF"), INDEX($CZ$8:$CZ$23, COLUMNS($DU23:DZ23)), "0"), "")</f>
        <v/>
      </c>
      <c r="EA23" s="395">
        <f t="array" ref="EA23">IFERROR(IF(AND(INDEX($E$8:$CE$57, MATCH($C23, $C$8:$C$57, 0), (COLUMNS($DU23:EA23)-1)*5 + 1) = INDEX($E$5:$CE$5, 1, (COLUMNS($DU23:EA23)-1)*5 + 1), INDEX($E$8:$CE$57, MATCH($C23, $C$8:$C$57, 0), (COLUMNS($DU23:EA23)-1)*5 + 4) = "SF"), INDEX($CZ$8:$CZ$23, COLUMNS($DU23:EA23)), "0"), "")</f>
        <v/>
      </c>
      <c r="EB23" s="395">
        <f t="array" ref="EB23">IFERROR(IF(AND(INDEX($E$8:$CE$57, MATCH($C23, $C$8:$C$57, 0), (COLUMNS($DU23:EB23)-1)*5 + 1) = INDEX($E$5:$CE$5, 1, (COLUMNS($DU23:EB23)-1)*5 + 1), INDEX($E$8:$CE$57, MATCH($C23, $C$8:$C$57, 0), (COLUMNS($DU23:EB23)-1)*5 + 4) = "SF"), INDEX($CZ$8:$CZ$23, COLUMNS($DU23:EB23)), "0"), "")</f>
        <v/>
      </c>
      <c r="EC23" s="395">
        <f t="array" ref="EC23">IFERROR(IF(AND(INDEX($E$8:$CE$57, MATCH($C23, $C$8:$C$57, 0), (COLUMNS($DU23:EC23)-1)*5 + 1) = INDEX($E$5:$CE$5, 1, (COLUMNS($DU23:EC23)-1)*5 + 1), INDEX($E$8:$CE$57, MATCH($C23, $C$8:$C$57, 0), (COLUMNS($DU23:EC23)-1)*5 + 4) = "SF"), INDEX($CZ$8:$CZ$23, COLUMNS($DU23:EC23)), "0"), "")</f>
        <v/>
      </c>
      <c r="ED23" s="395">
        <f t="array" ref="ED23">IFERROR(IF(AND(INDEX($E$8:$CE$57, MATCH($C23, $C$8:$C$57, 0), (COLUMNS($DU23:ED23)-1)*5 + 1) = INDEX($E$5:$CE$5, 1, (COLUMNS($DU23:ED23)-1)*5 + 1), INDEX($E$8:$CE$57, MATCH($C23, $C$8:$C$57, 0), (COLUMNS($DU23:ED23)-1)*5 + 4) = "SF"), INDEX($CZ$8:$CZ$23, COLUMNS($DU23:ED23)), "0"), "")</f>
        <v/>
      </c>
      <c r="EE23" s="395">
        <f t="array" ref="EE23">IFERROR(IF(AND(INDEX($E$8:$CE$57, MATCH($C23, $C$8:$C$57, 0), (COLUMNS($DU23:EE23)-1)*5 + 1) = INDEX($E$5:$CE$5, 1, (COLUMNS($DU23:EE23)-1)*5 + 1), INDEX($E$8:$CE$57, MATCH($C23, $C$8:$C$57, 0), (COLUMNS($DU23:EE23)-1)*5 + 4) = "SF"), INDEX($CZ$8:$CZ$23, COLUMNS($DU23:EE23)), "0"), "")</f>
        <v/>
      </c>
      <c r="EF23" s="395">
        <f t="array" ref="EF23">IFERROR(IF(AND(INDEX($E$8:$CE$57, MATCH($C23, $C$8:$C$57, 0), (COLUMNS($DU23:EF23)-1)*5 + 1) = INDEX($E$5:$CE$5, 1, (COLUMNS($DU23:EF23)-1)*5 + 1), INDEX($E$8:$CE$57, MATCH($C23, $C$8:$C$57, 0), (COLUMNS($DU23:EF23)-1)*5 + 4) = "SF"), INDEX($CZ$8:$CZ$23, COLUMNS($DU23:EF23)), "0"), "")</f>
        <v/>
      </c>
      <c r="EG23" s="395">
        <f t="array" ref="EG23">IFERROR(IF(AND(INDEX($E$8:$CE$57, MATCH($C23, $C$8:$C$57, 0), (COLUMNS($DU23:EG23)-1)*5 + 1) = INDEX($E$5:$CE$5, 1, (COLUMNS($DU23:EG23)-1)*5 + 1), INDEX($E$8:$CE$57, MATCH($C23, $C$8:$C$57, 0), (COLUMNS($DU23:EG23)-1)*5 + 4) = "SF"), INDEX($CZ$8:$CZ$23, COLUMNS($DU23:EG23)), "0"), "")</f>
        <v/>
      </c>
      <c r="EH23" s="395">
        <f t="array" ref="EH23">IFERROR(IF(AND(INDEX($E$8:$CE$57, MATCH($C23, $C$8:$C$57, 0), (COLUMNS($DU23:EH23)-1)*5 + 1) = INDEX($E$5:$CE$5, 1, (COLUMNS($DU23:EH23)-1)*5 + 1), INDEX($E$8:$CE$57, MATCH($C23, $C$8:$C$57, 0), (COLUMNS($DU23:EH23)-1)*5 + 4) = "SF"), INDEX($CZ$8:$CZ$23, COLUMNS($DU23:EH23)), "0"), "")</f>
        <v/>
      </c>
      <c r="EI23" s="395">
        <f t="array" ref="EI23">IFERROR(IF(AND(INDEX($E$8:$CE$57, MATCH($C23, $C$8:$C$57, 0), (COLUMNS($DU23:EI23)-1)*5 + 1) = INDEX($E$5:$CE$5, 1, (COLUMNS($DU23:EI23)-1)*5 + 1), INDEX($E$8:$CE$57, MATCH($C23, $C$8:$C$57, 0), (COLUMNS($DU23:EI23)-1)*5 + 4) = "SF"), INDEX($CZ$8:$CZ$23, COLUMNS($DU23:EI23)), "0"), "")</f>
        <v/>
      </c>
      <c r="EJ23" s="395">
        <f t="array" ref="EJ23">IFERROR(IF(AND(INDEX($E$8:$CE$57, MATCH($C23, $C$8:$C$57, 0), (COLUMNS($DU23:EJ23)-1)*5 + 1) = INDEX($E$5:$CE$5, 1, (COLUMNS($DU23:EJ23)-1)*5 + 1), INDEX($E$8:$CE$57, MATCH($C23, $C$8:$C$57, 0), (COLUMNS($DU23:EJ23)-1)*5 + 4) = "SF"), INDEX($CZ$8:$CZ$23, COLUMNS($DU23:EJ23)), "0"), "")</f>
        <v/>
      </c>
    </row>
    <row r="24" ht="20.1" customHeight="1" s="568">
      <c r="A24" s="576" t="n"/>
      <c r="B24" s="92">
        <f>IF(BASE01[[#This Row],[COD]]&lt;&gt;"",B23+1,"")</f>
        <v/>
      </c>
      <c r="C24" s="601" t="inlineStr">
        <is>
          <t>COD 17</t>
        </is>
      </c>
      <c r="D24" s="93">
        <f t="array" ref="D24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4" s="145" t="n">
        <v>1</v>
      </c>
      <c r="F24" s="147" t="n">
        <v>8</v>
      </c>
      <c r="G24" s="147" t="n">
        <v>4</v>
      </c>
      <c r="H24" s="147" t="n"/>
      <c r="I24" s="602">
        <f>SUM(IF(E24=E$5,4,0),IF(E24&amp;F24=E$5&amp;F$5,1,0),
IF(AND(E24=E$5,F$6&gt;=$D$115),1,0),
IF(AND(F24=E$5,F$6&gt;=$D$115),1,0),
IF(AND(G24=E$5,F$6&gt;=$D$115),1,0),
IF(E24&amp;H24=I$5,1,0),
IF(F24=E$5,2,0),
IF(G24=E$5,1,0),
IF(OR(E24&amp;F24&amp;G24=E$5&amp;F$5&amp;G$5,E24&amp;F24&amp;G24=E$5&amp;G$5&amp;F$5,E24&amp;F24&amp;G24=F$5&amp;E$5&amp;G$5,E24&amp;F24&amp;G24=F$5&amp;G$5&amp;E$5,E24&amp;F24&amp;G24=G$5&amp;E$5&amp;F$5,E24&amp;F24&amp;G24=G$5&amp;F$5&amp;E$5),2,0),IF(AND(E24=E$5,F$6&gt;=$D$129),1,0),IF(AND(F24=E$5,F$6&gt;=$D$129),1,0),IF(AND(G24=E$5,F$6&gt;=$D$129),1,0),IF(E24&amp;H24=H$5,4,0),IF(AND(E24=E$5,F$6&lt;=$D$104),-0.5,0),IF(AND(F24=E$5,F$6&lt;=$D$104),-0.5,0),IF(AND(G24=E$5,F$6&lt;=$D$104),-0.5,0))</f>
        <v/>
      </c>
      <c r="J24" s="145" t="n">
        <v>3</v>
      </c>
      <c r="K24" s="147" t="n">
        <v>5</v>
      </c>
      <c r="L24" s="147" t="n">
        <v>2</v>
      </c>
      <c r="M24" s="147" t="n"/>
      <c r="N24" s="602">
        <f>SUM(IF(J24=J$5,4,0),IF(J24&amp;K24=J$5&amp;K$5,1,0),
IF(AND(J24=J$5,K$6&gt;=$D$115),1,0),
IF(AND(K24=J$5,K$6&gt;=$D$115),1,0),
IF(AND(L24=J$5,K$6&gt;=$D$115),1,0),
IF(J24&amp;M24=N$5,1,0),
IF(K24=J$5,2,0),
IF(L24=J$5,1,0),
IF(OR(J24&amp;K24&amp;L24=J$5&amp;K$5&amp;L$5,J24&amp;K24&amp;L24=J$5&amp;L$5&amp;K$5,J24&amp;K24&amp;L24=K$5&amp;J$5&amp;L$5,J24&amp;K24&amp;L24=K$5&amp;L$5&amp;J$5,J24&amp;K24&amp;L24=L$5&amp;J$5&amp;K$5,J24&amp;K24&amp;L24=L$5&amp;K$5&amp;J$5),2,0),IF(AND(J24=J$5,K$6&gt;=$D$129),1,0),IF(AND(K24=J$5,K$6&gt;=$D$129),1,0),IF(AND(L24=J$5,K$6&gt;=$D$129),1,0),IF(J24&amp;M24=M$5,4,0),IF(AND(J24=J$5,K$6&lt;=$D$104),-0.5,0),IF(AND(K24=J$5,K$6&lt;=$D$104),-0.5,0),IF(AND(L24=J$5,K$6&lt;=$D$104),-0.5,0))</f>
        <v/>
      </c>
      <c r="O24" s="145" t="n">
        <v>8</v>
      </c>
      <c r="P24" s="147" t="n">
        <v>7</v>
      </c>
      <c r="Q24" s="147" t="n">
        <v>2</v>
      </c>
      <c r="R24" s="147" t="n"/>
      <c r="S24" s="602">
        <f>SUM(IF(O24=O$5,4,0),IF(O24&amp;P24=O$5&amp;P$5,1,0),
IF(AND(O24=O$5,P$6&gt;=$D$115),1,0),
IF(AND(P24=O$5,P$6&gt;=$D$115),1,0),
IF(AND(Q24=O$5,P$6&gt;=$D$115),1,0),
IF(O24&amp;R24=S$5,1,0),
IF(P24=O$5,2,0),
IF(Q24=O$5,1,0),
IF(OR(O24&amp;P24&amp;Q24=O$5&amp;P$5&amp;Q$5,O24&amp;P24&amp;Q24=O$5&amp;Q$5&amp;P$5,O24&amp;P24&amp;Q24=P$5&amp;O$5&amp;Q$5,O24&amp;P24&amp;Q24=P$5&amp;Q$5&amp;O$5,O24&amp;P24&amp;Q24=Q$5&amp;O$5&amp;P$5,O24&amp;P24&amp;Q24=Q$5&amp;P$5&amp;O$5),2,0),IF(AND(O24=O$5,P$6&gt;=$D$129),1,0),IF(AND(P24=O$5,P$6&gt;=$D$129),1,0),IF(AND(Q24=O$5,P$6&gt;=$D$129),1,0),IF(O24&amp;R24=R$5,4,0),IF(AND(O24=O$5,P$6&lt;=$D$104),-0.5,0),IF(AND(P24=O$5,P$6&lt;=$D$104),-0.5,0),IF(AND(Q24=O$5,P$6&lt;=$D$104),-0.5,0))</f>
        <v/>
      </c>
      <c r="T24" s="145" t="n">
        <v>6</v>
      </c>
      <c r="U24" s="147" t="n">
        <v>9</v>
      </c>
      <c r="V24" s="147" t="n">
        <v>1</v>
      </c>
      <c r="W24" s="147" t="inlineStr">
        <is>
          <t>F</t>
        </is>
      </c>
      <c r="X24" s="602">
        <f>SUM(IF(T24=T$5,4,0),IF(T24&amp;U24=T$5&amp;U$5,1,0),
IF(AND(T24=T$5,U$6&gt;=$D$115),1,0),
IF(AND(U24=T$5,U$6&gt;=$D$115),1,0),
IF(AND(V24=T$5,U$6&gt;=$D$115),1,0),
IF(T24&amp;W24=X$5,1,0),
IF(U24=T$5,2,0),
IF(V24=T$5,1,0),
IF(OR(T24&amp;U24&amp;V24=T$5&amp;U$5&amp;V$5,T24&amp;U24&amp;V24=T$5&amp;V$5&amp;U$5,T24&amp;U24&amp;V24=U$5&amp;T$5&amp;V$5,T24&amp;U24&amp;V24=U$5&amp;V$5&amp;T$5,T24&amp;U24&amp;V24=V$5&amp;T$5&amp;U$5,T24&amp;U24&amp;V24=V$5&amp;U$5&amp;T$5),2,0),IF(AND(T24=T$5,U$6&gt;=$D$129),1,0),IF(AND(U24=T$5,U$6&gt;=$D$129),1,0),IF(AND(V24=T$5,U$6&gt;=$D$129),1,0),IF(T24&amp;W24=W$5,4,0),IF(AND(T24=T$5,U$6&lt;=$D$104),-0.5,0),IF(AND(U24=T$5,U$6&lt;=$D$104),-0.5,0),IF(AND(V24=T$5,U$6&lt;=$D$104),-0.5,0))</f>
        <v/>
      </c>
      <c r="Y24" s="145" t="n">
        <v>5</v>
      </c>
      <c r="Z24" s="147" t="n"/>
      <c r="AA24" s="147" t="n"/>
      <c r="AB24" s="147" t="inlineStr">
        <is>
          <t>SF</t>
        </is>
      </c>
      <c r="AC24" s="602">
        <f>SUM(IF(Y24=Y$5,4,0),IF(Y24&amp;Z24=Y$5&amp;Z$5,1,0),
IF(AND(Y24=Y$5,Z$6&gt;=$D$115),1,0),
IF(AND(Z24=Y$5,Z$6&gt;=$D$115),1,0),
IF(AND(AA24=Y$5,Z$6&gt;=$D$115),1,0),
IF(Y24&amp;AB24=AC$5,1,0),
IF(Z24=Y$5,2,0),
IF(AA24=Y$5,1,0),
IF(OR(Y24&amp;Z24&amp;AA24=Y$5&amp;Z$5&amp;AA$5,Y24&amp;Z24&amp;AA24=Y$5&amp;AA$5&amp;Z$5,Y24&amp;Z24&amp;AA24=Z$5&amp;Y$5&amp;AA$5,Y24&amp;Z24&amp;AA24=Z$5&amp;AA$5&amp;Y$5,Y24&amp;Z24&amp;AA24=AA$5&amp;Y$5&amp;Z$5,Y24&amp;Z24&amp;AA24=AA$5&amp;Z$5&amp;Y$5),2,0),IF(AND(Y24=Y$5,Z$6&gt;=$D$129),1,0),IF(AND(Z24=Y$5,Z$6&gt;=$D$129),1,0),IF(AND(AA24=Y$5,Z$6&gt;=$D$129),1,0),IF(Y24&amp;AB24=AB$5,4,0),IF(AND(Y24=Y$5,Z$6&lt;=$D$104),-0.5,0),IF(AND(Z24=Y$5,Z$6&lt;=$D$104),-0.5,0),IF(AND(AA24=Y$5,Z$6&lt;=$D$104),-0.5,0))</f>
        <v/>
      </c>
      <c r="AD24" s="145" t="n">
        <v>2</v>
      </c>
      <c r="AE24" s="147" t="n">
        <v>3</v>
      </c>
      <c r="AF24" s="147" t="n">
        <v>7</v>
      </c>
      <c r="AG24" s="147" t="n"/>
      <c r="AH24" s="602">
        <f>SUM(IF(AD24=AD$5,4,0),IF(AD24&amp;AE24=AD$5&amp;AE$5,1,0),
IF(AND(AD24=AD$5,AE$6&gt;=$D$115),1,0),
IF(AND(AE24=AD$5,AE$6&gt;=$D$115),1,0),
IF(AND(AF24=AD$5,AE$6&gt;=$D$115),1,0),
IF(AD24&amp;AG24=AH$5,1,0),
IF(AE24=AD$5,2,0),
IF(AF24=AD$5,1,0),
IF(OR(AD24&amp;AE24&amp;AF24=AD$5&amp;AE$5&amp;AF$5,AD24&amp;AE24&amp;AF24=AD$5&amp;AF$5&amp;AE$5,AD24&amp;AE24&amp;AF24=AE$5&amp;AD$5&amp;AF$5,AD24&amp;AE24&amp;AF24=AE$5&amp;AF$5&amp;AD$5,AD24&amp;AE24&amp;AF24=AF$5&amp;AD$5&amp;AE$5,AD24&amp;AE24&amp;AF24=AF$5&amp;AE$5&amp;AD$5),2,0),IF(AND(AD24=AD$5,AE$6&gt;=$D$129),1,0),IF(AND(AE24=AD$5,AE$6&gt;=$D$129),1,0),IF(AND(AF24=AD$5,AE$6&gt;=$D$129),1,0),IF(AD24&amp;AG24=AG$5,4,0),IF(AND(AD24=AD$5,AE$6&lt;=$D$104),-0.5,0),IF(AND(AE24=AD$5,AE$6&lt;=$D$104),-0.5,0),IF(AND(AF24=AD$5,AE$6&lt;=$D$104),-0.5,0))</f>
        <v/>
      </c>
      <c r="AI24" s="145" t="n">
        <v>7</v>
      </c>
      <c r="AJ24" s="147" t="n">
        <v>3</v>
      </c>
      <c r="AK24" s="147" t="n">
        <v>6</v>
      </c>
      <c r="AL24" s="147" t="n"/>
      <c r="AM24" s="602">
        <f>SUM(IF(AI24=AI$5,4,0),IF(AI24&amp;AJ24=AI$5&amp;AJ$5,1,0),
IF(AND(AI24=AI$5,AJ$6&gt;=$D$115),1,0),
IF(AND(AJ24=AI$5,AJ$6&gt;=$D$115),1,0),
IF(AND(AK24=AI$5,AJ$6&gt;=$D$115),1,0),
IF(AI24&amp;AL24=AM$5,1,0),
IF(AJ24=AI$5,2,0),
IF(AK24=AI$5,1,0),
IF(OR(AI24&amp;AJ24&amp;AK24=AI$5&amp;AJ$5&amp;AK$5,AI24&amp;AJ24&amp;AK24=AI$5&amp;AK$5&amp;AJ$5,AI24&amp;AJ24&amp;AK24=AJ$5&amp;AI$5&amp;AK$5,AI24&amp;AJ24&amp;AK24=AJ$5&amp;AK$5&amp;AI$5,AI24&amp;AJ24&amp;AK24=AK$5&amp;AI$5&amp;AJ$5,AI24&amp;AJ24&amp;AK24=AK$5&amp;AJ$5&amp;AI$5),2,0),IF(AND(AI24=AI$5,AJ$6&gt;=$D$129),1,0),IF(AND(AJ24=AI$5,AJ$6&gt;=$D$129),1,0),IF(AND(AK24=AI$5,AJ$6&gt;=$D$129),1,0),IF(AI24&amp;AL24=AL$5,4,0),IF(AND(AI24=AI$5,AJ$6&lt;=$D$104),-0.5,0),IF(AND(AJ24=AI$5,AJ$6&lt;=$D$104),-0.5,0),IF(AND(AK24=AI$5,AJ$6&lt;=$D$104),-0.5,0))</f>
        <v/>
      </c>
      <c r="AN24" s="145" t="n">
        <v>9</v>
      </c>
      <c r="AO24" s="147" t="n">
        <v>1</v>
      </c>
      <c r="AP24" s="147" t="n">
        <v>5</v>
      </c>
      <c r="AQ24" s="147" t="inlineStr">
        <is>
          <t>F</t>
        </is>
      </c>
      <c r="AR24" s="602">
        <f>SUM(IF(AN24=AN$5,4,0),IF(AN24&amp;AO24=AN$5&amp;AO$5,1,0),
IF(AND(AN24=AN$5,AO$6&gt;=$D$115),1,0),
IF(AND(AO24=AN$5,AO$6&gt;=$D$115),1,0),
IF(AND(AP24=AN$5,AO$6&gt;=$D$115),1,0),
IF(AN24&amp;AQ24=AR$5,1,0),
IF(AO24=AN$5,2,0),
IF(AP24=AN$5,1,0),
IF(OR(AN24&amp;AO24&amp;AP24=AN$5&amp;AO$5&amp;AP$5,AN24&amp;AO24&amp;AP24=AN$5&amp;AP$5&amp;AO$5,AN24&amp;AO24&amp;AP24=AO$5&amp;AN$5&amp;AP$5,AN24&amp;AO24&amp;AP24=AO$5&amp;AP$5&amp;AN$5,AN24&amp;AO24&amp;AP24=AP$5&amp;AN$5&amp;AO$5,AN24&amp;AO24&amp;AP24=AP$5&amp;AO$5&amp;AN$5),2,0),IF(AND(AN24=AN$5,AO$6&gt;=$D$129),1,0),IF(AND(AO24=AN$5,AO$6&gt;=$D$129),1,0),IF(AND(AP24=AN$5,AO$6&gt;=$D$129),1,0),IF(AN24&amp;AQ24=AQ$5,4,0),IF(AND(AN24=AN$5,AO$6&lt;=$D$104),-0.5,0),IF(AND(AO24=AN$5,AO$6&lt;=$D$104),-0.5,0),IF(AND(AP24=AN$5,AO$6&lt;=$D$104),-0.5,0))</f>
        <v/>
      </c>
      <c r="AS24" s="145" t="n">
        <v>7</v>
      </c>
      <c r="AT24" s="147" t="n">
        <v>1</v>
      </c>
      <c r="AU24" s="147" t="n">
        <v>3</v>
      </c>
      <c r="AV24" s="147" t="n"/>
      <c r="AW24" s="602">
        <f>SUM(IF(AS24=AS$5,4,0),IF(AS24&amp;AT24=AS$5&amp;AT$5,1,0),
IF(AND(AS24=AS$5,AT$6&gt;=$D$115),1,0),
IF(AND(AT24=AS$5,AT$6&gt;=$D$115),1,0),
IF(AND(AU24=AS$5,AT$6&gt;=$D$115),1,0),
IF(AS24&amp;AV24=AW$5,1,0),
IF(AT24=AS$5,2,0),
IF(AU24=AS$5,1,0),
IF(OR(AS24&amp;AT24&amp;AU24=AS$5&amp;AT$5&amp;AU$5,AS24&amp;AT24&amp;AU24=AS$5&amp;AU$5&amp;AT$5,AS24&amp;AT24&amp;AU24=AT$5&amp;AS$5&amp;AU$5,AS24&amp;AT24&amp;AU24=AT$5&amp;AU$5&amp;AS$5,AS24&amp;AT24&amp;AU24=AU$5&amp;AS$5&amp;AT$5,AS24&amp;AT24&amp;AU24=AU$5&amp;AT$5&amp;AS$5),2,0),IF(AND(AS24=AS$5,AT$6&gt;=$D$129),1,0),IF(AND(AT24=AS$5,AT$6&gt;=$D$129),1,0),IF(AND(AU24=AS$5,AT$6&gt;=$D$129),1,0),IF(AS24&amp;AV24=AV$5,4,0),IF(AND(AS24=AS$5,AT$6&lt;=$D$104),-0.5,0),IF(AND(AT24=AS$5,AT$6&lt;=$D$104),-0.5,0),IF(AND(AU24=AS$5,AT$6&lt;=$D$104),-0.5,0))</f>
        <v/>
      </c>
      <c r="AX24" s="145" t="n">
        <v>9</v>
      </c>
      <c r="AY24" s="147" t="n">
        <v>1</v>
      </c>
      <c r="AZ24" s="147" t="n">
        <v>8</v>
      </c>
      <c r="BA24" s="147" t="n"/>
      <c r="BB24" s="602">
        <f>SUM(IF(AX24=AX$5,4,0),IF(AX24&amp;AY24=AX$5&amp;AY$5,1,0),
IF(AND(AX24=AX$5,AY$6&gt;=$D$115),1,0),
IF(AND(AY24=AX$5,AY$6&gt;=$D$115),1,0),
IF(AND(AZ24=AX$5,AY$6&gt;=$D$115),1,0),
IF(AX24&amp;BA24=BB$5,1,0),
IF(AY24=AX$5,2,0),
IF(AZ24=AX$5,1,0),
IF(OR(AX24&amp;AY24&amp;AZ24=AX$5&amp;AY$5&amp;AZ$5,AX24&amp;AY24&amp;AZ24=AX$5&amp;AZ$5&amp;AY$5,AX24&amp;AY24&amp;AZ24=AY$5&amp;AX$5&amp;AZ$5,AX24&amp;AY24&amp;AZ24=AY$5&amp;AZ$5&amp;AX$5,AX24&amp;AY24&amp;AZ24=AZ$5&amp;AX$5&amp;AY$5,AX24&amp;AY24&amp;AZ24=AZ$5&amp;AY$5&amp;AX$5),2,0),IF(AND(AX24=AX$5,AY$6&gt;=$D$129),1,0),IF(AND(AY24=AX$5,AY$6&gt;=$D$129),1,0),IF(AND(AZ24=AX$5,AY$6&gt;=$D$129),1,0),IF(AX24&amp;BA24=BA$5,4,0),IF(AND(AX24=AX$5,AY$6&lt;=$D$104),-0.5,0),IF(AND(AY24=AX$5,AY$6&lt;=$D$104),-0.5,0),IF(AND(AZ24=AX$5,AY$6&lt;=$D$104),-0.5,0))</f>
        <v/>
      </c>
      <c r="BC24" s="145" t="n">
        <v>5</v>
      </c>
      <c r="BD24" s="147" t="n">
        <v>3</v>
      </c>
      <c r="BE24" s="147" t="n">
        <v>8</v>
      </c>
      <c r="BF24" s="147" t="n"/>
      <c r="BG24" s="602">
        <f>SUM(IF(BC24=BC$5,4,0),IF(BC24&amp;BD24=BC$5&amp;BD$5,1,0),
IF(AND(BC24=BC$5,BD$6&gt;=$D$115),1,0),
IF(AND(BD24=BC$5,BD$6&gt;=$D$115),1,0),
IF(AND(BE24=BC$5,BD$6&gt;=$D$115),1,0),
IF(BC24&amp;BF24=BG$5,1,0),
IF(BD24=BC$5,2,0),
IF(BE24=BC$5,1,0),
IF(OR(BC24&amp;BD24&amp;BE24=BC$5&amp;BD$5&amp;BE$5,BC24&amp;BD24&amp;BE24=BC$5&amp;BE$5&amp;BD$5,BC24&amp;BD24&amp;BE24=BD$5&amp;BC$5&amp;BE$5,BC24&amp;BD24&amp;BE24=BD$5&amp;BE$5&amp;BC$5,BC24&amp;BD24&amp;BE24=BE$5&amp;BC$5&amp;BD$5,BC24&amp;BD24&amp;BE24=BE$5&amp;BD$5&amp;BC$5),2,0),IF(AND(BC24=BC$5,BD$6&gt;=$D$129),1,0),IF(AND(BD24=BC$5,BD$6&gt;=$D$129),1,0),IF(AND(BE24=BC$5,BD$6&gt;=$D$129),1,0),IF(BC24&amp;BF24=BF$5,4,0),IF(AND(BC24=BC$5,BD$6&lt;=$D$104),-0.5,0),IF(AND(BD24=BC$5,BD$6&lt;=$D$104),-0.5,0),IF(AND(BE24=BC$5,BD$6&lt;=$D$104),-0.5,0))</f>
        <v/>
      </c>
      <c r="BH24" s="145" t="n">
        <v>1</v>
      </c>
      <c r="BI24" s="147" t="n">
        <v>3</v>
      </c>
      <c r="BJ24" s="147" t="n">
        <v>8</v>
      </c>
      <c r="BK24" s="147" t="n"/>
      <c r="BL24" s="602">
        <f>SUM(IF(BH24=BH$5,4,0),IF(BH24&amp;BI24=BH$5&amp;BI$5,1,0),
IF(AND(BH24=BH$5,BI$6&gt;=$D$115),1,0),
IF(AND(BI24=BH$5,BI$6&gt;=$D$115),1,0),
IF(AND(BJ24=BH$5,BI$6&gt;=$D$115),1,0),
IF(BH24&amp;BK24=BL$5,1,0),
IF(BI24=BH$5,2,0),
IF(BJ24=BH$5,1,0),
IF(OR(BH24&amp;BI24&amp;BJ24=BH$5&amp;BI$5&amp;BJ$5,BH24&amp;BI24&amp;BJ24=BH$5&amp;BJ$5&amp;BI$5,BH24&amp;BI24&amp;BJ24=BI$5&amp;BH$5&amp;BJ$5,BH24&amp;BI24&amp;BJ24=BI$5&amp;BJ$5&amp;BH$5,BH24&amp;BI24&amp;BJ24=BJ$5&amp;BH$5&amp;BI$5,BH24&amp;BI24&amp;BJ24=BJ$5&amp;BI$5&amp;BH$5),2,0),IF(AND(BH24=BH$5,BI$6&gt;=$D$129),1,0),IF(AND(BI24=BH$5,BI$6&gt;=$D$129),1,0),IF(AND(BJ24=BH$5,BI$6&gt;=$D$129),1,0),IF(BH24&amp;BK24=BK$5,4,0),IF(AND(BH24=BH$5,BI$6&lt;=$D$104),-0.5,0),IF(AND(BI24=BH$5,BI$6&lt;=$D$104),-0.5,0),IF(AND(BJ24=BH$5,BI$6&lt;=$D$104),-0.5,0))</f>
        <v/>
      </c>
      <c r="BM24" s="145" t="n">
        <v>1</v>
      </c>
      <c r="BN24" s="147" t="n">
        <v>3</v>
      </c>
      <c r="BO24" s="147" t="n">
        <v>5</v>
      </c>
      <c r="BP24" s="147" t="n"/>
      <c r="BQ24" s="602">
        <f>SUM(IF(BM24=BM$5,4,0),IF(BM24&amp;BN24=BM$5&amp;BN$5,1,0),
IF(AND(BM24=BM$5,BN$6&gt;=$D$115),1,0),
IF(AND(BN24=BM$5,BN$6&gt;=$D$115),1,0),
IF(AND(BO24=BM$5,BN$6&gt;=$D$115),1,0),
IF(BM24&amp;BP24=BQ$5,1,0),
IF(BN24=BM$5,2,0),
IF(BO24=BM$5,1,0),
IF(OR(BM24&amp;BN24&amp;BO24=BM$5&amp;BN$5&amp;BO$5,BM24&amp;BN24&amp;BO24=BM$5&amp;BO$5&amp;BN$5,BM24&amp;BN24&amp;BO24=BN$5&amp;BM$5&amp;BO$5,BM24&amp;BN24&amp;BO24=BN$5&amp;BO$5&amp;BM$5,BM24&amp;BN24&amp;BO24=BO$5&amp;BM$5&amp;BN$5,BM24&amp;BN24&amp;BO24=BO$5&amp;BN$5&amp;BM$5),2,0),IF(AND(BM24=BM$5,BN$6&gt;=$D$129),1,0),IF(AND(BN24=BM$5,BN$6&gt;=$D$129),1,0),IF(AND(BO24=BM$5,BN$6&gt;=$D$129),1,0),IF(BM24&amp;BP24=BP$5,4,0),IF(AND(BM24=BM$5,BN$6&lt;=$D$104),-0.5,0),IF(AND(BN24=BM$5,BN$6&lt;=$D$104),-0.5,0),IF(AND(BO24=BM$5,BN$6&lt;=$D$104),-0.5,0))</f>
        <v/>
      </c>
      <c r="BR24" s="145" t="n"/>
      <c r="BS24" s="147" t="n"/>
      <c r="BT24" s="147" t="n"/>
      <c r="BU24" s="147" t="n"/>
      <c r="BV24" s="602">
        <f>SUM(IF(BR24=BR$5,4,0),IF(BR24&amp;BS24=BR$5&amp;BS$5,1,0),
IF(AND(BR24=BR$5,BS$6&gt;=$D$115),1,0),
IF(AND(BS24=BR$5,BS$6&gt;=$D$115),1,0),
IF(AND(BT24=BR$5,BS$6&gt;=$D$115),1,0),
IF(BR24&amp;BU24=BV$5,1,0),
IF(BS24=BR$5,2,0),
IF(BT24=BR$5,1,0),
IF(OR(BR24&amp;BS24&amp;BT24=BR$5&amp;BS$5&amp;BT$5,BR24&amp;BS24&amp;BT24=BR$5&amp;BT$5&amp;BS$5,BR24&amp;BS24&amp;BT24=BS$5&amp;BR$5&amp;BT$5,BR24&amp;BS24&amp;BT24=BS$5&amp;BT$5&amp;BR$5,BR24&amp;BS24&amp;BT24=BT$5&amp;BR$5&amp;BS$5,BR24&amp;BS24&amp;BT24=BT$5&amp;BS$5&amp;BR$5),2,0),IF(AND(BR24=BR$5,BS$6&gt;=$D$129),1,0),IF(AND(BS24=BR$5,BS$6&gt;=$D$129),1,0),IF(AND(BT24=BR$5,BS$6&gt;=$D$129),1,0),IF(BR24&amp;BU24=BU$5,4,0),IF(AND(BR24=BR$5,BS$6&lt;=$D$104),-0.5,0),IF(AND(BS24=BR$5,BS$6&lt;=$D$104),-0.5,0),IF(AND(BT24=BR$5,BS$6&lt;=$D$104),-0.5,0))</f>
        <v/>
      </c>
      <c r="BW24" s="145" t="n"/>
      <c r="BX24" s="147" t="n"/>
      <c r="BY24" s="147" t="n"/>
      <c r="BZ24" s="147" t="n"/>
      <c r="CA24" s="602">
        <f>SUM(IF(BW24=BW$5,4,0),IF(BW24&amp;BX24=BW$5&amp;BX$5,1,0),
IF(AND(BW24=BW$5,BX$6&gt;=$D$115),1,0),
IF(AND(BX24=BW$5,BX$6&gt;=$D$115),1,0),
IF(AND(BY24=BW$5,BX$6&gt;=$D$115),1,0),
IF(BW24&amp;BZ24=CA$5,1,0),
IF(BX24=BW$5,2,0),
IF(BY24=BW$5,1,0),
IF(OR(BW24&amp;BX24&amp;BY24=BW$5&amp;BX$5&amp;BY$5,BW24&amp;BX24&amp;BY24=BW$5&amp;BY$5&amp;BX$5,BW24&amp;BX24&amp;BY24=BX$5&amp;BW$5&amp;BY$5,BW24&amp;BX24&amp;BY24=BX$5&amp;BY$5&amp;BW$5,BW24&amp;BX24&amp;BY24=BY$5&amp;BW$5&amp;BX$5,BW24&amp;BX24&amp;BY24=BY$5&amp;BX$5&amp;BW$5),2,0),IF(AND(BW24=BW$5,BX$6&gt;=$D$129),1,0),IF(AND(BX24=BW$5,BX$6&gt;=$D$129),1,0),IF(AND(BY24=BW$5,BX$6&gt;=$D$129),1,0),IF(BW24&amp;BZ24=BZ$5,4,0),IF(AND(BW24=BW$5,BX$6&lt;=$D$104),-0.5,0),IF(AND(BX24=BW$5,BX$6&lt;=$D$104),-0.5,0),IF(AND(BY24=BW$5,BX$6&lt;=$D$104),-0.5,0))</f>
        <v/>
      </c>
      <c r="CB24" s="145" t="n"/>
      <c r="CC24" s="147" t="n"/>
      <c r="CD24" s="147" t="n"/>
      <c r="CE24" s="147" t="n"/>
      <c r="CF24" s="602">
        <f>SUM(IF(CB24=CB$5,4,0),IF(CB24&amp;CC24=CB$5&amp;CC$5,1,0),
IF(AND(CB24=CB$5,CC$6&gt;=$D$115),1,0),
IF(AND(CC24=CB$5,CC$6&gt;=$D$115),1,0),
IF(AND(CD24=CB$5,CC$6&gt;=$D$115),1,0),
IF(CB24&amp;CE24=CF$5,1,0),
IF(CC24=CB$5,2,0),
IF(CD24=CB$5,1,0),
IF(OR(CB24&amp;CC24&amp;CD24=CB$5&amp;CC$5&amp;CD$5,CB24&amp;CC24&amp;CD24=CB$5&amp;CD$5&amp;CC$5,CB24&amp;CC24&amp;CD24=CC$5&amp;CB$5&amp;CD$5,CB24&amp;CC24&amp;CD24=CC$5&amp;CD$5&amp;CB$5,CB24&amp;CC24&amp;CD24=CD$5&amp;CB$5&amp;CC$5,CB24&amp;CC24&amp;CD24=CD$5&amp;CC$5&amp;CB$5),2,0),IF(AND(CB24=CB$5,CC$6&gt;=$D$129),1,0),IF(AND(CC24=CB$5,CC$6&gt;=$D$129),1,0),IF(AND(CD24=CB$5,CC$6&gt;=$D$129),1,0),IF(CB24&amp;CE24=CE$5,4,0),IF(AND(CB24=CB$5,CC$6&lt;=$D$104),-0.5,0),IF(AND(CC24=CB$5,CC$6&lt;=$D$104),-0.5,0),IF(AND(CD24=CB$5,CC$6&lt;=$D$104),-0.5,0))</f>
        <v/>
      </c>
      <c r="CG24" s="164">
        <f>IF(BASE01[[#This Row],[1]]="",0,$B$4)</f>
        <v/>
      </c>
      <c r="CH24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4" s="166">
        <f>IF(BASE01[[#This Row],[Columna14]]=0,0,(CH24/CG24))</f>
        <v/>
      </c>
      <c r="CJ24" s="165">
        <f>IF(BASE01[[#This Row],[1]]="",0,$B$4)</f>
        <v/>
      </c>
      <c r="CK24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4" s="166">
        <f>IF(BASE01[[#This Row],[Columna14]]=0,0,(CK24/CJ24))</f>
        <v/>
      </c>
      <c r="CM24" s="164">
        <f>IF(BASE01[[#This Row],[1]]="",0,$B$4)</f>
        <v/>
      </c>
      <c r="CN24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4" s="166">
        <f>IF(BASE01[[#This Row],[Columna14]]=0,0,(CN24/CM24))</f>
        <v/>
      </c>
      <c r="CP24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4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Row],[Columna25]],$AX$5,BA24,"SF")+COUNTIFS(BASE01[[#This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4" s="166">
        <f>IF(BASE01[[#This Row],[Columna14]]=0,0,(CQ24/CP24))</f>
        <v/>
      </c>
      <c r="CS24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4" s="95" t="n"/>
      <c r="CU24" s="604">
        <f>SUM(CS24,CT24)</f>
        <v/>
      </c>
      <c r="CV24" s="96">
        <f>IF(BASE01[[#This Row],[TIPO]]="PREMIO",$O$3,"0,00")</f>
        <v/>
      </c>
      <c r="CW24" s="576" t="n"/>
      <c r="CY24" s="393" t="inlineStr">
        <is>
          <t>MAYOR DIV.</t>
        </is>
      </c>
      <c r="CZ24" s="355">
        <f>MAX(DIV_GAN_SEM_1[DIVIDENDO])</f>
        <v/>
      </c>
      <c r="DA24" s="394" t="inlineStr">
        <is>
          <t>N° GAN</t>
        </is>
      </c>
      <c r="DB24" s="605">
        <f>BASE01[[#This Row],[COD]]</f>
        <v/>
      </c>
      <c r="DC24" s="395">
        <f t="array" ref="DC24">IFERROR(IF(AND(INDEX($E$8:$CE$57, MATCH($C24, $C$8:$C$57, 0), (COLUMNS($DC24:DC24)-1)*5 + 1) = INDEX($E$5:$CE$5, 1, (COLUMNS($DC24:DC24)-1)*5 + 1), INDEX($E$8:$CE$57, MATCH($C24, $C$8:$C$57, 0), (COLUMNS($DC24:DC24)-1)*5 + 4) = "F"), INDEX($CZ$8:$CZ$23, COLUMNS($DC24:DC24)), "0"), "")</f>
        <v/>
      </c>
      <c r="DD24" s="395">
        <f t="array" ref="DD24">IFERROR(IF(AND(INDEX($E$8:$CE$57, MATCH($C24, $C$8:$C$57, 0), (COLUMNS($DC24:DD24)-1)*5 + 1) = INDEX($E$5:$CE$5, 1, (COLUMNS($DC24:DD24)-1)*5 + 1), INDEX($E$8:$CE$57, MATCH($C24, $C$8:$C$57, 0), (COLUMNS($DC24:DD24)-1)*5 + 4) = "F"), INDEX($CZ$8:$CZ$23, COLUMNS($DC24:DD24)), "0"), "")</f>
        <v/>
      </c>
      <c r="DE24" s="395">
        <f t="array" ref="DE24">IFERROR(IF(AND(INDEX($E$8:$CE$57, MATCH($C24, $C$8:$C$57, 0), (COLUMNS($DC24:DE24)-1)*5 + 1) = INDEX($E$5:$CE$5, 1, (COLUMNS($DC24:DE24)-1)*5 + 1), INDEX($E$8:$CE$57, MATCH($C24, $C$8:$C$57, 0), (COLUMNS($DC24:DE24)-1)*5 + 4) = "F"), INDEX($CZ$8:$CZ$23, COLUMNS($DC24:DE24)), "0"), "")</f>
        <v/>
      </c>
      <c r="DF24" s="395">
        <f t="array" ref="DF24">IFERROR(IF(AND(INDEX($E$8:$CE$57, MATCH($C24, $C$8:$C$57, 0), (COLUMNS($DC24:DF24)-1)*5 + 1) = INDEX($E$5:$CE$5, 1, (COLUMNS($DC24:DF24)-1)*5 + 1), INDEX($E$8:$CE$57, MATCH($C24, $C$8:$C$57, 0), (COLUMNS($DC24:DF24)-1)*5 + 4) = "F"), INDEX($CZ$8:$CZ$23, COLUMNS($DC24:DF24)), "0"), "")</f>
        <v/>
      </c>
      <c r="DG24" s="395">
        <f t="array" ref="DG24">IFERROR(IF(AND(INDEX($E$8:$CE$57, MATCH($C24, $C$8:$C$57, 0), (COLUMNS($DC24:DG24)-1)*5 + 1) = INDEX($E$5:$CE$5, 1, (COLUMNS($DC24:DG24)-1)*5 + 1), INDEX($E$8:$CE$57, MATCH($C24, $C$8:$C$57, 0), (COLUMNS($DC24:DG24)-1)*5 + 4) = "F"), INDEX($CZ$8:$CZ$23, COLUMNS($DC24:DG24)), "0"), "")</f>
        <v/>
      </c>
      <c r="DH24" s="395">
        <f t="array" ref="DH24">IFERROR(IF(AND(INDEX($E$8:$CE$57, MATCH($C24, $C$8:$C$57, 0), (COLUMNS($DC24:DH24)-1)*5 + 1) = INDEX($E$5:$CE$5, 1, (COLUMNS($DC24:DH24)-1)*5 + 1), INDEX($E$8:$CE$57, MATCH($C24, $C$8:$C$57, 0), (COLUMNS($DC24:DH24)-1)*5 + 4) = "F"), INDEX($CZ$8:$CZ$23, COLUMNS($DC24:DH24)), "0"), "")</f>
        <v/>
      </c>
      <c r="DI24" s="395">
        <f t="array" ref="DI24">IFERROR(IF(AND(INDEX($E$8:$CE$57, MATCH($C24, $C$8:$C$57, 0), (COLUMNS($DC24:DI24)-1)*5 + 1) = INDEX($E$5:$CE$5, 1, (COLUMNS($DC24:DI24)-1)*5 + 1), INDEX($E$8:$CE$57, MATCH($C24, $C$8:$C$57, 0), (COLUMNS($DC24:DI24)-1)*5 + 4) = "F"), INDEX($CZ$8:$CZ$23, COLUMNS($DC24:DI24)), "0"), "")</f>
        <v/>
      </c>
      <c r="DJ24" s="395">
        <f t="array" ref="DJ24">IFERROR(IF(AND(INDEX($E$8:$CE$57, MATCH($C24, $C$8:$C$57, 0), (COLUMNS($DC24:DJ24)-1)*5 + 1) = INDEX($E$5:$CE$5, 1, (COLUMNS($DC24:DJ24)-1)*5 + 1), INDEX($E$8:$CE$57, MATCH($C24, $C$8:$C$57, 0), (COLUMNS($DC24:DJ24)-1)*5 + 4) = "F"), INDEX($CZ$8:$CZ$23, COLUMNS($DC24:DJ24)), "0"), "")</f>
        <v/>
      </c>
      <c r="DK24" s="395">
        <f t="array" ref="DK24">IFERROR(IF(AND(INDEX($E$8:$CE$57, MATCH($C24, $C$8:$C$57, 0), (COLUMNS($DC24:DK24)-1)*5 + 1) = INDEX($E$5:$CE$5, 1, (COLUMNS($DC24:DK24)-1)*5 + 1), INDEX($E$8:$CE$57, MATCH($C24, $C$8:$C$57, 0), (COLUMNS($DC24:DK24)-1)*5 + 4) = "F"), INDEX($CZ$8:$CZ$23, COLUMNS($DC24:DK24)), "0"), "")</f>
        <v/>
      </c>
      <c r="DL24" s="395">
        <f t="array" ref="DL24">IFERROR(IF(AND(INDEX($E$8:$CE$57, MATCH($C24, $C$8:$C$57, 0), (COLUMNS($DC24:DL24)-1)*5 + 1) = INDEX($E$5:$CE$5, 1, (COLUMNS($DC24:DL24)-1)*5 + 1), INDEX($E$8:$CE$57, MATCH($C24, $C$8:$C$57, 0), (COLUMNS($DC24:DL24)-1)*5 + 4) = "F"), INDEX($CZ$8:$CZ$23, COLUMNS($DC24:DL24)), "0"), "")</f>
        <v/>
      </c>
      <c r="DM24" s="395">
        <f t="array" ref="DM24">IFERROR(IF(AND(INDEX($E$8:$CE$57, MATCH($C24, $C$8:$C$57, 0), (COLUMNS($DC24:DM24)-1)*5 + 1) = INDEX($E$5:$CE$5, 1, (COLUMNS($DC24:DM24)-1)*5 + 1), INDEX($E$8:$CE$57, MATCH($C24, $C$8:$C$57, 0), (COLUMNS($DC24:DM24)-1)*5 + 4) = "F"), INDEX($CZ$8:$CZ$23, COLUMNS($DC24:DM24)), "0"), "")</f>
        <v/>
      </c>
      <c r="DN24" s="395">
        <f t="array" ref="DN24">IFERROR(IF(AND(INDEX($E$8:$CE$57, MATCH($C24, $C$8:$C$57, 0), (COLUMNS($DC24:DN24)-1)*5 + 1) = INDEX($E$5:$CE$5, 1, (COLUMNS($DC24:DN24)-1)*5 + 1), INDEX($E$8:$CE$57, MATCH($C24, $C$8:$C$57, 0), (COLUMNS($DC24:DN24)-1)*5 + 4) = "F"), INDEX($CZ$8:$CZ$23, COLUMNS($DC24:DN24)), "0"), "")</f>
        <v/>
      </c>
      <c r="DO24" s="395">
        <f t="array" ref="DO24">IFERROR(IF(AND(INDEX($E$8:$CE$57, MATCH($C24, $C$8:$C$57, 0), (COLUMNS($DC24:DO24)-1)*5 + 1) = INDEX($E$5:$CE$5, 1, (COLUMNS($DC24:DO24)-1)*5 + 1), INDEX($E$8:$CE$57, MATCH($C24, $C$8:$C$57, 0), (COLUMNS($DC24:DO24)-1)*5 + 4) = "F"), INDEX($CZ$8:$CZ$23, COLUMNS($DC24:DO24)), "0"), "")</f>
        <v/>
      </c>
      <c r="DP24" s="395">
        <f t="array" ref="DP24">IFERROR(IF(AND(INDEX($E$8:$CE$57, MATCH($C24, $C$8:$C$57, 0), (COLUMNS($DC24:DP24)-1)*5 + 1) = INDEX($E$5:$CE$5, 1, (COLUMNS($DC24:DP24)-1)*5 + 1), INDEX($E$8:$CE$57, MATCH($C24, $C$8:$C$57, 0), (COLUMNS($DC24:DP24)-1)*5 + 4) = "F"), INDEX($CZ$8:$CZ$23, COLUMNS($DC24:DP24)), "0"), "")</f>
        <v/>
      </c>
      <c r="DQ24" s="395">
        <f t="array" ref="DQ24">IFERROR(IF(AND(INDEX($E$8:$CE$57, MATCH($C24, $C$8:$C$57, 0), (COLUMNS($DC24:DQ24)-1)*5 + 1) = INDEX($E$5:$CE$5, 1, (COLUMNS($DC24:DQ24)-1)*5 + 1), INDEX($E$8:$CE$57, MATCH($C24, $C$8:$C$57, 0), (COLUMNS($DC24:DQ24)-1)*5 + 4) = "F"), INDEX($CZ$8:$CZ$23, COLUMNS($DC24:DQ24)), "0"), "")</f>
        <v/>
      </c>
      <c r="DR24" s="395">
        <f t="array" ref="DR24">IFERROR(IF(AND(INDEX($E$8:$CE$57, MATCH($C24, $C$8:$C$57, 0), (COLUMNS($DC24:DR24)-1)*5 + 1) = INDEX($E$5:$CE$5, 1, (COLUMNS($DC24:DR24)-1)*5 + 1), INDEX($E$8:$CE$57, MATCH($C24, $C$8:$C$57, 0), (COLUMNS($DC24:DR24)-1)*5 + 4) = "F"), INDEX($CZ$8:$CZ$23, COLUMNS($DC24:DR24)), "0"), "")</f>
        <v/>
      </c>
      <c r="DT24" s="605">
        <f>BASE01[[#This Row],[COD]]</f>
        <v/>
      </c>
      <c r="DU24" s="395">
        <f t="array" ref="DU24">IFERROR(IF(AND(INDEX($E$8:$CE$57, MATCH($C24, $C$8:$C$57, 0), (COLUMNS($DU24:DU24)-1)*5 + 1) = INDEX($E$5:$CE$5, 1, (COLUMNS($DU24:DU24)-1)*5 + 1), INDEX($E$8:$CE$57, MATCH($C24, $C$8:$C$57, 0), (COLUMNS($DU24:DU24)-1)*5 + 4) = "SF"), INDEX($CZ$8:$CZ$23, COLUMNS($DU24:DU24)), "0"), "")</f>
        <v/>
      </c>
      <c r="DV24" s="395">
        <f t="array" ref="DV24">IFERROR(IF(AND(INDEX($E$8:$CE$57, MATCH($C24, $C$8:$C$57, 0), (COLUMNS($DU24:DV24)-1)*5 + 1) = INDEX($E$5:$CE$5, 1, (COLUMNS($DU24:DV24)-1)*5 + 1), INDEX($E$8:$CE$57, MATCH($C24, $C$8:$C$57, 0), (COLUMNS($DU24:DV24)-1)*5 + 4) = "SF"), INDEX($CZ$8:$CZ$23, COLUMNS($DU24:DV24)), "0"), "")</f>
        <v/>
      </c>
      <c r="DW24" s="395">
        <f t="array" ref="DW24">IFERROR(IF(AND(INDEX($E$8:$CE$57, MATCH($C24, $C$8:$C$57, 0), (COLUMNS($DU24:DW24)-1)*5 + 1) = INDEX($E$5:$CE$5, 1, (COLUMNS($DU24:DW24)-1)*5 + 1), INDEX($E$8:$CE$57, MATCH($C24, $C$8:$C$57, 0), (COLUMNS($DU24:DW24)-1)*5 + 4) = "SF"), INDEX($CZ$8:$CZ$23, COLUMNS($DU24:DW24)), "0"), "")</f>
        <v/>
      </c>
      <c r="DX24" s="395">
        <f t="array" ref="DX24">IFERROR(IF(AND(INDEX($E$8:$CE$57, MATCH($C24, $C$8:$C$57, 0), (COLUMNS($DU24:DX24)-1)*5 + 1) = INDEX($E$5:$CE$5, 1, (COLUMNS($DU24:DX24)-1)*5 + 1), INDEX($E$8:$CE$57, MATCH($C24, $C$8:$C$57, 0), (COLUMNS($DU24:DX24)-1)*5 + 4) = "SF"), INDEX($CZ$8:$CZ$23, COLUMNS($DU24:DX24)), "0"), "")</f>
        <v/>
      </c>
      <c r="DY24" s="395">
        <f t="array" ref="DY24">IFERROR(IF(AND(INDEX($E$8:$CE$57, MATCH($C24, $C$8:$C$57, 0), (COLUMNS($DU24:DY24)-1)*5 + 1) = INDEX($E$5:$CE$5, 1, (COLUMNS($DU24:DY24)-1)*5 + 1), INDEX($E$8:$CE$57, MATCH($C24, $C$8:$C$57, 0), (COLUMNS($DU24:DY24)-1)*5 + 4) = "SF"), INDEX($CZ$8:$CZ$23, COLUMNS($DU24:DY24)), "0"), "")</f>
        <v/>
      </c>
      <c r="DZ24" s="395">
        <f t="array" ref="DZ24">IFERROR(IF(AND(INDEX($E$8:$CE$57, MATCH($C24, $C$8:$C$57, 0), (COLUMNS($DU24:DZ24)-1)*5 + 1) = INDEX($E$5:$CE$5, 1, (COLUMNS($DU24:DZ24)-1)*5 + 1), INDEX($E$8:$CE$57, MATCH($C24, $C$8:$C$57, 0), (COLUMNS($DU24:DZ24)-1)*5 + 4) = "SF"), INDEX($CZ$8:$CZ$23, COLUMNS($DU24:DZ24)), "0"), "")</f>
        <v/>
      </c>
      <c r="EA24" s="395">
        <f t="array" ref="EA24">IFERROR(IF(AND(INDEX($E$8:$CE$57, MATCH($C24, $C$8:$C$57, 0), (COLUMNS($DU24:EA24)-1)*5 + 1) = INDEX($E$5:$CE$5, 1, (COLUMNS($DU24:EA24)-1)*5 + 1), INDEX($E$8:$CE$57, MATCH($C24, $C$8:$C$57, 0), (COLUMNS($DU24:EA24)-1)*5 + 4) = "SF"), INDEX($CZ$8:$CZ$23, COLUMNS($DU24:EA24)), "0"), "")</f>
        <v/>
      </c>
      <c r="EB24" s="395">
        <f t="array" ref="EB24">IFERROR(IF(AND(INDEX($E$8:$CE$57, MATCH($C24, $C$8:$C$57, 0), (COLUMNS($DU24:EB24)-1)*5 + 1) = INDEX($E$5:$CE$5, 1, (COLUMNS($DU24:EB24)-1)*5 + 1), INDEX($E$8:$CE$57, MATCH($C24, $C$8:$C$57, 0), (COLUMNS($DU24:EB24)-1)*5 + 4) = "SF"), INDEX($CZ$8:$CZ$23, COLUMNS($DU24:EB24)), "0"), "")</f>
        <v/>
      </c>
      <c r="EC24" s="395">
        <f t="array" ref="EC24">IFERROR(IF(AND(INDEX($E$8:$CE$57, MATCH($C24, $C$8:$C$57, 0), (COLUMNS($DU24:EC24)-1)*5 + 1) = INDEX($E$5:$CE$5, 1, (COLUMNS($DU24:EC24)-1)*5 + 1), INDEX($E$8:$CE$57, MATCH($C24, $C$8:$C$57, 0), (COLUMNS($DU24:EC24)-1)*5 + 4) = "SF"), INDEX($CZ$8:$CZ$23, COLUMNS($DU24:EC24)), "0"), "")</f>
        <v/>
      </c>
      <c r="ED24" s="395">
        <f t="array" ref="ED24">IFERROR(IF(AND(INDEX($E$8:$CE$57, MATCH($C24, $C$8:$C$57, 0), (COLUMNS($DU24:ED24)-1)*5 + 1) = INDEX($E$5:$CE$5, 1, (COLUMNS($DU24:ED24)-1)*5 + 1), INDEX($E$8:$CE$57, MATCH($C24, $C$8:$C$57, 0), (COLUMNS($DU24:ED24)-1)*5 + 4) = "SF"), INDEX($CZ$8:$CZ$23, COLUMNS($DU24:ED24)), "0"), "")</f>
        <v/>
      </c>
      <c r="EE24" s="395">
        <f t="array" ref="EE24">IFERROR(IF(AND(INDEX($E$8:$CE$57, MATCH($C24, $C$8:$C$57, 0), (COLUMNS($DU24:EE24)-1)*5 + 1) = INDEX($E$5:$CE$5, 1, (COLUMNS($DU24:EE24)-1)*5 + 1), INDEX($E$8:$CE$57, MATCH($C24, $C$8:$C$57, 0), (COLUMNS($DU24:EE24)-1)*5 + 4) = "SF"), INDEX($CZ$8:$CZ$23, COLUMNS($DU24:EE24)), "0"), "")</f>
        <v/>
      </c>
      <c r="EF24" s="395">
        <f t="array" ref="EF24">IFERROR(IF(AND(INDEX($E$8:$CE$57, MATCH($C24, $C$8:$C$57, 0), (COLUMNS($DU24:EF24)-1)*5 + 1) = INDEX($E$5:$CE$5, 1, (COLUMNS($DU24:EF24)-1)*5 + 1), INDEX($E$8:$CE$57, MATCH($C24, $C$8:$C$57, 0), (COLUMNS($DU24:EF24)-1)*5 + 4) = "SF"), INDEX($CZ$8:$CZ$23, COLUMNS($DU24:EF24)), "0"), "")</f>
        <v/>
      </c>
      <c r="EG24" s="395">
        <f t="array" ref="EG24">IFERROR(IF(AND(INDEX($E$8:$CE$57, MATCH($C24, $C$8:$C$57, 0), (COLUMNS($DU24:EG24)-1)*5 + 1) = INDEX($E$5:$CE$5, 1, (COLUMNS($DU24:EG24)-1)*5 + 1), INDEX($E$8:$CE$57, MATCH($C24, $C$8:$C$57, 0), (COLUMNS($DU24:EG24)-1)*5 + 4) = "SF"), INDEX($CZ$8:$CZ$23, COLUMNS($DU24:EG24)), "0"), "")</f>
        <v/>
      </c>
      <c r="EH24" s="395">
        <f t="array" ref="EH24">IFERROR(IF(AND(INDEX($E$8:$CE$57, MATCH($C24, $C$8:$C$57, 0), (COLUMNS($DU24:EH24)-1)*5 + 1) = INDEX($E$5:$CE$5, 1, (COLUMNS($DU24:EH24)-1)*5 + 1), INDEX($E$8:$CE$57, MATCH($C24, $C$8:$C$57, 0), (COLUMNS($DU24:EH24)-1)*5 + 4) = "SF"), INDEX($CZ$8:$CZ$23, COLUMNS($DU24:EH24)), "0"), "")</f>
        <v/>
      </c>
      <c r="EI24" s="395">
        <f t="array" ref="EI24">IFERROR(IF(AND(INDEX($E$8:$CE$57, MATCH($C24, $C$8:$C$57, 0), (COLUMNS($DU24:EI24)-1)*5 + 1) = INDEX($E$5:$CE$5, 1, (COLUMNS($DU24:EI24)-1)*5 + 1), INDEX($E$8:$CE$57, MATCH($C24, $C$8:$C$57, 0), (COLUMNS($DU24:EI24)-1)*5 + 4) = "SF"), INDEX($CZ$8:$CZ$23, COLUMNS($DU24:EI24)), "0"), "")</f>
        <v/>
      </c>
      <c r="EJ24" s="395">
        <f t="array" ref="EJ24">IFERROR(IF(AND(INDEX($E$8:$CE$57, MATCH($C24, $C$8:$C$57, 0), (COLUMNS($DU24:EJ24)-1)*5 + 1) = INDEX($E$5:$CE$5, 1, (COLUMNS($DU24:EJ24)-1)*5 + 1), INDEX($E$8:$CE$57, MATCH($C24, $C$8:$C$57, 0), (COLUMNS($DU24:EJ24)-1)*5 + 4) = "SF"), INDEX($CZ$8:$CZ$23, COLUMNS($DU24:EJ24)), "0"), "")</f>
        <v/>
      </c>
    </row>
    <row r="25" ht="20.1" customHeight="1" s="568">
      <c r="A25" s="576" t="n"/>
      <c r="B25" s="92">
        <f>IF(BASE01[[#This Row],[COD]]&lt;&gt;"",B24+1,"")</f>
        <v/>
      </c>
      <c r="C25" s="601" t="inlineStr">
        <is>
          <t>COD 18</t>
        </is>
      </c>
      <c r="D25" s="93">
        <f t="array" ref="D25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5" s="145" t="n">
        <v>6</v>
      </c>
      <c r="F25" s="145" t="n">
        <v>8</v>
      </c>
      <c r="G25" s="145" t="n">
        <v>1</v>
      </c>
      <c r="H25" s="145" t="n"/>
      <c r="I25" s="602">
        <f>SUM(IF(E25=E$5,4,0),IF(E25&amp;F25=E$5&amp;F$5,1,0),
IF(AND(E25=E$5,F$6&gt;=$D$115),1,0),
IF(AND(F25=E$5,F$6&gt;=$D$115),1,0),
IF(AND(G25=E$5,F$6&gt;=$D$115),1,0),
IF(E25&amp;H25=I$5,1,0),
IF(F25=E$5,2,0),
IF(G25=E$5,1,0),
IF(OR(E25&amp;F25&amp;G25=E$5&amp;F$5&amp;G$5,E25&amp;F25&amp;G25=E$5&amp;G$5&amp;F$5,E25&amp;F25&amp;G25=F$5&amp;E$5&amp;G$5,E25&amp;F25&amp;G25=F$5&amp;G$5&amp;E$5,E25&amp;F25&amp;G25=G$5&amp;E$5&amp;F$5,E25&amp;F25&amp;G25=G$5&amp;F$5&amp;E$5),2,0),IF(AND(E25=E$5,F$6&gt;=$D$129),1,0),IF(AND(F25=E$5,F$6&gt;=$D$129),1,0),IF(AND(G25=E$5,F$6&gt;=$D$129),1,0),IF(E25&amp;H25=H$5,4,0),IF(AND(E25=E$5,F$6&lt;=$D$104),-0.5,0),IF(AND(F25=E$5,F$6&lt;=$D$104),-0.5,0),IF(AND(G25=E$5,F$6&lt;=$D$104),-0.5,0))</f>
        <v/>
      </c>
      <c r="J25" s="145" t="n">
        <v>8</v>
      </c>
      <c r="K25" s="145" t="n">
        <v>1</v>
      </c>
      <c r="L25" s="145" t="n">
        <v>3</v>
      </c>
      <c r="M25" s="145" t="n"/>
      <c r="N25" s="602">
        <f>SUM(IF(J25=J$5,4,0),IF(J25&amp;K25=J$5&amp;K$5,1,0),
IF(AND(J25=J$5,K$6&gt;=$D$115),1,0),
IF(AND(K25=J$5,K$6&gt;=$D$115),1,0),
IF(AND(L25=J$5,K$6&gt;=$D$115),1,0),
IF(J25&amp;M25=N$5,1,0),
IF(K25=J$5,2,0),
IF(L25=J$5,1,0),
IF(OR(J25&amp;K25&amp;L25=J$5&amp;K$5&amp;L$5,J25&amp;K25&amp;L25=J$5&amp;L$5&amp;K$5,J25&amp;K25&amp;L25=K$5&amp;J$5&amp;L$5,J25&amp;K25&amp;L25=K$5&amp;L$5&amp;J$5,J25&amp;K25&amp;L25=L$5&amp;J$5&amp;K$5,J25&amp;K25&amp;L25=L$5&amp;K$5&amp;J$5),2,0),IF(AND(J25=J$5,K$6&gt;=$D$129),1,0),IF(AND(K25=J$5,K$6&gt;=$D$129),1,0),IF(AND(L25=J$5,K$6&gt;=$D$129),1,0),IF(J25&amp;M25=M$5,4,0),IF(AND(J25=J$5,K$6&lt;=$D$104),-0.5,0),IF(AND(K25=J$5,K$6&lt;=$D$104),-0.5,0),IF(AND(L25=J$5,K$6&lt;=$D$104),-0.5,0))</f>
        <v/>
      </c>
      <c r="O25" s="145" t="n">
        <v>3</v>
      </c>
      <c r="P25" s="145" t="n">
        <v>5</v>
      </c>
      <c r="Q25" s="145" t="n">
        <v>8</v>
      </c>
      <c r="R25" s="145" t="n"/>
      <c r="S25" s="602">
        <f>SUM(IF(O25=O$5,4,0),IF(O25&amp;P25=O$5&amp;P$5,1,0),
IF(AND(O25=O$5,P$6&gt;=$D$115),1,0),
IF(AND(P25=O$5,P$6&gt;=$D$115),1,0),
IF(AND(Q25=O$5,P$6&gt;=$D$115),1,0),
IF(O25&amp;R25=S$5,1,0),
IF(P25=O$5,2,0),
IF(Q25=O$5,1,0),
IF(OR(O25&amp;P25&amp;Q25=O$5&amp;P$5&amp;Q$5,O25&amp;P25&amp;Q25=O$5&amp;Q$5&amp;P$5,O25&amp;P25&amp;Q25=P$5&amp;O$5&amp;Q$5,O25&amp;P25&amp;Q25=P$5&amp;Q$5&amp;O$5,O25&amp;P25&amp;Q25=Q$5&amp;O$5&amp;P$5,O25&amp;P25&amp;Q25=Q$5&amp;P$5&amp;O$5),2,0),IF(AND(O25=O$5,P$6&gt;=$D$129),1,0),IF(AND(P25=O$5,P$6&gt;=$D$129),1,0),IF(AND(Q25=O$5,P$6&gt;=$D$129),1,0),IF(O25&amp;R25=R$5,4,0),IF(AND(O25=O$5,P$6&lt;=$D$104),-0.5,0),IF(AND(P25=O$5,P$6&lt;=$D$104),-0.5,0),IF(AND(Q25=O$5,P$6&lt;=$D$104),-0.5,0))</f>
        <v/>
      </c>
      <c r="T25" s="145" t="n">
        <v>6</v>
      </c>
      <c r="U25" s="145" t="n">
        <v>8</v>
      </c>
      <c r="V25" s="145" t="n">
        <v>4</v>
      </c>
      <c r="W25" s="145" t="inlineStr">
        <is>
          <t>F</t>
        </is>
      </c>
      <c r="X25" s="602">
        <f>SUM(IF(T25=T$5,4,0),IF(T25&amp;U25=T$5&amp;U$5,1,0),
IF(AND(T25=T$5,U$6&gt;=$D$115),1,0),
IF(AND(U25=T$5,U$6&gt;=$D$115),1,0),
IF(AND(V25=T$5,U$6&gt;=$D$115),1,0),
IF(T25&amp;W25=X$5,1,0),
IF(U25=T$5,2,0),
IF(V25=T$5,1,0),
IF(OR(T25&amp;U25&amp;V25=T$5&amp;U$5&amp;V$5,T25&amp;U25&amp;V25=T$5&amp;V$5&amp;U$5,T25&amp;U25&amp;V25=U$5&amp;T$5&amp;V$5,T25&amp;U25&amp;V25=U$5&amp;V$5&amp;T$5,T25&amp;U25&amp;V25=V$5&amp;T$5&amp;U$5,T25&amp;U25&amp;V25=V$5&amp;U$5&amp;T$5),2,0),IF(AND(T25=T$5,U$6&gt;=$D$129),1,0),IF(AND(U25=T$5,U$6&gt;=$D$129),1,0),IF(AND(V25=T$5,U$6&gt;=$D$129),1,0),IF(T25&amp;W25=W$5,4,0),IF(AND(T25=T$5,U$6&lt;=$D$104),-0.5,0),IF(AND(U25=T$5,U$6&lt;=$D$104),-0.5,0),IF(AND(V25=T$5,U$6&lt;=$D$104),-0.5,0))</f>
        <v/>
      </c>
      <c r="Y25" s="145" t="n">
        <v>5</v>
      </c>
      <c r="Z25" s="145" t="n">
        <v>3</v>
      </c>
      <c r="AA25" s="145" t="n">
        <v>10</v>
      </c>
      <c r="AB25" s="145" t="n"/>
      <c r="AC25" s="602">
        <f>SUM(IF(Y25=Y$5,4,0),IF(Y25&amp;Z25=Y$5&amp;Z$5,1,0),
IF(AND(Y25=Y$5,Z$6&gt;=$D$115),1,0),
IF(AND(Z25=Y$5,Z$6&gt;=$D$115),1,0),
IF(AND(AA25=Y$5,Z$6&gt;=$D$115),1,0),
IF(Y25&amp;AB25=AC$5,1,0),
IF(Z25=Y$5,2,0),
IF(AA25=Y$5,1,0),
IF(OR(Y25&amp;Z25&amp;AA25=Y$5&amp;Z$5&amp;AA$5,Y25&amp;Z25&amp;AA25=Y$5&amp;AA$5&amp;Z$5,Y25&amp;Z25&amp;AA25=Z$5&amp;Y$5&amp;AA$5,Y25&amp;Z25&amp;AA25=Z$5&amp;AA$5&amp;Y$5,Y25&amp;Z25&amp;AA25=AA$5&amp;Y$5&amp;Z$5,Y25&amp;Z25&amp;AA25=AA$5&amp;Z$5&amp;Y$5),2,0),IF(AND(Y25=Y$5,Z$6&gt;=$D$129),1,0),IF(AND(Z25=Y$5,Z$6&gt;=$D$129),1,0),IF(AND(AA25=Y$5,Z$6&gt;=$D$129),1,0),IF(Y25&amp;AB25=AB$5,4,0),IF(AND(Y25=Y$5,Z$6&lt;=$D$104),-0.5,0),IF(AND(Z25=Y$5,Z$6&lt;=$D$104),-0.5,0),IF(AND(AA25=Y$5,Z$6&lt;=$D$104),-0.5,0))</f>
        <v/>
      </c>
      <c r="AD25" s="145" t="n">
        <v>5</v>
      </c>
      <c r="AE25" s="145" t="n">
        <v>7</v>
      </c>
      <c r="AF25" s="145" t="n">
        <v>2</v>
      </c>
      <c r="AG25" s="145" t="n"/>
      <c r="AH25" s="602">
        <f>SUM(IF(AD25=AD$5,4,0),IF(AD25&amp;AE25=AD$5&amp;AE$5,1,0),
IF(AND(AD25=AD$5,AE$6&gt;=$D$115),1,0),
IF(AND(AE25=AD$5,AE$6&gt;=$D$115),1,0),
IF(AND(AF25=AD$5,AE$6&gt;=$D$115),1,0),
IF(AD25&amp;AG25=AH$5,1,0),
IF(AE25=AD$5,2,0),
IF(AF25=AD$5,1,0),
IF(OR(AD25&amp;AE25&amp;AF25=AD$5&amp;AE$5&amp;AF$5,AD25&amp;AE25&amp;AF25=AD$5&amp;AF$5&amp;AE$5,AD25&amp;AE25&amp;AF25=AE$5&amp;AD$5&amp;AF$5,AD25&amp;AE25&amp;AF25=AE$5&amp;AF$5&amp;AD$5,AD25&amp;AE25&amp;AF25=AF$5&amp;AD$5&amp;AE$5,AD25&amp;AE25&amp;AF25=AF$5&amp;AE$5&amp;AD$5),2,0),IF(AND(AD25=AD$5,AE$6&gt;=$D$129),1,0),IF(AND(AE25=AD$5,AE$6&gt;=$D$129),1,0),IF(AND(AF25=AD$5,AE$6&gt;=$D$129),1,0),IF(AD25&amp;AG25=AG$5,4,0),IF(AND(AD25=AD$5,AE$6&lt;=$D$104),-0.5,0),IF(AND(AE25=AD$5,AE$6&lt;=$D$104),-0.5,0),IF(AND(AF25=AD$5,AE$6&lt;=$D$104),-0.5,0))</f>
        <v/>
      </c>
      <c r="AI25" s="145" t="n">
        <v>3</v>
      </c>
      <c r="AJ25" s="145" t="n">
        <v>4</v>
      </c>
      <c r="AK25" s="145" t="n">
        <v>7</v>
      </c>
      <c r="AL25" s="145" t="n"/>
      <c r="AM25" s="602">
        <f>SUM(IF(AI25=AI$5,4,0),IF(AI25&amp;AJ25=AI$5&amp;AJ$5,1,0),
IF(AND(AI25=AI$5,AJ$6&gt;=$D$115),1,0),
IF(AND(AJ25=AI$5,AJ$6&gt;=$D$115),1,0),
IF(AND(AK25=AI$5,AJ$6&gt;=$D$115),1,0),
IF(AI25&amp;AL25=AM$5,1,0),
IF(AJ25=AI$5,2,0),
IF(AK25=AI$5,1,0),
IF(OR(AI25&amp;AJ25&amp;AK25=AI$5&amp;AJ$5&amp;AK$5,AI25&amp;AJ25&amp;AK25=AI$5&amp;AK$5&amp;AJ$5,AI25&amp;AJ25&amp;AK25=AJ$5&amp;AI$5&amp;AK$5,AI25&amp;AJ25&amp;AK25=AJ$5&amp;AK$5&amp;AI$5,AI25&amp;AJ25&amp;AK25=AK$5&amp;AI$5&amp;AJ$5,AI25&amp;AJ25&amp;AK25=AK$5&amp;AJ$5&amp;AI$5),2,0),IF(AND(AI25=AI$5,AJ$6&gt;=$D$129),1,0),IF(AND(AJ25=AI$5,AJ$6&gt;=$D$129),1,0),IF(AND(AK25=AI$5,AJ$6&gt;=$D$129),1,0),IF(AI25&amp;AL25=AL$5,4,0),IF(AND(AI25=AI$5,AJ$6&lt;=$D$104),-0.5,0),IF(AND(AJ25=AI$5,AJ$6&lt;=$D$104),-0.5,0),IF(AND(AK25=AI$5,AJ$6&lt;=$D$104),-0.5,0))</f>
        <v/>
      </c>
      <c r="AN25" s="145" t="n">
        <v>8</v>
      </c>
      <c r="AO25" s="145" t="n">
        <v>9</v>
      </c>
      <c r="AP25" s="145" t="n">
        <v>5</v>
      </c>
      <c r="AQ25" s="145" t="inlineStr">
        <is>
          <t>F</t>
        </is>
      </c>
      <c r="AR25" s="602">
        <f>SUM(IF(AN25=AN$5,4,0),IF(AN25&amp;AO25=AN$5&amp;AO$5,1,0),
IF(AND(AN25=AN$5,AO$6&gt;=$D$115),1,0),
IF(AND(AO25=AN$5,AO$6&gt;=$D$115),1,0),
IF(AND(AP25=AN$5,AO$6&gt;=$D$115),1,0),
IF(AN25&amp;AQ25=AR$5,1,0),
IF(AO25=AN$5,2,0),
IF(AP25=AN$5,1,0),
IF(OR(AN25&amp;AO25&amp;AP25=AN$5&amp;AO$5&amp;AP$5,AN25&amp;AO25&amp;AP25=AN$5&amp;AP$5&amp;AO$5,AN25&amp;AO25&amp;AP25=AO$5&amp;AN$5&amp;AP$5,AN25&amp;AO25&amp;AP25=AO$5&amp;AP$5&amp;AN$5,AN25&amp;AO25&amp;AP25=AP$5&amp;AN$5&amp;AO$5,AN25&amp;AO25&amp;AP25=AP$5&amp;AO$5&amp;AN$5),2,0),IF(AND(AN25=AN$5,AO$6&gt;=$D$129),1,0),IF(AND(AO25=AN$5,AO$6&gt;=$D$129),1,0),IF(AND(AP25=AN$5,AO$6&gt;=$D$129),1,0),IF(AN25&amp;AQ25=AQ$5,4,0),IF(AND(AN25=AN$5,AO$6&lt;=$D$104),-0.5,0),IF(AND(AO25=AN$5,AO$6&lt;=$D$104),-0.5,0),IF(AND(AP25=AN$5,AO$6&lt;=$D$104),-0.5,0))</f>
        <v/>
      </c>
      <c r="AS25" s="145" t="n">
        <v>7</v>
      </c>
      <c r="AT25" s="145" t="n">
        <v>2</v>
      </c>
      <c r="AU25" s="145" t="n">
        <v>3</v>
      </c>
      <c r="AV25" s="145" t="n"/>
      <c r="AW25" s="602">
        <f>SUM(IF(AS25=AS$5,4,0),IF(AS25&amp;AT25=AS$5&amp;AT$5,1,0),
IF(AND(AS25=AS$5,AT$6&gt;=$D$115),1,0),
IF(AND(AT25=AS$5,AT$6&gt;=$D$115),1,0),
IF(AND(AU25=AS$5,AT$6&gt;=$D$115),1,0),
IF(AS25&amp;AV25=AW$5,1,0),
IF(AT25=AS$5,2,0),
IF(AU25=AS$5,1,0),
IF(OR(AS25&amp;AT25&amp;AU25=AS$5&amp;AT$5&amp;AU$5,AS25&amp;AT25&amp;AU25=AS$5&amp;AU$5&amp;AT$5,AS25&amp;AT25&amp;AU25=AT$5&amp;AS$5&amp;AU$5,AS25&amp;AT25&amp;AU25=AT$5&amp;AU$5&amp;AS$5,AS25&amp;AT25&amp;AU25=AU$5&amp;AS$5&amp;AT$5,AS25&amp;AT25&amp;AU25=AU$5&amp;AT$5&amp;AS$5),2,0),IF(AND(AS25=AS$5,AT$6&gt;=$D$129),1,0),IF(AND(AT25=AS$5,AT$6&gt;=$D$129),1,0),IF(AND(AU25=AS$5,AT$6&gt;=$D$129),1,0),IF(AS25&amp;AV25=AV$5,4,0),IF(AND(AS25=AS$5,AT$6&lt;=$D$104),-0.5,0),IF(AND(AT25=AS$5,AT$6&lt;=$D$104),-0.5,0),IF(AND(AU25=AS$5,AT$6&lt;=$D$104),-0.5,0))</f>
        <v/>
      </c>
      <c r="AX25" s="145" t="n">
        <v>9</v>
      </c>
      <c r="AY25" s="145" t="n">
        <v>1</v>
      </c>
      <c r="AZ25" s="145" t="n">
        <v>8</v>
      </c>
      <c r="BA25" s="145" t="n"/>
      <c r="BB25" s="602">
        <f>SUM(IF(AX25=AX$5,4,0),IF(AX25&amp;AY25=AX$5&amp;AY$5,1,0),
IF(AND(AX25=AX$5,AY$6&gt;=$D$115),1,0),
IF(AND(AY25=AX$5,AY$6&gt;=$D$115),1,0),
IF(AND(AZ25=AX$5,AY$6&gt;=$D$115),1,0),
IF(AX25&amp;BA25=BB$5,1,0),
IF(AY25=AX$5,2,0),
IF(AZ25=AX$5,1,0),
IF(OR(AX25&amp;AY25&amp;AZ25=AX$5&amp;AY$5&amp;AZ$5,AX25&amp;AY25&amp;AZ25=AX$5&amp;AZ$5&amp;AY$5,AX25&amp;AY25&amp;AZ25=AY$5&amp;AX$5&amp;AZ$5,AX25&amp;AY25&amp;AZ25=AY$5&amp;AZ$5&amp;AX$5,AX25&amp;AY25&amp;AZ25=AZ$5&amp;AX$5&amp;AY$5,AX25&amp;AY25&amp;AZ25=AZ$5&amp;AY$5&amp;AX$5),2,0),IF(AND(AX25=AX$5,AY$6&gt;=$D$129),1,0),IF(AND(AY25=AX$5,AY$6&gt;=$D$129),1,0),IF(AND(AZ25=AX$5,AY$6&gt;=$D$129),1,0),IF(AX25&amp;BA25=BA$5,4,0),IF(AND(AX25=AX$5,AY$6&lt;=$D$104),-0.5,0),IF(AND(AY25=AX$5,AY$6&lt;=$D$104),-0.5,0),IF(AND(AZ25=AX$5,AY$6&lt;=$D$104),-0.5,0))</f>
        <v/>
      </c>
      <c r="BC25" s="145" t="n">
        <v>4</v>
      </c>
      <c r="BD25" s="145" t="n"/>
      <c r="BE25" s="145" t="n"/>
      <c r="BF25" s="145" t="inlineStr">
        <is>
          <t>SF</t>
        </is>
      </c>
      <c r="BG25" s="602">
        <f>SUM(IF(BC25=BC$5,4,0),IF(BC25&amp;BD25=BC$5&amp;BD$5,1,0),
IF(AND(BC25=BC$5,BD$6&gt;=$D$115),1,0),
IF(AND(BD25=BC$5,BD$6&gt;=$D$115),1,0),
IF(AND(BE25=BC$5,BD$6&gt;=$D$115),1,0),
IF(BC25&amp;BF25=BG$5,1,0),
IF(BD25=BC$5,2,0),
IF(BE25=BC$5,1,0),
IF(OR(BC25&amp;BD25&amp;BE25=BC$5&amp;BD$5&amp;BE$5,BC25&amp;BD25&amp;BE25=BC$5&amp;BE$5&amp;BD$5,BC25&amp;BD25&amp;BE25=BD$5&amp;BC$5&amp;BE$5,BC25&amp;BD25&amp;BE25=BD$5&amp;BE$5&amp;BC$5,BC25&amp;BD25&amp;BE25=BE$5&amp;BC$5&amp;BD$5,BC25&amp;BD25&amp;BE25=BE$5&amp;BD$5&amp;BC$5),2,0),IF(AND(BC25=BC$5,BD$6&gt;=$D$129),1,0),IF(AND(BD25=BC$5,BD$6&gt;=$D$129),1,0),IF(AND(BE25=BC$5,BD$6&gt;=$D$129),1,0),IF(BC25&amp;BF25=BF$5,4,0),IF(AND(BC25=BC$5,BD$6&lt;=$D$104),-0.5,0),IF(AND(BD25=BC$5,BD$6&lt;=$D$104),-0.5,0),IF(AND(BE25=BC$5,BD$6&lt;=$D$104),-0.5,0))</f>
        <v/>
      </c>
      <c r="BH25" s="145" t="n">
        <v>5</v>
      </c>
      <c r="BI25" s="145" t="n">
        <v>6</v>
      </c>
      <c r="BJ25" s="145" t="n">
        <v>1</v>
      </c>
      <c r="BK25" s="145" t="n"/>
      <c r="BL25" s="602">
        <f>SUM(IF(BH25=BH$5,4,0),IF(BH25&amp;BI25=BH$5&amp;BI$5,1,0),
IF(AND(BH25=BH$5,BI$6&gt;=$D$115),1,0),
IF(AND(BI25=BH$5,BI$6&gt;=$D$115),1,0),
IF(AND(BJ25=BH$5,BI$6&gt;=$D$115),1,0),
IF(BH25&amp;BK25=BL$5,1,0),
IF(BI25=BH$5,2,0),
IF(BJ25=BH$5,1,0),
IF(OR(BH25&amp;BI25&amp;BJ25=BH$5&amp;BI$5&amp;BJ$5,BH25&amp;BI25&amp;BJ25=BH$5&amp;BJ$5&amp;BI$5,BH25&amp;BI25&amp;BJ25=BI$5&amp;BH$5&amp;BJ$5,BH25&amp;BI25&amp;BJ25=BI$5&amp;BJ$5&amp;BH$5,BH25&amp;BI25&amp;BJ25=BJ$5&amp;BH$5&amp;BI$5,BH25&amp;BI25&amp;BJ25=BJ$5&amp;BI$5&amp;BH$5),2,0),IF(AND(BH25=BH$5,BI$6&gt;=$D$129),1,0),IF(AND(BI25=BH$5,BI$6&gt;=$D$129),1,0),IF(AND(BJ25=BH$5,BI$6&gt;=$D$129),1,0),IF(BH25&amp;BK25=BK$5,4,0),IF(AND(BH25=BH$5,BI$6&lt;=$D$104),-0.5,0),IF(AND(BI25=BH$5,BI$6&lt;=$D$104),-0.5,0),IF(AND(BJ25=BH$5,BI$6&lt;=$D$104),-0.5,0))</f>
        <v/>
      </c>
      <c r="BM25" s="145" t="n">
        <v>1</v>
      </c>
      <c r="BN25" s="145" t="n">
        <v>12</v>
      </c>
      <c r="BO25" s="145" t="n">
        <v>3</v>
      </c>
      <c r="BP25" s="145" t="n"/>
      <c r="BQ25" s="602">
        <f>SUM(IF(BM25=BM$5,4,0),IF(BM25&amp;BN25=BM$5&amp;BN$5,1,0),
IF(AND(BM25=BM$5,BN$6&gt;=$D$115),1,0),
IF(AND(BN25=BM$5,BN$6&gt;=$D$115),1,0),
IF(AND(BO25=BM$5,BN$6&gt;=$D$115),1,0),
IF(BM25&amp;BP25=BQ$5,1,0),
IF(BN25=BM$5,2,0),
IF(BO25=BM$5,1,0),
IF(OR(BM25&amp;BN25&amp;BO25=BM$5&amp;BN$5&amp;BO$5,BM25&amp;BN25&amp;BO25=BM$5&amp;BO$5&amp;BN$5,BM25&amp;BN25&amp;BO25=BN$5&amp;BM$5&amp;BO$5,BM25&amp;BN25&amp;BO25=BN$5&amp;BO$5&amp;BM$5,BM25&amp;BN25&amp;BO25=BO$5&amp;BM$5&amp;BN$5,BM25&amp;BN25&amp;BO25=BO$5&amp;BN$5&amp;BM$5),2,0),IF(AND(BM25=BM$5,BN$6&gt;=$D$129),1,0),IF(AND(BN25=BM$5,BN$6&gt;=$D$129),1,0),IF(AND(BO25=BM$5,BN$6&gt;=$D$129),1,0),IF(BM25&amp;BP25=BP$5,4,0),IF(AND(BM25=BM$5,BN$6&lt;=$D$104),-0.5,0),IF(AND(BN25=BM$5,BN$6&lt;=$D$104),-0.5,0),IF(AND(BO25=BM$5,BN$6&lt;=$D$104),-0.5,0))</f>
        <v/>
      </c>
      <c r="BR25" s="145" t="n"/>
      <c r="BS25" s="145" t="n"/>
      <c r="BT25" s="145" t="n"/>
      <c r="BU25" s="145" t="n"/>
      <c r="BV25" s="602">
        <f>SUM(IF(BR25=BR$5,4,0),IF(BR25&amp;BS25=BR$5&amp;BS$5,1,0),
IF(AND(BR25=BR$5,BS$6&gt;=$D$115),1,0),
IF(AND(BS25=BR$5,BS$6&gt;=$D$115),1,0),
IF(AND(BT25=BR$5,BS$6&gt;=$D$115),1,0),
IF(BR25&amp;BU25=BV$5,1,0),
IF(BS25=BR$5,2,0),
IF(BT25=BR$5,1,0),
IF(OR(BR25&amp;BS25&amp;BT25=BR$5&amp;BS$5&amp;BT$5,BR25&amp;BS25&amp;BT25=BR$5&amp;BT$5&amp;BS$5,BR25&amp;BS25&amp;BT25=BS$5&amp;BR$5&amp;BT$5,BR25&amp;BS25&amp;BT25=BS$5&amp;BT$5&amp;BR$5,BR25&amp;BS25&amp;BT25=BT$5&amp;BR$5&amp;BS$5,BR25&amp;BS25&amp;BT25=BT$5&amp;BS$5&amp;BR$5),2,0),IF(AND(BR25=BR$5,BS$6&gt;=$D$129),1,0),IF(AND(BS25=BR$5,BS$6&gt;=$D$129),1,0),IF(AND(BT25=BR$5,BS$6&gt;=$D$129),1,0),IF(BR25&amp;BU25=BU$5,4,0),IF(AND(BR25=BR$5,BS$6&lt;=$D$104),-0.5,0),IF(AND(BS25=BR$5,BS$6&lt;=$D$104),-0.5,0),IF(AND(BT25=BR$5,BS$6&lt;=$D$104),-0.5,0))</f>
        <v/>
      </c>
      <c r="BW25" s="145" t="n"/>
      <c r="BX25" s="145" t="n"/>
      <c r="BY25" s="145" t="n"/>
      <c r="BZ25" s="145" t="n"/>
      <c r="CA25" s="602">
        <f>SUM(IF(BW25=BW$5,4,0),IF(BW25&amp;BX25=BW$5&amp;BX$5,1,0),
IF(AND(BW25=BW$5,BX$6&gt;=$D$115),1,0),
IF(AND(BX25=BW$5,BX$6&gt;=$D$115),1,0),
IF(AND(BY25=BW$5,BX$6&gt;=$D$115),1,0),
IF(BW25&amp;BZ25=CA$5,1,0),
IF(BX25=BW$5,2,0),
IF(BY25=BW$5,1,0),
IF(OR(BW25&amp;BX25&amp;BY25=BW$5&amp;BX$5&amp;BY$5,BW25&amp;BX25&amp;BY25=BW$5&amp;BY$5&amp;BX$5,BW25&amp;BX25&amp;BY25=BX$5&amp;BW$5&amp;BY$5,BW25&amp;BX25&amp;BY25=BX$5&amp;BY$5&amp;BW$5,BW25&amp;BX25&amp;BY25=BY$5&amp;BW$5&amp;BX$5,BW25&amp;BX25&amp;BY25=BY$5&amp;BX$5&amp;BW$5),2,0),IF(AND(BW25=BW$5,BX$6&gt;=$D$129),1,0),IF(AND(BX25=BW$5,BX$6&gt;=$D$129),1,0),IF(AND(BY25=BW$5,BX$6&gt;=$D$129),1,0),IF(BW25&amp;BZ25=BZ$5,4,0),IF(AND(BW25=BW$5,BX$6&lt;=$D$104),-0.5,0),IF(AND(BX25=BW$5,BX$6&lt;=$D$104),-0.5,0),IF(AND(BY25=BW$5,BX$6&lt;=$D$104),-0.5,0))</f>
        <v/>
      </c>
      <c r="CB25" s="145" t="n"/>
      <c r="CC25" s="145" t="n"/>
      <c r="CD25" s="145" t="n"/>
      <c r="CE25" s="145" t="n"/>
      <c r="CF25" s="602">
        <f>SUM(IF(CB25=CB$5,4,0),IF(CB25&amp;CC25=CB$5&amp;CC$5,1,0),
IF(AND(CB25=CB$5,CC$6&gt;=$D$115),1,0),
IF(AND(CC25=CB$5,CC$6&gt;=$D$115),1,0),
IF(AND(CD25=CB$5,CC$6&gt;=$D$115),1,0),
IF(CB25&amp;CE25=CF$5,1,0),
IF(CC25=CB$5,2,0),
IF(CD25=CB$5,1,0),
IF(OR(CB25&amp;CC25&amp;CD25=CB$5&amp;CC$5&amp;CD$5,CB25&amp;CC25&amp;CD25=CB$5&amp;CD$5&amp;CC$5,CB25&amp;CC25&amp;CD25=CC$5&amp;CB$5&amp;CD$5,CB25&amp;CC25&amp;CD25=CC$5&amp;CD$5&amp;CB$5,CB25&amp;CC25&amp;CD25=CD$5&amp;CB$5&amp;CC$5,CB25&amp;CC25&amp;CD25=CD$5&amp;CC$5&amp;CB$5),2,0),IF(AND(CB25=CB$5,CC$6&gt;=$D$129),1,0),IF(AND(CC25=CB$5,CC$6&gt;=$D$129),1,0),IF(AND(CD25=CB$5,CC$6&gt;=$D$129),1,0),IF(CB25&amp;CE25=CE$5,4,0),IF(AND(CB25=CB$5,CC$6&lt;=$D$104),-0.5,0),IF(AND(CC25=CB$5,CC$6&lt;=$D$104),-0.5,0),IF(AND(CD25=CB$5,CC$6&lt;=$D$104),-0.5,0))</f>
        <v/>
      </c>
      <c r="CG25" s="164">
        <f>IF(BASE01[[#This Row],[1]]="",0,$B$4)</f>
        <v/>
      </c>
      <c r="CH25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5" s="166">
        <f>IF(BASE01[[#This Row],[Columna14]]=0,0,(CH25/CG25))</f>
        <v/>
      </c>
      <c r="CJ25" s="165">
        <f>IF(BASE01[[#This Row],[1]]="",0,$B$4)</f>
        <v/>
      </c>
      <c r="CK25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5" s="166">
        <f>IF(BASE01[[#This Row],[Columna14]]=0,0,(CK25/CJ25))</f>
        <v/>
      </c>
      <c r="CM25" s="164">
        <f>IF(BASE01[[#This Row],[1]]="",0,$B$4)</f>
        <v/>
      </c>
      <c r="CN25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5" s="166">
        <f>IF(BASE01[[#This Row],[Columna14]]=0,0,(CN25/CM25))</f>
        <v/>
      </c>
      <c r="CP25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5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Row],[Columna25]],$AX$5,BA25,"SF")+COUNTIFS(BASE01[[#This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5" s="166">
        <f>IF(BASE01[[#This Row],[Columna14]]=0,0,(CQ25/CP25))</f>
        <v/>
      </c>
      <c r="CS25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5" s="95" t="n"/>
      <c r="CU25" s="604">
        <f>SUM(CS25,CT25)</f>
        <v/>
      </c>
      <c r="CV25" s="96">
        <f>IF(BASE01[[#This Row],[TIPO]]="PREMIO",$O$3,"0,00")</f>
        <v/>
      </c>
      <c r="CW25" s="576" t="n"/>
      <c r="CY25" s="393" t="inlineStr">
        <is>
          <t>CARRERA</t>
        </is>
      </c>
      <c r="CZ25" s="393">
        <f>_xlfn.XLOOKUP(CZ24,DIV_GAN_SEM_1[DIVIDENDO],DIV_GAN_SEM_1[CARRERA],"")</f>
        <v/>
      </c>
      <c r="DA25" s="394">
        <f t="array" ref="DA25">INDEX(E5:CB5, 1, ($CZ$25-1)*5 + 1)</f>
        <v/>
      </c>
      <c r="DB25" s="605">
        <f>BASE01[[#This Row],[COD]]</f>
        <v/>
      </c>
      <c r="DC25" s="395">
        <f t="array" ref="DC25">IFERROR(IF(AND(INDEX($E$8:$CE$57, MATCH($C25, $C$8:$C$57, 0), (COLUMNS($DC25:DC25)-1)*5 + 1) = INDEX($E$5:$CE$5, 1, (COLUMNS($DC25:DC25)-1)*5 + 1), INDEX($E$8:$CE$57, MATCH($C25, $C$8:$C$57, 0), (COLUMNS($DC25:DC25)-1)*5 + 4) = "F"), INDEX($CZ$8:$CZ$23, COLUMNS($DC25:DC25)), "0"), "")</f>
        <v/>
      </c>
      <c r="DD25" s="395">
        <f t="array" ref="DD25">IFERROR(IF(AND(INDEX($E$8:$CE$57, MATCH($C25, $C$8:$C$57, 0), (COLUMNS($DC25:DD25)-1)*5 + 1) = INDEX($E$5:$CE$5, 1, (COLUMNS($DC25:DD25)-1)*5 + 1), INDEX($E$8:$CE$57, MATCH($C25, $C$8:$C$57, 0), (COLUMNS($DC25:DD25)-1)*5 + 4) = "F"), INDEX($CZ$8:$CZ$23, COLUMNS($DC25:DD25)), "0"), "")</f>
        <v/>
      </c>
      <c r="DE25" s="395">
        <f t="array" ref="DE25">IFERROR(IF(AND(INDEX($E$8:$CE$57, MATCH($C25, $C$8:$C$57, 0), (COLUMNS($DC25:DE25)-1)*5 + 1) = INDEX($E$5:$CE$5, 1, (COLUMNS($DC25:DE25)-1)*5 + 1), INDEX($E$8:$CE$57, MATCH($C25, $C$8:$C$57, 0), (COLUMNS($DC25:DE25)-1)*5 + 4) = "F"), INDEX($CZ$8:$CZ$23, COLUMNS($DC25:DE25)), "0"), "")</f>
        <v/>
      </c>
      <c r="DF25" s="395">
        <f t="array" ref="DF25">IFERROR(IF(AND(INDEX($E$8:$CE$57, MATCH($C25, $C$8:$C$57, 0), (COLUMNS($DC25:DF25)-1)*5 + 1) = INDEX($E$5:$CE$5, 1, (COLUMNS($DC25:DF25)-1)*5 + 1), INDEX($E$8:$CE$57, MATCH($C25, $C$8:$C$57, 0), (COLUMNS($DC25:DF25)-1)*5 + 4) = "F"), INDEX($CZ$8:$CZ$23, COLUMNS($DC25:DF25)), "0"), "")</f>
        <v/>
      </c>
      <c r="DG25" s="395">
        <f t="array" ref="DG25">IFERROR(IF(AND(INDEX($E$8:$CE$57, MATCH($C25, $C$8:$C$57, 0), (COLUMNS($DC25:DG25)-1)*5 + 1) = INDEX($E$5:$CE$5, 1, (COLUMNS($DC25:DG25)-1)*5 + 1), INDEX($E$8:$CE$57, MATCH($C25, $C$8:$C$57, 0), (COLUMNS($DC25:DG25)-1)*5 + 4) = "F"), INDEX($CZ$8:$CZ$23, COLUMNS($DC25:DG25)), "0"), "")</f>
        <v/>
      </c>
      <c r="DH25" s="395">
        <f t="array" ref="DH25">IFERROR(IF(AND(INDEX($E$8:$CE$57, MATCH($C25, $C$8:$C$57, 0), (COLUMNS($DC25:DH25)-1)*5 + 1) = INDEX($E$5:$CE$5, 1, (COLUMNS($DC25:DH25)-1)*5 + 1), INDEX($E$8:$CE$57, MATCH($C25, $C$8:$C$57, 0), (COLUMNS($DC25:DH25)-1)*5 + 4) = "F"), INDEX($CZ$8:$CZ$23, COLUMNS($DC25:DH25)), "0"), "")</f>
        <v/>
      </c>
      <c r="DI25" s="395">
        <f t="array" ref="DI25">IFERROR(IF(AND(INDEX($E$8:$CE$57, MATCH($C25, $C$8:$C$57, 0), (COLUMNS($DC25:DI25)-1)*5 + 1) = INDEX($E$5:$CE$5, 1, (COLUMNS($DC25:DI25)-1)*5 + 1), INDEX($E$8:$CE$57, MATCH($C25, $C$8:$C$57, 0), (COLUMNS($DC25:DI25)-1)*5 + 4) = "F"), INDEX($CZ$8:$CZ$23, COLUMNS($DC25:DI25)), "0"), "")</f>
        <v/>
      </c>
      <c r="DJ25" s="395">
        <f t="array" ref="DJ25">IFERROR(IF(AND(INDEX($E$8:$CE$57, MATCH($C25, $C$8:$C$57, 0), (COLUMNS($DC25:DJ25)-1)*5 + 1) = INDEX($E$5:$CE$5, 1, (COLUMNS($DC25:DJ25)-1)*5 + 1), INDEX($E$8:$CE$57, MATCH($C25, $C$8:$C$57, 0), (COLUMNS($DC25:DJ25)-1)*5 + 4) = "F"), INDEX($CZ$8:$CZ$23, COLUMNS($DC25:DJ25)), "0"), "")</f>
        <v/>
      </c>
      <c r="DK25" s="395">
        <f t="array" ref="DK25">IFERROR(IF(AND(INDEX($E$8:$CE$57, MATCH($C25, $C$8:$C$57, 0), (COLUMNS($DC25:DK25)-1)*5 + 1) = INDEX($E$5:$CE$5, 1, (COLUMNS($DC25:DK25)-1)*5 + 1), INDEX($E$8:$CE$57, MATCH($C25, $C$8:$C$57, 0), (COLUMNS($DC25:DK25)-1)*5 + 4) = "F"), INDEX($CZ$8:$CZ$23, COLUMNS($DC25:DK25)), "0"), "")</f>
        <v/>
      </c>
      <c r="DL25" s="395">
        <f t="array" ref="DL25">IFERROR(IF(AND(INDEX($E$8:$CE$57, MATCH($C25, $C$8:$C$57, 0), (COLUMNS($DC25:DL25)-1)*5 + 1) = INDEX($E$5:$CE$5, 1, (COLUMNS($DC25:DL25)-1)*5 + 1), INDEX($E$8:$CE$57, MATCH($C25, $C$8:$C$57, 0), (COLUMNS($DC25:DL25)-1)*5 + 4) = "F"), INDEX($CZ$8:$CZ$23, COLUMNS($DC25:DL25)), "0"), "")</f>
        <v/>
      </c>
      <c r="DM25" s="395">
        <f t="array" ref="DM25">IFERROR(IF(AND(INDEX($E$8:$CE$57, MATCH($C25, $C$8:$C$57, 0), (COLUMNS($DC25:DM25)-1)*5 + 1) = INDEX($E$5:$CE$5, 1, (COLUMNS($DC25:DM25)-1)*5 + 1), INDEX($E$8:$CE$57, MATCH($C25, $C$8:$C$57, 0), (COLUMNS($DC25:DM25)-1)*5 + 4) = "F"), INDEX($CZ$8:$CZ$23, COLUMNS($DC25:DM25)), "0"), "")</f>
        <v/>
      </c>
      <c r="DN25" s="395">
        <f t="array" ref="DN25">IFERROR(IF(AND(INDEX($E$8:$CE$57, MATCH($C25, $C$8:$C$57, 0), (COLUMNS($DC25:DN25)-1)*5 + 1) = INDEX($E$5:$CE$5, 1, (COLUMNS($DC25:DN25)-1)*5 + 1), INDEX($E$8:$CE$57, MATCH($C25, $C$8:$C$57, 0), (COLUMNS($DC25:DN25)-1)*5 + 4) = "F"), INDEX($CZ$8:$CZ$23, COLUMNS($DC25:DN25)), "0"), "")</f>
        <v/>
      </c>
      <c r="DO25" s="395">
        <f t="array" ref="DO25">IFERROR(IF(AND(INDEX($E$8:$CE$57, MATCH($C25, $C$8:$C$57, 0), (COLUMNS($DC25:DO25)-1)*5 + 1) = INDEX($E$5:$CE$5, 1, (COLUMNS($DC25:DO25)-1)*5 + 1), INDEX($E$8:$CE$57, MATCH($C25, $C$8:$C$57, 0), (COLUMNS($DC25:DO25)-1)*5 + 4) = "F"), INDEX($CZ$8:$CZ$23, COLUMNS($DC25:DO25)), "0"), "")</f>
        <v/>
      </c>
      <c r="DP25" s="395">
        <f t="array" ref="DP25">IFERROR(IF(AND(INDEX($E$8:$CE$57, MATCH($C25, $C$8:$C$57, 0), (COLUMNS($DC25:DP25)-1)*5 + 1) = INDEX($E$5:$CE$5, 1, (COLUMNS($DC25:DP25)-1)*5 + 1), INDEX($E$8:$CE$57, MATCH($C25, $C$8:$C$57, 0), (COLUMNS($DC25:DP25)-1)*5 + 4) = "F"), INDEX($CZ$8:$CZ$23, COLUMNS($DC25:DP25)), "0"), "")</f>
        <v/>
      </c>
      <c r="DQ25" s="395">
        <f t="array" ref="DQ25">IFERROR(IF(AND(INDEX($E$8:$CE$57, MATCH($C25, $C$8:$C$57, 0), (COLUMNS($DC25:DQ25)-1)*5 + 1) = INDEX($E$5:$CE$5, 1, (COLUMNS($DC25:DQ25)-1)*5 + 1), INDEX($E$8:$CE$57, MATCH($C25, $C$8:$C$57, 0), (COLUMNS($DC25:DQ25)-1)*5 + 4) = "F"), INDEX($CZ$8:$CZ$23, COLUMNS($DC25:DQ25)), "0"), "")</f>
        <v/>
      </c>
      <c r="DR25" s="395">
        <f t="array" ref="DR25">IFERROR(IF(AND(INDEX($E$8:$CE$57, MATCH($C25, $C$8:$C$57, 0), (COLUMNS($DC25:DR25)-1)*5 + 1) = INDEX($E$5:$CE$5, 1, (COLUMNS($DC25:DR25)-1)*5 + 1), INDEX($E$8:$CE$57, MATCH($C25, $C$8:$C$57, 0), (COLUMNS($DC25:DR25)-1)*5 + 4) = "F"), INDEX($CZ$8:$CZ$23, COLUMNS($DC25:DR25)), "0"), "")</f>
        <v/>
      </c>
      <c r="DT25" s="605">
        <f>BASE01[[#This Row],[COD]]</f>
        <v/>
      </c>
      <c r="DU25" s="395">
        <f t="array" ref="DU25">IFERROR(IF(AND(INDEX($E$8:$CE$57, MATCH($C25, $C$8:$C$57, 0), (COLUMNS($DU25:DU25)-1)*5 + 1) = INDEX($E$5:$CE$5, 1, (COLUMNS($DU25:DU25)-1)*5 + 1), INDEX($E$8:$CE$57, MATCH($C25, $C$8:$C$57, 0), (COLUMNS($DU25:DU25)-1)*5 + 4) = "SF"), INDEX($CZ$8:$CZ$23, COLUMNS($DU25:DU25)), "0"), "")</f>
        <v/>
      </c>
      <c r="DV25" s="395">
        <f t="array" ref="DV25">IFERROR(IF(AND(INDEX($E$8:$CE$57, MATCH($C25, $C$8:$C$57, 0), (COLUMNS($DU25:DV25)-1)*5 + 1) = INDEX($E$5:$CE$5, 1, (COLUMNS($DU25:DV25)-1)*5 + 1), INDEX($E$8:$CE$57, MATCH($C25, $C$8:$C$57, 0), (COLUMNS($DU25:DV25)-1)*5 + 4) = "SF"), INDEX($CZ$8:$CZ$23, COLUMNS($DU25:DV25)), "0"), "")</f>
        <v/>
      </c>
      <c r="DW25" s="395">
        <f t="array" ref="DW25">IFERROR(IF(AND(INDEX($E$8:$CE$57, MATCH($C25, $C$8:$C$57, 0), (COLUMNS($DU25:DW25)-1)*5 + 1) = INDEX($E$5:$CE$5, 1, (COLUMNS($DU25:DW25)-1)*5 + 1), INDEX($E$8:$CE$57, MATCH($C25, $C$8:$C$57, 0), (COLUMNS($DU25:DW25)-1)*5 + 4) = "SF"), INDEX($CZ$8:$CZ$23, COLUMNS($DU25:DW25)), "0"), "")</f>
        <v/>
      </c>
      <c r="DX25" s="395">
        <f t="array" ref="DX25">IFERROR(IF(AND(INDEX($E$8:$CE$57, MATCH($C25, $C$8:$C$57, 0), (COLUMNS($DU25:DX25)-1)*5 + 1) = INDEX($E$5:$CE$5, 1, (COLUMNS($DU25:DX25)-1)*5 + 1), INDEX($E$8:$CE$57, MATCH($C25, $C$8:$C$57, 0), (COLUMNS($DU25:DX25)-1)*5 + 4) = "SF"), INDEX($CZ$8:$CZ$23, COLUMNS($DU25:DX25)), "0"), "")</f>
        <v/>
      </c>
      <c r="DY25" s="395">
        <f t="array" ref="DY25">IFERROR(IF(AND(INDEX($E$8:$CE$57, MATCH($C25, $C$8:$C$57, 0), (COLUMNS($DU25:DY25)-1)*5 + 1) = INDEX($E$5:$CE$5, 1, (COLUMNS($DU25:DY25)-1)*5 + 1), INDEX($E$8:$CE$57, MATCH($C25, $C$8:$C$57, 0), (COLUMNS($DU25:DY25)-1)*5 + 4) = "SF"), INDEX($CZ$8:$CZ$23, COLUMNS($DU25:DY25)), "0"), "")</f>
        <v/>
      </c>
      <c r="DZ25" s="395">
        <f t="array" ref="DZ25">IFERROR(IF(AND(INDEX($E$8:$CE$57, MATCH($C25, $C$8:$C$57, 0), (COLUMNS($DU25:DZ25)-1)*5 + 1) = INDEX($E$5:$CE$5, 1, (COLUMNS($DU25:DZ25)-1)*5 + 1), INDEX($E$8:$CE$57, MATCH($C25, $C$8:$C$57, 0), (COLUMNS($DU25:DZ25)-1)*5 + 4) = "SF"), INDEX($CZ$8:$CZ$23, COLUMNS($DU25:DZ25)), "0"), "")</f>
        <v/>
      </c>
      <c r="EA25" s="395">
        <f t="array" ref="EA25">IFERROR(IF(AND(INDEX($E$8:$CE$57, MATCH($C25, $C$8:$C$57, 0), (COLUMNS($DU25:EA25)-1)*5 + 1) = INDEX($E$5:$CE$5, 1, (COLUMNS($DU25:EA25)-1)*5 + 1), INDEX($E$8:$CE$57, MATCH($C25, $C$8:$C$57, 0), (COLUMNS($DU25:EA25)-1)*5 + 4) = "SF"), INDEX($CZ$8:$CZ$23, COLUMNS($DU25:EA25)), "0"), "")</f>
        <v/>
      </c>
      <c r="EB25" s="395">
        <f t="array" ref="EB25">IFERROR(IF(AND(INDEX($E$8:$CE$57, MATCH($C25, $C$8:$C$57, 0), (COLUMNS($DU25:EB25)-1)*5 + 1) = INDEX($E$5:$CE$5, 1, (COLUMNS($DU25:EB25)-1)*5 + 1), INDEX($E$8:$CE$57, MATCH($C25, $C$8:$C$57, 0), (COLUMNS($DU25:EB25)-1)*5 + 4) = "SF"), INDEX($CZ$8:$CZ$23, COLUMNS($DU25:EB25)), "0"), "")</f>
        <v/>
      </c>
      <c r="EC25" s="395">
        <f t="array" ref="EC25">IFERROR(IF(AND(INDEX($E$8:$CE$57, MATCH($C25, $C$8:$C$57, 0), (COLUMNS($DU25:EC25)-1)*5 + 1) = INDEX($E$5:$CE$5, 1, (COLUMNS($DU25:EC25)-1)*5 + 1), INDEX($E$8:$CE$57, MATCH($C25, $C$8:$C$57, 0), (COLUMNS($DU25:EC25)-1)*5 + 4) = "SF"), INDEX($CZ$8:$CZ$23, COLUMNS($DU25:EC25)), "0"), "")</f>
        <v/>
      </c>
      <c r="ED25" s="395">
        <f t="array" ref="ED25">IFERROR(IF(AND(INDEX($E$8:$CE$57, MATCH($C25, $C$8:$C$57, 0), (COLUMNS($DU25:ED25)-1)*5 + 1) = INDEX($E$5:$CE$5, 1, (COLUMNS($DU25:ED25)-1)*5 + 1), INDEX($E$8:$CE$57, MATCH($C25, $C$8:$C$57, 0), (COLUMNS($DU25:ED25)-1)*5 + 4) = "SF"), INDEX($CZ$8:$CZ$23, COLUMNS($DU25:ED25)), "0"), "")</f>
        <v/>
      </c>
      <c r="EE25" s="395">
        <f t="array" ref="EE25">IFERROR(IF(AND(INDEX($E$8:$CE$57, MATCH($C25, $C$8:$C$57, 0), (COLUMNS($DU25:EE25)-1)*5 + 1) = INDEX($E$5:$CE$5, 1, (COLUMNS($DU25:EE25)-1)*5 + 1), INDEX($E$8:$CE$57, MATCH($C25, $C$8:$C$57, 0), (COLUMNS($DU25:EE25)-1)*5 + 4) = "SF"), INDEX($CZ$8:$CZ$23, COLUMNS($DU25:EE25)), "0"), "")</f>
        <v/>
      </c>
      <c r="EF25" s="395">
        <f t="array" ref="EF25">IFERROR(IF(AND(INDEX($E$8:$CE$57, MATCH($C25, $C$8:$C$57, 0), (COLUMNS($DU25:EF25)-1)*5 + 1) = INDEX($E$5:$CE$5, 1, (COLUMNS($DU25:EF25)-1)*5 + 1), INDEX($E$8:$CE$57, MATCH($C25, $C$8:$C$57, 0), (COLUMNS($DU25:EF25)-1)*5 + 4) = "SF"), INDEX($CZ$8:$CZ$23, COLUMNS($DU25:EF25)), "0"), "")</f>
        <v/>
      </c>
      <c r="EG25" s="395">
        <f t="array" ref="EG25">IFERROR(IF(AND(INDEX($E$8:$CE$57, MATCH($C25, $C$8:$C$57, 0), (COLUMNS($DU25:EG25)-1)*5 + 1) = INDEX($E$5:$CE$5, 1, (COLUMNS($DU25:EG25)-1)*5 + 1), INDEX($E$8:$CE$57, MATCH($C25, $C$8:$C$57, 0), (COLUMNS($DU25:EG25)-1)*5 + 4) = "SF"), INDEX($CZ$8:$CZ$23, COLUMNS($DU25:EG25)), "0"), "")</f>
        <v/>
      </c>
      <c r="EH25" s="395">
        <f t="array" ref="EH25">IFERROR(IF(AND(INDEX($E$8:$CE$57, MATCH($C25, $C$8:$C$57, 0), (COLUMNS($DU25:EH25)-1)*5 + 1) = INDEX($E$5:$CE$5, 1, (COLUMNS($DU25:EH25)-1)*5 + 1), INDEX($E$8:$CE$57, MATCH($C25, $C$8:$C$57, 0), (COLUMNS($DU25:EH25)-1)*5 + 4) = "SF"), INDEX($CZ$8:$CZ$23, COLUMNS($DU25:EH25)), "0"), "")</f>
        <v/>
      </c>
      <c r="EI25" s="395">
        <f t="array" ref="EI25">IFERROR(IF(AND(INDEX($E$8:$CE$57, MATCH($C25, $C$8:$C$57, 0), (COLUMNS($DU25:EI25)-1)*5 + 1) = INDEX($E$5:$CE$5, 1, (COLUMNS($DU25:EI25)-1)*5 + 1), INDEX($E$8:$CE$57, MATCH($C25, $C$8:$C$57, 0), (COLUMNS($DU25:EI25)-1)*5 + 4) = "SF"), INDEX($CZ$8:$CZ$23, COLUMNS($DU25:EI25)), "0"), "")</f>
        <v/>
      </c>
      <c r="EJ25" s="395">
        <f t="array" ref="EJ25">IFERROR(IF(AND(INDEX($E$8:$CE$57, MATCH($C25, $C$8:$C$57, 0), (COLUMNS($DU25:EJ25)-1)*5 + 1) = INDEX($E$5:$CE$5, 1, (COLUMNS($DU25:EJ25)-1)*5 + 1), INDEX($E$8:$CE$57, MATCH($C25, $C$8:$C$57, 0), (COLUMNS($DU25:EJ25)-1)*5 + 4) = "SF"), INDEX($CZ$8:$CZ$23, COLUMNS($DU25:EJ25)), "0"), "")</f>
        <v/>
      </c>
    </row>
    <row r="26" ht="20.1" customHeight="1" s="568">
      <c r="A26" s="576" t="n"/>
      <c r="B26" s="92">
        <f>IF(BASE01[[#This Row],[COD]]&lt;&gt;"",B25+1,"")</f>
        <v/>
      </c>
      <c r="C26" s="601" t="inlineStr">
        <is>
          <t>COD 19</t>
        </is>
      </c>
      <c r="D26" s="93">
        <f t="array" ref="D26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6" s="145" t="n">
        <v>8</v>
      </c>
      <c r="F26" s="151" t="n">
        <v>6</v>
      </c>
      <c r="G26" s="151" t="n">
        <v>2</v>
      </c>
      <c r="H26" s="151" t="n"/>
      <c r="I26" s="602">
        <f>SUM(IF(E26=E$5,4,0),IF(E26&amp;F26=E$5&amp;F$5,1,0),
IF(AND(E26=E$5,F$6&gt;=$D$115),1,0),
IF(AND(F26=E$5,F$6&gt;=$D$115),1,0),
IF(AND(G26=E$5,F$6&gt;=$D$115),1,0),
IF(E26&amp;H26=I$5,1,0),
IF(F26=E$5,2,0),
IF(G26=E$5,1,0),
IF(OR(E26&amp;F26&amp;G26=E$5&amp;F$5&amp;G$5,E26&amp;F26&amp;G26=E$5&amp;G$5&amp;F$5,E26&amp;F26&amp;G26=F$5&amp;E$5&amp;G$5,E26&amp;F26&amp;G26=F$5&amp;G$5&amp;E$5,E26&amp;F26&amp;G26=G$5&amp;E$5&amp;F$5,E26&amp;F26&amp;G26=G$5&amp;F$5&amp;E$5),2,0),IF(AND(E26=E$5,F$6&gt;=$D$129),1,0),IF(AND(F26=E$5,F$6&gt;=$D$129),1,0),IF(AND(G26=E$5,F$6&gt;=$D$129),1,0),IF(E26&amp;H26=H$5,4,0),IF(AND(E26=E$5,F$6&lt;=$D$104),-0.5,0),IF(AND(F26=E$5,F$6&lt;=$D$104),-0.5,0),IF(AND(G26=E$5,F$6&lt;=$D$104),-0.5,0))</f>
        <v/>
      </c>
      <c r="J26" s="145" t="n">
        <v>8</v>
      </c>
      <c r="K26" s="151" t="n">
        <v>3</v>
      </c>
      <c r="L26" s="151" t="n">
        <v>5</v>
      </c>
      <c r="M26" s="151" t="n"/>
      <c r="N26" s="602">
        <f>SUM(IF(J26=J$5,4,0),IF(J26&amp;K26=J$5&amp;K$5,1,0),
IF(AND(J26=J$5,K$6&gt;=$D$115),1,0),
IF(AND(K26=J$5,K$6&gt;=$D$115),1,0),
IF(AND(L26=J$5,K$6&gt;=$D$115),1,0),
IF(J26&amp;M26=N$5,1,0),
IF(K26=J$5,2,0),
IF(L26=J$5,1,0),
IF(OR(J26&amp;K26&amp;L26=J$5&amp;K$5&amp;L$5,J26&amp;K26&amp;L26=J$5&amp;L$5&amp;K$5,J26&amp;K26&amp;L26=K$5&amp;J$5&amp;L$5,J26&amp;K26&amp;L26=K$5&amp;L$5&amp;J$5,J26&amp;K26&amp;L26=L$5&amp;J$5&amp;K$5,J26&amp;K26&amp;L26=L$5&amp;K$5&amp;J$5),2,0),IF(AND(J26=J$5,K$6&gt;=$D$129),1,0),IF(AND(K26=J$5,K$6&gt;=$D$129),1,0),IF(AND(L26=J$5,K$6&gt;=$D$129),1,0),IF(J26&amp;M26=M$5,4,0),IF(AND(J26=J$5,K$6&lt;=$D$104),-0.5,0),IF(AND(K26=J$5,K$6&lt;=$D$104),-0.5,0),IF(AND(L26=J$5,K$6&lt;=$D$104),-0.5,0))</f>
        <v/>
      </c>
      <c r="O26" s="145" t="n">
        <v>8</v>
      </c>
      <c r="P26" s="151" t="n">
        <v>3</v>
      </c>
      <c r="Q26" s="151" t="n">
        <v>5</v>
      </c>
      <c r="R26" s="151" t="n"/>
      <c r="S26" s="602">
        <f>SUM(IF(O26=O$5,4,0),IF(O26&amp;P26=O$5&amp;P$5,1,0),
IF(AND(O26=O$5,P$6&gt;=$D$115),1,0),
IF(AND(P26=O$5,P$6&gt;=$D$115),1,0),
IF(AND(Q26=O$5,P$6&gt;=$D$115),1,0),
IF(O26&amp;R26=S$5,1,0),
IF(P26=O$5,2,0),
IF(Q26=O$5,1,0),
IF(OR(O26&amp;P26&amp;Q26=O$5&amp;P$5&amp;Q$5,O26&amp;P26&amp;Q26=O$5&amp;Q$5&amp;P$5,O26&amp;P26&amp;Q26=P$5&amp;O$5&amp;Q$5,O26&amp;P26&amp;Q26=P$5&amp;Q$5&amp;O$5,O26&amp;P26&amp;Q26=Q$5&amp;O$5&amp;P$5,O26&amp;P26&amp;Q26=Q$5&amp;P$5&amp;O$5),2,0),IF(AND(O26=O$5,P$6&gt;=$D$129),1,0),IF(AND(P26=O$5,P$6&gt;=$D$129),1,0),IF(AND(Q26=O$5,P$6&gt;=$D$129),1,0),IF(O26&amp;R26=R$5,4,0),IF(AND(O26=O$5,P$6&lt;=$D$104),-0.5,0),IF(AND(P26=O$5,P$6&lt;=$D$104),-0.5,0),IF(AND(Q26=O$5,P$6&lt;=$D$104),-0.5,0))</f>
        <v/>
      </c>
      <c r="T26" s="145" t="n">
        <v>6</v>
      </c>
      <c r="U26" s="151" t="n"/>
      <c r="V26" s="151" t="n"/>
      <c r="W26" s="151" t="inlineStr">
        <is>
          <t>SF</t>
        </is>
      </c>
      <c r="X26" s="602">
        <f>SUM(IF(T26=T$5,4,0),IF(T26&amp;U26=T$5&amp;U$5,1,0),
IF(AND(T26=T$5,U$6&gt;=$D$115),1,0),
IF(AND(U26=T$5,U$6&gt;=$D$115),1,0),
IF(AND(V26=T$5,U$6&gt;=$D$115),1,0),
IF(T26&amp;W26=X$5,1,0),
IF(U26=T$5,2,0),
IF(V26=T$5,1,0),
IF(OR(T26&amp;U26&amp;V26=T$5&amp;U$5&amp;V$5,T26&amp;U26&amp;V26=T$5&amp;V$5&amp;U$5,T26&amp;U26&amp;V26=U$5&amp;T$5&amp;V$5,T26&amp;U26&amp;V26=U$5&amp;V$5&amp;T$5,T26&amp;U26&amp;V26=V$5&amp;T$5&amp;U$5,T26&amp;U26&amp;V26=V$5&amp;U$5&amp;T$5),2,0),IF(AND(T26=T$5,U$6&gt;=$D$129),1,0),IF(AND(U26=T$5,U$6&gt;=$D$129),1,0),IF(AND(V26=T$5,U$6&gt;=$D$129),1,0),IF(T26&amp;W26=W$5,4,0),IF(AND(T26=T$5,U$6&lt;=$D$104),-0.5,0),IF(AND(U26=T$5,U$6&lt;=$D$104),-0.5,0),IF(AND(V26=T$5,U$6&lt;=$D$104),-0.5,0))</f>
        <v/>
      </c>
      <c r="Y26" s="145" t="n">
        <v>5</v>
      </c>
      <c r="Z26" s="151" t="n">
        <v>10</v>
      </c>
      <c r="AA26" s="151" t="n">
        <v>3</v>
      </c>
      <c r="AB26" s="151" t="inlineStr">
        <is>
          <t>F</t>
        </is>
      </c>
      <c r="AC26" s="602">
        <f>SUM(IF(Y26=Y$5,4,0),IF(Y26&amp;Z26=Y$5&amp;Z$5,1,0),
IF(AND(Y26=Y$5,Z$6&gt;=$D$115),1,0),
IF(AND(Z26=Y$5,Z$6&gt;=$D$115),1,0),
IF(AND(AA26=Y$5,Z$6&gt;=$D$115),1,0),
IF(Y26&amp;AB26=AC$5,1,0),
IF(Z26=Y$5,2,0),
IF(AA26=Y$5,1,0),
IF(OR(Y26&amp;Z26&amp;AA26=Y$5&amp;Z$5&amp;AA$5,Y26&amp;Z26&amp;AA26=Y$5&amp;AA$5&amp;Z$5,Y26&amp;Z26&amp;AA26=Z$5&amp;Y$5&amp;AA$5,Y26&amp;Z26&amp;AA26=Z$5&amp;AA$5&amp;Y$5,Y26&amp;Z26&amp;AA26=AA$5&amp;Y$5&amp;Z$5,Y26&amp;Z26&amp;AA26=AA$5&amp;Z$5&amp;Y$5),2,0),IF(AND(Y26=Y$5,Z$6&gt;=$D$129),1,0),IF(AND(Z26=Y$5,Z$6&gt;=$D$129),1,0),IF(AND(AA26=Y$5,Z$6&gt;=$D$129),1,0),IF(Y26&amp;AB26=AB$5,4,0),IF(AND(Y26=Y$5,Z$6&lt;=$D$104),-0.5,0),IF(AND(Z26=Y$5,Z$6&lt;=$D$104),-0.5,0),IF(AND(AA26=Y$5,Z$6&lt;=$D$104),-0.5,0))</f>
        <v/>
      </c>
      <c r="AD26" s="145" t="n">
        <v>7</v>
      </c>
      <c r="AE26" s="151" t="n">
        <v>2</v>
      </c>
      <c r="AF26" s="151" t="n">
        <v>5</v>
      </c>
      <c r="AG26" s="151" t="n"/>
      <c r="AH26" s="602">
        <f>SUM(IF(AD26=AD$5,4,0),IF(AD26&amp;AE26=AD$5&amp;AE$5,1,0),
IF(AND(AD26=AD$5,AE$6&gt;=$D$115),1,0),
IF(AND(AE26=AD$5,AE$6&gt;=$D$115),1,0),
IF(AND(AF26=AD$5,AE$6&gt;=$D$115),1,0),
IF(AD26&amp;AG26=AH$5,1,0),
IF(AE26=AD$5,2,0),
IF(AF26=AD$5,1,0),
IF(OR(AD26&amp;AE26&amp;AF26=AD$5&amp;AE$5&amp;AF$5,AD26&amp;AE26&amp;AF26=AD$5&amp;AF$5&amp;AE$5,AD26&amp;AE26&amp;AF26=AE$5&amp;AD$5&amp;AF$5,AD26&amp;AE26&amp;AF26=AE$5&amp;AF$5&amp;AD$5,AD26&amp;AE26&amp;AF26=AF$5&amp;AD$5&amp;AE$5,AD26&amp;AE26&amp;AF26=AF$5&amp;AE$5&amp;AD$5),2,0),IF(AND(AD26=AD$5,AE$6&gt;=$D$129),1,0),IF(AND(AE26=AD$5,AE$6&gt;=$D$129),1,0),IF(AND(AF26=AD$5,AE$6&gt;=$D$129),1,0),IF(AD26&amp;AG26=AG$5,4,0),IF(AND(AD26=AD$5,AE$6&lt;=$D$104),-0.5,0),IF(AND(AE26=AD$5,AE$6&lt;=$D$104),-0.5,0),IF(AND(AF26=AD$5,AE$6&lt;=$D$104),-0.5,0))</f>
        <v/>
      </c>
      <c r="AI26" s="145" t="n">
        <v>7</v>
      </c>
      <c r="AJ26" s="151" t="n">
        <v>1</v>
      </c>
      <c r="AK26" s="151" t="n">
        <v>3</v>
      </c>
      <c r="AL26" s="151" t="n"/>
      <c r="AM26" s="602">
        <f>SUM(IF(AI26=AI$5,4,0),IF(AI26&amp;AJ26=AI$5&amp;AJ$5,1,0),
IF(AND(AI26=AI$5,AJ$6&gt;=$D$115),1,0),
IF(AND(AJ26=AI$5,AJ$6&gt;=$D$115),1,0),
IF(AND(AK26=AI$5,AJ$6&gt;=$D$115),1,0),
IF(AI26&amp;AL26=AM$5,1,0),
IF(AJ26=AI$5,2,0),
IF(AK26=AI$5,1,0),
IF(OR(AI26&amp;AJ26&amp;AK26=AI$5&amp;AJ$5&amp;AK$5,AI26&amp;AJ26&amp;AK26=AI$5&amp;AK$5&amp;AJ$5,AI26&amp;AJ26&amp;AK26=AJ$5&amp;AI$5&amp;AK$5,AI26&amp;AJ26&amp;AK26=AJ$5&amp;AK$5&amp;AI$5,AI26&amp;AJ26&amp;AK26=AK$5&amp;AI$5&amp;AJ$5,AI26&amp;AJ26&amp;AK26=AK$5&amp;AJ$5&amp;AI$5),2,0),IF(AND(AI26=AI$5,AJ$6&gt;=$D$129),1,0),IF(AND(AJ26=AI$5,AJ$6&gt;=$D$129),1,0),IF(AND(AK26=AI$5,AJ$6&gt;=$D$129),1,0),IF(AI26&amp;AL26=AL$5,4,0),IF(AND(AI26=AI$5,AJ$6&lt;=$D$104),-0.5,0),IF(AND(AJ26=AI$5,AJ$6&lt;=$D$104),-0.5,0),IF(AND(AK26=AI$5,AJ$6&lt;=$D$104),-0.5,0))</f>
        <v/>
      </c>
      <c r="AN26" s="145" t="n">
        <v>8</v>
      </c>
      <c r="AO26" s="151" t="n">
        <v>11</v>
      </c>
      <c r="AP26" s="151" t="n">
        <v>9</v>
      </c>
      <c r="AQ26" s="151" t="n"/>
      <c r="AR26" s="602">
        <f>SUM(IF(AN26=AN$5,4,0),IF(AN26&amp;AO26=AN$5&amp;AO$5,1,0),
IF(AND(AN26=AN$5,AO$6&gt;=$D$115),1,0),
IF(AND(AO26=AN$5,AO$6&gt;=$D$115),1,0),
IF(AND(AP26=AN$5,AO$6&gt;=$D$115),1,0),
IF(AN26&amp;AQ26=AR$5,1,0),
IF(AO26=AN$5,2,0),
IF(AP26=AN$5,1,0),
IF(OR(AN26&amp;AO26&amp;AP26=AN$5&amp;AO$5&amp;AP$5,AN26&amp;AO26&amp;AP26=AN$5&amp;AP$5&amp;AO$5,AN26&amp;AO26&amp;AP26=AO$5&amp;AN$5&amp;AP$5,AN26&amp;AO26&amp;AP26=AO$5&amp;AP$5&amp;AN$5,AN26&amp;AO26&amp;AP26=AP$5&amp;AN$5&amp;AO$5,AN26&amp;AO26&amp;AP26=AP$5&amp;AO$5&amp;AN$5),2,0),IF(AND(AN26=AN$5,AO$6&gt;=$D$129),1,0),IF(AND(AO26=AN$5,AO$6&gt;=$D$129),1,0),IF(AND(AP26=AN$5,AO$6&gt;=$D$129),1,0),IF(AN26&amp;AQ26=AQ$5,4,0),IF(AND(AN26=AN$5,AO$6&lt;=$D$104),-0.5,0),IF(AND(AO26=AN$5,AO$6&lt;=$D$104),-0.5,0),IF(AND(AP26=AN$5,AO$6&lt;=$D$104),-0.5,0))</f>
        <v/>
      </c>
      <c r="AS26" s="145" t="n">
        <v>7</v>
      </c>
      <c r="AT26" s="151" t="n">
        <v>6</v>
      </c>
      <c r="AU26" s="151" t="n">
        <v>2</v>
      </c>
      <c r="AV26" s="151" t="n"/>
      <c r="AW26" s="602">
        <f>SUM(IF(AS26=AS$5,4,0),IF(AS26&amp;AT26=AS$5&amp;AT$5,1,0),
IF(AND(AS26=AS$5,AT$6&gt;=$D$115),1,0),
IF(AND(AT26=AS$5,AT$6&gt;=$D$115),1,0),
IF(AND(AU26=AS$5,AT$6&gt;=$D$115),1,0),
IF(AS26&amp;AV26=AW$5,1,0),
IF(AT26=AS$5,2,0),
IF(AU26=AS$5,1,0),
IF(OR(AS26&amp;AT26&amp;AU26=AS$5&amp;AT$5&amp;AU$5,AS26&amp;AT26&amp;AU26=AS$5&amp;AU$5&amp;AT$5,AS26&amp;AT26&amp;AU26=AT$5&amp;AS$5&amp;AU$5,AS26&amp;AT26&amp;AU26=AT$5&amp;AU$5&amp;AS$5,AS26&amp;AT26&amp;AU26=AU$5&amp;AS$5&amp;AT$5,AS26&amp;AT26&amp;AU26=AU$5&amp;AT$5&amp;AS$5),2,0),IF(AND(AS26=AS$5,AT$6&gt;=$D$129),1,0),IF(AND(AT26=AS$5,AT$6&gt;=$D$129),1,0),IF(AND(AU26=AS$5,AT$6&gt;=$D$129),1,0),IF(AS26&amp;AV26=AV$5,4,0),IF(AND(AS26=AS$5,AT$6&lt;=$D$104),-0.5,0),IF(AND(AT26=AS$5,AT$6&lt;=$D$104),-0.5,0),IF(AND(AU26=AS$5,AT$6&lt;=$D$104),-0.5,0))</f>
        <v/>
      </c>
      <c r="AX26" s="145" t="n">
        <v>9</v>
      </c>
      <c r="AY26" s="151" t="n">
        <v>8</v>
      </c>
      <c r="AZ26" s="151" t="n">
        <v>1</v>
      </c>
      <c r="BA26" s="151" t="n"/>
      <c r="BB26" s="602">
        <f>SUM(IF(AX26=AX$5,4,0),IF(AX26&amp;AY26=AX$5&amp;AY$5,1,0),
IF(AND(AX26=AX$5,AY$6&gt;=$D$115),1,0),
IF(AND(AY26=AX$5,AY$6&gt;=$D$115),1,0),
IF(AND(AZ26=AX$5,AY$6&gt;=$D$115),1,0),
IF(AX26&amp;BA26=BB$5,1,0),
IF(AY26=AX$5,2,0),
IF(AZ26=AX$5,1,0),
IF(OR(AX26&amp;AY26&amp;AZ26=AX$5&amp;AY$5&amp;AZ$5,AX26&amp;AY26&amp;AZ26=AX$5&amp;AZ$5&amp;AY$5,AX26&amp;AY26&amp;AZ26=AY$5&amp;AX$5&amp;AZ$5,AX26&amp;AY26&amp;AZ26=AY$5&amp;AZ$5&amp;AX$5,AX26&amp;AY26&amp;AZ26=AZ$5&amp;AX$5&amp;AY$5,AX26&amp;AY26&amp;AZ26=AZ$5&amp;AY$5&amp;AX$5),2,0),IF(AND(AX26=AX$5,AY$6&gt;=$D$129),1,0),IF(AND(AY26=AX$5,AY$6&gt;=$D$129),1,0),IF(AND(AZ26=AX$5,AY$6&gt;=$D$129),1,0),IF(AX26&amp;BA26=BA$5,4,0),IF(AND(AX26=AX$5,AY$6&lt;=$D$104),-0.5,0),IF(AND(AY26=AX$5,AY$6&lt;=$D$104),-0.5,0),IF(AND(AZ26=AX$5,AY$6&lt;=$D$104),-0.5,0))</f>
        <v/>
      </c>
      <c r="BC26" s="145" t="n">
        <v>4</v>
      </c>
      <c r="BD26" s="151" t="n">
        <v>2</v>
      </c>
      <c r="BE26" s="151" t="n">
        <v>8</v>
      </c>
      <c r="BF26" s="151" t="n"/>
      <c r="BG26" s="602">
        <f>SUM(IF(BC26=BC$5,4,0),IF(BC26&amp;BD26=BC$5&amp;BD$5,1,0),
IF(AND(BC26=BC$5,BD$6&gt;=$D$115),1,0),
IF(AND(BD26=BC$5,BD$6&gt;=$D$115),1,0),
IF(AND(BE26=BC$5,BD$6&gt;=$D$115),1,0),
IF(BC26&amp;BF26=BG$5,1,0),
IF(BD26=BC$5,2,0),
IF(BE26=BC$5,1,0),
IF(OR(BC26&amp;BD26&amp;BE26=BC$5&amp;BD$5&amp;BE$5,BC26&amp;BD26&amp;BE26=BC$5&amp;BE$5&amp;BD$5,BC26&amp;BD26&amp;BE26=BD$5&amp;BC$5&amp;BE$5,BC26&amp;BD26&amp;BE26=BD$5&amp;BE$5&amp;BC$5,BC26&amp;BD26&amp;BE26=BE$5&amp;BC$5&amp;BD$5,BC26&amp;BD26&amp;BE26=BE$5&amp;BD$5&amp;BC$5),2,0),IF(AND(BC26=BC$5,BD$6&gt;=$D$129),1,0),IF(AND(BD26=BC$5,BD$6&gt;=$D$129),1,0),IF(AND(BE26=BC$5,BD$6&gt;=$D$129),1,0),IF(BC26&amp;BF26=BF$5,4,0),IF(AND(BC26=BC$5,BD$6&lt;=$D$104),-0.5,0),IF(AND(BD26=BC$5,BD$6&lt;=$D$104),-0.5,0),IF(AND(BE26=BC$5,BD$6&lt;=$D$104),-0.5,0))</f>
        <v/>
      </c>
      <c r="BH26" s="145" t="n">
        <v>6</v>
      </c>
      <c r="BI26" s="151" t="n">
        <v>5</v>
      </c>
      <c r="BJ26" s="151" t="n">
        <v>2</v>
      </c>
      <c r="BK26" s="151" t="inlineStr">
        <is>
          <t>F</t>
        </is>
      </c>
      <c r="BL26" s="602">
        <f>SUM(IF(BH26=BH$5,4,0),IF(BH26&amp;BI26=BH$5&amp;BI$5,1,0),
IF(AND(BH26=BH$5,BI$6&gt;=$D$115),1,0),
IF(AND(BI26=BH$5,BI$6&gt;=$D$115),1,0),
IF(AND(BJ26=BH$5,BI$6&gt;=$D$115),1,0),
IF(BH26&amp;BK26=BL$5,1,0),
IF(BI26=BH$5,2,0),
IF(BJ26=BH$5,1,0),
IF(OR(BH26&amp;BI26&amp;BJ26=BH$5&amp;BI$5&amp;BJ$5,BH26&amp;BI26&amp;BJ26=BH$5&amp;BJ$5&amp;BI$5,BH26&amp;BI26&amp;BJ26=BI$5&amp;BH$5&amp;BJ$5,BH26&amp;BI26&amp;BJ26=BI$5&amp;BJ$5&amp;BH$5,BH26&amp;BI26&amp;BJ26=BJ$5&amp;BH$5&amp;BI$5,BH26&amp;BI26&amp;BJ26=BJ$5&amp;BI$5&amp;BH$5),2,0),IF(AND(BH26=BH$5,BI$6&gt;=$D$129),1,0),IF(AND(BI26=BH$5,BI$6&gt;=$D$129),1,0),IF(AND(BJ26=BH$5,BI$6&gt;=$D$129),1,0),IF(BH26&amp;BK26=BK$5,4,0),IF(AND(BH26=BH$5,BI$6&lt;=$D$104),-0.5,0),IF(AND(BI26=BH$5,BI$6&lt;=$D$104),-0.5,0),IF(AND(BJ26=BH$5,BI$6&lt;=$D$104),-0.5,0))</f>
        <v/>
      </c>
      <c r="BM26" s="145" t="n">
        <v>12</v>
      </c>
      <c r="BN26" s="151" t="n">
        <v>1</v>
      </c>
      <c r="BO26" s="151" t="n">
        <v>2</v>
      </c>
      <c r="BP26" s="151" t="n"/>
      <c r="BQ26" s="602">
        <f>SUM(IF(BM26=BM$5,4,0),IF(BM26&amp;BN26=BM$5&amp;BN$5,1,0),
IF(AND(BM26=BM$5,BN$6&gt;=$D$115),1,0),
IF(AND(BN26=BM$5,BN$6&gt;=$D$115),1,0),
IF(AND(BO26=BM$5,BN$6&gt;=$D$115),1,0),
IF(BM26&amp;BP26=BQ$5,1,0),
IF(BN26=BM$5,2,0),
IF(BO26=BM$5,1,0),
IF(OR(BM26&amp;BN26&amp;BO26=BM$5&amp;BN$5&amp;BO$5,BM26&amp;BN26&amp;BO26=BM$5&amp;BO$5&amp;BN$5,BM26&amp;BN26&amp;BO26=BN$5&amp;BM$5&amp;BO$5,BM26&amp;BN26&amp;BO26=BN$5&amp;BO$5&amp;BM$5,BM26&amp;BN26&amp;BO26=BO$5&amp;BM$5&amp;BN$5,BM26&amp;BN26&amp;BO26=BO$5&amp;BN$5&amp;BM$5),2,0),IF(AND(BM26=BM$5,BN$6&gt;=$D$129),1,0),IF(AND(BN26=BM$5,BN$6&gt;=$D$129),1,0),IF(AND(BO26=BM$5,BN$6&gt;=$D$129),1,0),IF(BM26&amp;BP26=BP$5,4,0),IF(AND(BM26=BM$5,BN$6&lt;=$D$104),-0.5,0),IF(AND(BN26=BM$5,BN$6&lt;=$D$104),-0.5,0),IF(AND(BO26=BM$5,BN$6&lt;=$D$104),-0.5,0))</f>
        <v/>
      </c>
      <c r="BR26" s="145" t="n"/>
      <c r="BS26" s="151" t="n"/>
      <c r="BT26" s="151" t="n"/>
      <c r="BU26" s="151" t="n"/>
      <c r="BV26" s="602">
        <f>SUM(IF(BR26=BR$5,4,0),IF(BR26&amp;BS26=BR$5&amp;BS$5,1,0),
IF(AND(BR26=BR$5,BS$6&gt;=$D$115),1,0),
IF(AND(BS26=BR$5,BS$6&gt;=$D$115),1,0),
IF(AND(BT26=BR$5,BS$6&gt;=$D$115),1,0),
IF(BR26&amp;BU26=BV$5,1,0),
IF(BS26=BR$5,2,0),
IF(BT26=BR$5,1,0),
IF(OR(BR26&amp;BS26&amp;BT26=BR$5&amp;BS$5&amp;BT$5,BR26&amp;BS26&amp;BT26=BR$5&amp;BT$5&amp;BS$5,BR26&amp;BS26&amp;BT26=BS$5&amp;BR$5&amp;BT$5,BR26&amp;BS26&amp;BT26=BS$5&amp;BT$5&amp;BR$5,BR26&amp;BS26&amp;BT26=BT$5&amp;BR$5&amp;BS$5,BR26&amp;BS26&amp;BT26=BT$5&amp;BS$5&amp;BR$5),2,0),IF(AND(BR26=BR$5,BS$6&gt;=$D$129),1,0),IF(AND(BS26=BR$5,BS$6&gt;=$D$129),1,0),IF(AND(BT26=BR$5,BS$6&gt;=$D$129),1,0),IF(BR26&amp;BU26=BU$5,4,0),IF(AND(BR26=BR$5,BS$6&lt;=$D$104),-0.5,0),IF(AND(BS26=BR$5,BS$6&lt;=$D$104),-0.5,0),IF(AND(BT26=BR$5,BS$6&lt;=$D$104),-0.5,0))</f>
        <v/>
      </c>
      <c r="BW26" s="145" t="n"/>
      <c r="BX26" s="151" t="n"/>
      <c r="BY26" s="151" t="n"/>
      <c r="BZ26" s="151" t="n"/>
      <c r="CA26" s="602">
        <f>SUM(IF(BW26=BW$5,4,0),IF(BW26&amp;BX26=BW$5&amp;BX$5,1,0),
IF(AND(BW26=BW$5,BX$6&gt;=$D$115),1,0),
IF(AND(BX26=BW$5,BX$6&gt;=$D$115),1,0),
IF(AND(BY26=BW$5,BX$6&gt;=$D$115),1,0),
IF(BW26&amp;BZ26=CA$5,1,0),
IF(BX26=BW$5,2,0),
IF(BY26=BW$5,1,0),
IF(OR(BW26&amp;BX26&amp;BY26=BW$5&amp;BX$5&amp;BY$5,BW26&amp;BX26&amp;BY26=BW$5&amp;BY$5&amp;BX$5,BW26&amp;BX26&amp;BY26=BX$5&amp;BW$5&amp;BY$5,BW26&amp;BX26&amp;BY26=BX$5&amp;BY$5&amp;BW$5,BW26&amp;BX26&amp;BY26=BY$5&amp;BW$5&amp;BX$5,BW26&amp;BX26&amp;BY26=BY$5&amp;BX$5&amp;BW$5),2,0),IF(AND(BW26=BW$5,BX$6&gt;=$D$129),1,0),IF(AND(BX26=BW$5,BX$6&gt;=$D$129),1,0),IF(AND(BY26=BW$5,BX$6&gt;=$D$129),1,0),IF(BW26&amp;BZ26=BZ$5,4,0),IF(AND(BW26=BW$5,BX$6&lt;=$D$104),-0.5,0),IF(AND(BX26=BW$5,BX$6&lt;=$D$104),-0.5,0),IF(AND(BY26=BW$5,BX$6&lt;=$D$104),-0.5,0))</f>
        <v/>
      </c>
      <c r="CB26" s="145" t="n"/>
      <c r="CC26" s="151" t="n"/>
      <c r="CD26" s="151" t="n"/>
      <c r="CE26" s="151" t="n"/>
      <c r="CF26" s="602">
        <f>SUM(IF(CB26=CB$5,4,0),IF(CB26&amp;CC26=CB$5&amp;CC$5,1,0),
IF(AND(CB26=CB$5,CC$6&gt;=$D$115),1,0),
IF(AND(CC26=CB$5,CC$6&gt;=$D$115),1,0),
IF(AND(CD26=CB$5,CC$6&gt;=$D$115),1,0),
IF(CB26&amp;CE26=CF$5,1,0),
IF(CC26=CB$5,2,0),
IF(CD26=CB$5,1,0),
IF(OR(CB26&amp;CC26&amp;CD26=CB$5&amp;CC$5&amp;CD$5,CB26&amp;CC26&amp;CD26=CB$5&amp;CD$5&amp;CC$5,CB26&amp;CC26&amp;CD26=CC$5&amp;CB$5&amp;CD$5,CB26&amp;CC26&amp;CD26=CC$5&amp;CD$5&amp;CB$5,CB26&amp;CC26&amp;CD26=CD$5&amp;CB$5&amp;CC$5,CB26&amp;CC26&amp;CD26=CD$5&amp;CC$5&amp;CB$5),2,0),IF(AND(CB26=CB$5,CC$6&gt;=$D$129),1,0),IF(AND(CC26=CB$5,CC$6&gt;=$D$129),1,0),IF(AND(CD26=CB$5,CC$6&gt;=$D$129),1,0),IF(CB26&amp;CE26=CE$5,4,0),IF(AND(CB26=CB$5,CC$6&lt;=$D$104),-0.5,0),IF(AND(CC26=CB$5,CC$6&lt;=$D$104),-0.5,0),IF(AND(CD26=CB$5,CC$6&lt;=$D$104),-0.5,0))</f>
        <v/>
      </c>
      <c r="CG26" s="164">
        <f>IF(BASE01[[#This Row],[1]]="",0,$B$4)</f>
        <v/>
      </c>
      <c r="CH26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6" s="166">
        <f>IF(BASE01[[#This Row],[Columna14]]=0,0,(CH26/CG26))</f>
        <v/>
      </c>
      <c r="CJ26" s="165">
        <f>IF(BASE01[[#This Row],[1]]="",0,$B$4)</f>
        <v/>
      </c>
      <c r="CK26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6" s="166">
        <f>IF(BASE01[[#This Row],[Columna14]]=0,0,(CK26/CJ26))</f>
        <v/>
      </c>
      <c r="CM26" s="164">
        <f>IF(BASE01[[#This Row],[1]]="",0,$B$4)</f>
        <v/>
      </c>
      <c r="CN26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6" s="166">
        <f>IF(BASE01[[#This Row],[Columna14]]=0,0,(CN26/CM26))</f>
        <v/>
      </c>
      <c r="CP26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6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Row],[Columna25]],$AX$5,BA26,"SF")+COUNTIFS(BASE01[[#This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6" s="166">
        <f>IF(BASE01[[#This Row],[Columna14]]=0,0,(CQ26/CP26))</f>
        <v/>
      </c>
      <c r="CS26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6" s="95" t="n"/>
      <c r="CU26" s="604">
        <f>SUM(CS26,CT26)</f>
        <v/>
      </c>
      <c r="CV26" s="96">
        <f>IF(BASE01[[#This Row],[TIPO]]="PREMIO",$O$3,"0,00")</f>
        <v/>
      </c>
      <c r="CW26" s="576" t="n"/>
      <c r="CY26" s="392" t="inlineStr">
        <is>
          <t>CARRERA</t>
        </is>
      </c>
      <c r="CZ26" s="392" t="inlineStr">
        <is>
          <t>CODIGO</t>
        </is>
      </c>
      <c r="DA26" s="392" t="inlineStr">
        <is>
          <t>POSICION</t>
        </is>
      </c>
      <c r="DB26" s="605">
        <f>BASE01[[#This Row],[COD]]</f>
        <v/>
      </c>
      <c r="DC26" s="395">
        <f t="array" ref="DC26">IFERROR(IF(AND(INDEX($E$8:$CE$57, MATCH($C26, $C$8:$C$57, 0), (COLUMNS($DC26:DC26)-1)*5 + 1) = INDEX($E$5:$CE$5, 1, (COLUMNS($DC26:DC26)-1)*5 + 1), INDEX($E$8:$CE$57, MATCH($C26, $C$8:$C$57, 0), (COLUMNS($DC26:DC26)-1)*5 + 4) = "F"), INDEX($CZ$8:$CZ$23, COLUMNS($DC26:DC26)), "0"), "")</f>
        <v/>
      </c>
      <c r="DD26" s="395">
        <f t="array" ref="DD26">IFERROR(IF(AND(INDEX($E$8:$CE$57, MATCH($C26, $C$8:$C$57, 0), (COLUMNS($DC26:DD26)-1)*5 + 1) = INDEX($E$5:$CE$5, 1, (COLUMNS($DC26:DD26)-1)*5 + 1), INDEX($E$8:$CE$57, MATCH($C26, $C$8:$C$57, 0), (COLUMNS($DC26:DD26)-1)*5 + 4) = "F"), INDEX($CZ$8:$CZ$23, COLUMNS($DC26:DD26)), "0"), "")</f>
        <v/>
      </c>
      <c r="DE26" s="395">
        <f t="array" ref="DE26">IFERROR(IF(AND(INDEX($E$8:$CE$57, MATCH($C26, $C$8:$C$57, 0), (COLUMNS($DC26:DE26)-1)*5 + 1) = INDEX($E$5:$CE$5, 1, (COLUMNS($DC26:DE26)-1)*5 + 1), INDEX($E$8:$CE$57, MATCH($C26, $C$8:$C$57, 0), (COLUMNS($DC26:DE26)-1)*5 + 4) = "F"), INDEX($CZ$8:$CZ$23, COLUMNS($DC26:DE26)), "0"), "")</f>
        <v/>
      </c>
      <c r="DF26" s="395">
        <f t="array" ref="DF26">IFERROR(IF(AND(INDEX($E$8:$CE$57, MATCH($C26, $C$8:$C$57, 0), (COLUMNS($DC26:DF26)-1)*5 + 1) = INDEX($E$5:$CE$5, 1, (COLUMNS($DC26:DF26)-1)*5 + 1), INDEX($E$8:$CE$57, MATCH($C26, $C$8:$C$57, 0), (COLUMNS($DC26:DF26)-1)*5 + 4) = "F"), INDEX($CZ$8:$CZ$23, COLUMNS($DC26:DF26)), "0"), "")</f>
        <v/>
      </c>
      <c r="DG26" s="395">
        <f t="array" ref="DG26">IFERROR(IF(AND(INDEX($E$8:$CE$57, MATCH($C26, $C$8:$C$57, 0), (COLUMNS($DC26:DG26)-1)*5 + 1) = INDEX($E$5:$CE$5, 1, (COLUMNS($DC26:DG26)-1)*5 + 1), INDEX($E$8:$CE$57, MATCH($C26, $C$8:$C$57, 0), (COLUMNS($DC26:DG26)-1)*5 + 4) = "F"), INDEX($CZ$8:$CZ$23, COLUMNS($DC26:DG26)), "0"), "")</f>
        <v/>
      </c>
      <c r="DH26" s="395">
        <f t="array" ref="DH26">IFERROR(IF(AND(INDEX($E$8:$CE$57, MATCH($C26, $C$8:$C$57, 0), (COLUMNS($DC26:DH26)-1)*5 + 1) = INDEX($E$5:$CE$5, 1, (COLUMNS($DC26:DH26)-1)*5 + 1), INDEX($E$8:$CE$57, MATCH($C26, $C$8:$C$57, 0), (COLUMNS($DC26:DH26)-1)*5 + 4) = "F"), INDEX($CZ$8:$CZ$23, COLUMNS($DC26:DH26)), "0"), "")</f>
        <v/>
      </c>
      <c r="DI26" s="395">
        <f t="array" ref="DI26">IFERROR(IF(AND(INDEX($E$8:$CE$57, MATCH($C26, $C$8:$C$57, 0), (COLUMNS($DC26:DI26)-1)*5 + 1) = INDEX($E$5:$CE$5, 1, (COLUMNS($DC26:DI26)-1)*5 + 1), INDEX($E$8:$CE$57, MATCH($C26, $C$8:$C$57, 0), (COLUMNS($DC26:DI26)-1)*5 + 4) = "F"), INDEX($CZ$8:$CZ$23, COLUMNS($DC26:DI26)), "0"), "")</f>
        <v/>
      </c>
      <c r="DJ26" s="395">
        <f t="array" ref="DJ26">IFERROR(IF(AND(INDEX($E$8:$CE$57, MATCH($C26, $C$8:$C$57, 0), (COLUMNS($DC26:DJ26)-1)*5 + 1) = INDEX($E$5:$CE$5, 1, (COLUMNS($DC26:DJ26)-1)*5 + 1), INDEX($E$8:$CE$57, MATCH($C26, $C$8:$C$57, 0), (COLUMNS($DC26:DJ26)-1)*5 + 4) = "F"), INDEX($CZ$8:$CZ$23, COLUMNS($DC26:DJ26)), "0"), "")</f>
        <v/>
      </c>
      <c r="DK26" s="395">
        <f t="array" ref="DK26">IFERROR(IF(AND(INDEX($E$8:$CE$57, MATCH($C26, $C$8:$C$57, 0), (COLUMNS($DC26:DK26)-1)*5 + 1) = INDEX($E$5:$CE$5, 1, (COLUMNS($DC26:DK26)-1)*5 + 1), INDEX($E$8:$CE$57, MATCH($C26, $C$8:$C$57, 0), (COLUMNS($DC26:DK26)-1)*5 + 4) = "F"), INDEX($CZ$8:$CZ$23, COLUMNS($DC26:DK26)), "0"), "")</f>
        <v/>
      </c>
      <c r="DL26" s="395">
        <f t="array" ref="DL26">IFERROR(IF(AND(INDEX($E$8:$CE$57, MATCH($C26, $C$8:$C$57, 0), (COLUMNS($DC26:DL26)-1)*5 + 1) = INDEX($E$5:$CE$5, 1, (COLUMNS($DC26:DL26)-1)*5 + 1), INDEX($E$8:$CE$57, MATCH($C26, $C$8:$C$57, 0), (COLUMNS($DC26:DL26)-1)*5 + 4) = "F"), INDEX($CZ$8:$CZ$23, COLUMNS($DC26:DL26)), "0"), "")</f>
        <v/>
      </c>
      <c r="DM26" s="395">
        <f t="array" ref="DM26">IFERROR(IF(AND(INDEX($E$8:$CE$57, MATCH($C26, $C$8:$C$57, 0), (COLUMNS($DC26:DM26)-1)*5 + 1) = INDEX($E$5:$CE$5, 1, (COLUMNS($DC26:DM26)-1)*5 + 1), INDEX($E$8:$CE$57, MATCH($C26, $C$8:$C$57, 0), (COLUMNS($DC26:DM26)-1)*5 + 4) = "F"), INDEX($CZ$8:$CZ$23, COLUMNS($DC26:DM26)), "0"), "")</f>
        <v/>
      </c>
      <c r="DN26" s="395">
        <f t="array" ref="DN26">IFERROR(IF(AND(INDEX($E$8:$CE$57, MATCH($C26, $C$8:$C$57, 0), (COLUMNS($DC26:DN26)-1)*5 + 1) = INDEX($E$5:$CE$5, 1, (COLUMNS($DC26:DN26)-1)*5 + 1), INDEX($E$8:$CE$57, MATCH($C26, $C$8:$C$57, 0), (COLUMNS($DC26:DN26)-1)*5 + 4) = "F"), INDEX($CZ$8:$CZ$23, COLUMNS($DC26:DN26)), "0"), "")</f>
        <v/>
      </c>
      <c r="DO26" s="395">
        <f t="array" ref="DO26">IFERROR(IF(AND(INDEX($E$8:$CE$57, MATCH($C26, $C$8:$C$57, 0), (COLUMNS($DC26:DO26)-1)*5 + 1) = INDEX($E$5:$CE$5, 1, (COLUMNS($DC26:DO26)-1)*5 + 1), INDEX($E$8:$CE$57, MATCH($C26, $C$8:$C$57, 0), (COLUMNS($DC26:DO26)-1)*5 + 4) = "F"), INDEX($CZ$8:$CZ$23, COLUMNS($DC26:DO26)), "0"), "")</f>
        <v/>
      </c>
      <c r="DP26" s="395">
        <f t="array" ref="DP26">IFERROR(IF(AND(INDEX($E$8:$CE$57, MATCH($C26, $C$8:$C$57, 0), (COLUMNS($DC26:DP26)-1)*5 + 1) = INDEX($E$5:$CE$5, 1, (COLUMNS($DC26:DP26)-1)*5 + 1), INDEX($E$8:$CE$57, MATCH($C26, $C$8:$C$57, 0), (COLUMNS($DC26:DP26)-1)*5 + 4) = "F"), INDEX($CZ$8:$CZ$23, COLUMNS($DC26:DP26)), "0"), "")</f>
        <v/>
      </c>
      <c r="DQ26" s="395">
        <f t="array" ref="DQ26">IFERROR(IF(AND(INDEX($E$8:$CE$57, MATCH($C26, $C$8:$C$57, 0), (COLUMNS($DC26:DQ26)-1)*5 + 1) = INDEX($E$5:$CE$5, 1, (COLUMNS($DC26:DQ26)-1)*5 + 1), INDEX($E$8:$CE$57, MATCH($C26, $C$8:$C$57, 0), (COLUMNS($DC26:DQ26)-1)*5 + 4) = "F"), INDEX($CZ$8:$CZ$23, COLUMNS($DC26:DQ26)), "0"), "")</f>
        <v/>
      </c>
      <c r="DR26" s="395">
        <f t="array" ref="DR26">IFERROR(IF(AND(INDEX($E$8:$CE$57, MATCH($C26, $C$8:$C$57, 0), (COLUMNS($DC26:DR26)-1)*5 + 1) = INDEX($E$5:$CE$5, 1, (COLUMNS($DC26:DR26)-1)*5 + 1), INDEX($E$8:$CE$57, MATCH($C26, $C$8:$C$57, 0), (COLUMNS($DC26:DR26)-1)*5 + 4) = "F"), INDEX($CZ$8:$CZ$23, COLUMNS($DC26:DR26)), "0"), "")</f>
        <v/>
      </c>
      <c r="DT26" s="605">
        <f>BASE01[[#This Row],[COD]]</f>
        <v/>
      </c>
      <c r="DU26" s="395">
        <f t="array" ref="DU26">IFERROR(IF(AND(INDEX($E$8:$CE$57, MATCH($C26, $C$8:$C$57, 0), (COLUMNS($DU26:DU26)-1)*5 + 1) = INDEX($E$5:$CE$5, 1, (COLUMNS($DU26:DU26)-1)*5 + 1), INDEX($E$8:$CE$57, MATCH($C26, $C$8:$C$57, 0), (COLUMNS($DU26:DU26)-1)*5 + 4) = "SF"), INDEX($CZ$8:$CZ$23, COLUMNS($DU26:DU26)), "0"), "")</f>
        <v/>
      </c>
      <c r="DV26" s="395">
        <f t="array" ref="DV26">IFERROR(IF(AND(INDEX($E$8:$CE$57, MATCH($C26, $C$8:$C$57, 0), (COLUMNS($DU26:DV26)-1)*5 + 1) = INDEX($E$5:$CE$5, 1, (COLUMNS($DU26:DV26)-1)*5 + 1), INDEX($E$8:$CE$57, MATCH($C26, $C$8:$C$57, 0), (COLUMNS($DU26:DV26)-1)*5 + 4) = "SF"), INDEX($CZ$8:$CZ$23, COLUMNS($DU26:DV26)), "0"), "")</f>
        <v/>
      </c>
      <c r="DW26" s="395">
        <f t="array" ref="DW26">IFERROR(IF(AND(INDEX($E$8:$CE$57, MATCH($C26, $C$8:$C$57, 0), (COLUMNS($DU26:DW26)-1)*5 + 1) = INDEX($E$5:$CE$5, 1, (COLUMNS($DU26:DW26)-1)*5 + 1), INDEX($E$8:$CE$57, MATCH($C26, $C$8:$C$57, 0), (COLUMNS($DU26:DW26)-1)*5 + 4) = "SF"), INDEX($CZ$8:$CZ$23, COLUMNS($DU26:DW26)), "0"), "")</f>
        <v/>
      </c>
      <c r="DX26" s="395">
        <f t="array" ref="DX26">IFERROR(IF(AND(INDEX($E$8:$CE$57, MATCH($C26, $C$8:$C$57, 0), (COLUMNS($DU26:DX26)-1)*5 + 1) = INDEX($E$5:$CE$5, 1, (COLUMNS($DU26:DX26)-1)*5 + 1), INDEX($E$8:$CE$57, MATCH($C26, $C$8:$C$57, 0), (COLUMNS($DU26:DX26)-1)*5 + 4) = "SF"), INDEX($CZ$8:$CZ$23, COLUMNS($DU26:DX26)), "0"), "")</f>
        <v/>
      </c>
      <c r="DY26" s="395">
        <f t="array" ref="DY26">IFERROR(IF(AND(INDEX($E$8:$CE$57, MATCH($C26, $C$8:$C$57, 0), (COLUMNS($DU26:DY26)-1)*5 + 1) = INDEX($E$5:$CE$5, 1, (COLUMNS($DU26:DY26)-1)*5 + 1), INDEX($E$8:$CE$57, MATCH($C26, $C$8:$C$57, 0), (COLUMNS($DU26:DY26)-1)*5 + 4) = "SF"), INDEX($CZ$8:$CZ$23, COLUMNS($DU26:DY26)), "0"), "")</f>
        <v/>
      </c>
      <c r="DZ26" s="395">
        <f t="array" ref="DZ26">IFERROR(IF(AND(INDEX($E$8:$CE$57, MATCH($C26, $C$8:$C$57, 0), (COLUMNS($DU26:DZ26)-1)*5 + 1) = INDEX($E$5:$CE$5, 1, (COLUMNS($DU26:DZ26)-1)*5 + 1), INDEX($E$8:$CE$57, MATCH($C26, $C$8:$C$57, 0), (COLUMNS($DU26:DZ26)-1)*5 + 4) = "SF"), INDEX($CZ$8:$CZ$23, COLUMNS($DU26:DZ26)), "0"), "")</f>
        <v/>
      </c>
      <c r="EA26" s="395">
        <f t="array" ref="EA26">IFERROR(IF(AND(INDEX($E$8:$CE$57, MATCH($C26, $C$8:$C$57, 0), (COLUMNS($DU26:EA26)-1)*5 + 1) = INDEX($E$5:$CE$5, 1, (COLUMNS($DU26:EA26)-1)*5 + 1), INDEX($E$8:$CE$57, MATCH($C26, $C$8:$C$57, 0), (COLUMNS($DU26:EA26)-1)*5 + 4) = "SF"), INDEX($CZ$8:$CZ$23, COLUMNS($DU26:EA26)), "0"), "")</f>
        <v/>
      </c>
      <c r="EB26" s="395">
        <f t="array" ref="EB26">IFERROR(IF(AND(INDEX($E$8:$CE$57, MATCH($C26, $C$8:$C$57, 0), (COLUMNS($DU26:EB26)-1)*5 + 1) = INDEX($E$5:$CE$5, 1, (COLUMNS($DU26:EB26)-1)*5 + 1), INDEX($E$8:$CE$57, MATCH($C26, $C$8:$C$57, 0), (COLUMNS($DU26:EB26)-1)*5 + 4) = "SF"), INDEX($CZ$8:$CZ$23, COLUMNS($DU26:EB26)), "0"), "")</f>
        <v/>
      </c>
      <c r="EC26" s="395">
        <f t="array" ref="EC26">IFERROR(IF(AND(INDEX($E$8:$CE$57, MATCH($C26, $C$8:$C$57, 0), (COLUMNS($DU26:EC26)-1)*5 + 1) = INDEX($E$5:$CE$5, 1, (COLUMNS($DU26:EC26)-1)*5 + 1), INDEX($E$8:$CE$57, MATCH($C26, $C$8:$C$57, 0), (COLUMNS($DU26:EC26)-1)*5 + 4) = "SF"), INDEX($CZ$8:$CZ$23, COLUMNS($DU26:EC26)), "0"), "")</f>
        <v/>
      </c>
      <c r="ED26" s="395">
        <f t="array" ref="ED26">IFERROR(IF(AND(INDEX($E$8:$CE$57, MATCH($C26, $C$8:$C$57, 0), (COLUMNS($DU26:ED26)-1)*5 + 1) = INDEX($E$5:$CE$5, 1, (COLUMNS($DU26:ED26)-1)*5 + 1), INDEX($E$8:$CE$57, MATCH($C26, $C$8:$C$57, 0), (COLUMNS($DU26:ED26)-1)*5 + 4) = "SF"), INDEX($CZ$8:$CZ$23, COLUMNS($DU26:ED26)), "0"), "")</f>
        <v/>
      </c>
      <c r="EE26" s="395">
        <f t="array" ref="EE26">IFERROR(IF(AND(INDEX($E$8:$CE$57, MATCH($C26, $C$8:$C$57, 0), (COLUMNS($DU26:EE26)-1)*5 + 1) = INDEX($E$5:$CE$5, 1, (COLUMNS($DU26:EE26)-1)*5 + 1), INDEX($E$8:$CE$57, MATCH($C26, $C$8:$C$57, 0), (COLUMNS($DU26:EE26)-1)*5 + 4) = "SF"), INDEX($CZ$8:$CZ$23, COLUMNS($DU26:EE26)), "0"), "")</f>
        <v/>
      </c>
      <c r="EF26" s="395">
        <f t="array" ref="EF26">IFERROR(IF(AND(INDEX($E$8:$CE$57, MATCH($C26, $C$8:$C$57, 0), (COLUMNS($DU26:EF26)-1)*5 + 1) = INDEX($E$5:$CE$5, 1, (COLUMNS($DU26:EF26)-1)*5 + 1), INDEX($E$8:$CE$57, MATCH($C26, $C$8:$C$57, 0), (COLUMNS($DU26:EF26)-1)*5 + 4) = "SF"), INDEX($CZ$8:$CZ$23, COLUMNS($DU26:EF26)), "0"), "")</f>
        <v/>
      </c>
      <c r="EG26" s="395">
        <f t="array" ref="EG26">IFERROR(IF(AND(INDEX($E$8:$CE$57, MATCH($C26, $C$8:$C$57, 0), (COLUMNS($DU26:EG26)-1)*5 + 1) = INDEX($E$5:$CE$5, 1, (COLUMNS($DU26:EG26)-1)*5 + 1), INDEX($E$8:$CE$57, MATCH($C26, $C$8:$C$57, 0), (COLUMNS($DU26:EG26)-1)*5 + 4) = "SF"), INDEX($CZ$8:$CZ$23, COLUMNS($DU26:EG26)), "0"), "")</f>
        <v/>
      </c>
      <c r="EH26" s="395">
        <f t="array" ref="EH26">IFERROR(IF(AND(INDEX($E$8:$CE$57, MATCH($C26, $C$8:$C$57, 0), (COLUMNS($DU26:EH26)-1)*5 + 1) = INDEX($E$5:$CE$5, 1, (COLUMNS($DU26:EH26)-1)*5 + 1), INDEX($E$8:$CE$57, MATCH($C26, $C$8:$C$57, 0), (COLUMNS($DU26:EH26)-1)*5 + 4) = "SF"), INDEX($CZ$8:$CZ$23, COLUMNS($DU26:EH26)), "0"), "")</f>
        <v/>
      </c>
      <c r="EI26" s="395">
        <f t="array" ref="EI26">IFERROR(IF(AND(INDEX($E$8:$CE$57, MATCH($C26, $C$8:$C$57, 0), (COLUMNS($DU26:EI26)-1)*5 + 1) = INDEX($E$5:$CE$5, 1, (COLUMNS($DU26:EI26)-1)*5 + 1), INDEX($E$8:$CE$57, MATCH($C26, $C$8:$C$57, 0), (COLUMNS($DU26:EI26)-1)*5 + 4) = "SF"), INDEX($CZ$8:$CZ$23, COLUMNS($DU26:EI26)), "0"), "")</f>
        <v/>
      </c>
      <c r="EJ26" s="395">
        <f t="array" ref="EJ26">IFERROR(IF(AND(INDEX($E$8:$CE$57, MATCH($C26, $C$8:$C$57, 0), (COLUMNS($DU26:EJ26)-1)*5 + 1) = INDEX($E$5:$CE$5, 1, (COLUMNS($DU26:EJ26)-1)*5 + 1), INDEX($E$8:$CE$57, MATCH($C26, $C$8:$C$57, 0), (COLUMNS($DU26:EJ26)-1)*5 + 4) = "SF"), INDEX($CZ$8:$CZ$23, COLUMNS($DU26:EJ26)), "0"), "")</f>
        <v/>
      </c>
    </row>
    <row r="27" ht="19.5" customHeight="1" s="568">
      <c r="A27" s="576" t="n"/>
      <c r="B27" s="92">
        <f>IF(BASE01[[#This Row],[COD]]&lt;&gt;"",B26+1,"")</f>
        <v/>
      </c>
      <c r="C27" s="601" t="inlineStr">
        <is>
          <t>COD 20</t>
        </is>
      </c>
      <c r="D27" s="93">
        <f t="array" ref="D27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7" s="145" t="n">
        <v>1</v>
      </c>
      <c r="F27" s="147" t="n">
        <v>8</v>
      </c>
      <c r="G27" s="147" t="n">
        <v>6</v>
      </c>
      <c r="H27" s="147" t="n"/>
      <c r="I27" s="602">
        <f>SUM(IF(E27=E$5,4,0),IF(E27&amp;F27=E$5&amp;F$5,1,0),
IF(AND(E27=E$5,F$6&gt;=$D$115),1,0),
IF(AND(F27=E$5,F$6&gt;=$D$115),1,0),
IF(AND(G27=E$5,F$6&gt;=$D$115),1,0),
IF(E27&amp;H27=I$5,1,0),
IF(F27=E$5,2,0),
IF(G27=E$5,1,0),
IF(OR(E27&amp;F27&amp;G27=E$5&amp;F$5&amp;G$5,E27&amp;F27&amp;G27=E$5&amp;G$5&amp;F$5,E27&amp;F27&amp;G27=F$5&amp;E$5&amp;G$5,E27&amp;F27&amp;G27=F$5&amp;G$5&amp;E$5,E27&amp;F27&amp;G27=G$5&amp;E$5&amp;F$5,E27&amp;F27&amp;G27=G$5&amp;F$5&amp;E$5),2,0),IF(AND(E27=E$5,F$6&gt;=$D$129),1,0),IF(AND(F27=E$5,F$6&gt;=$D$129),1,0),IF(AND(G27=E$5,F$6&gt;=$D$129),1,0),IF(E27&amp;H27=H$5,4,0),IF(AND(E27=E$5,F$6&lt;=$D$104),-0.5,0),IF(AND(F27=E$5,F$6&lt;=$D$104),-0.5,0),IF(AND(G27=E$5,F$6&lt;=$D$104),-0.5,0))</f>
        <v/>
      </c>
      <c r="J27" s="145" t="n">
        <v>8</v>
      </c>
      <c r="K27" s="147" t="n">
        <v>3</v>
      </c>
      <c r="L27" s="147" t="n">
        <v>5</v>
      </c>
      <c r="M27" s="147" t="n"/>
      <c r="N27" s="602">
        <f>SUM(IF(J27=J$5,4,0),IF(J27&amp;K27=J$5&amp;K$5,1,0),
IF(AND(J27=J$5,K$6&gt;=$D$115),1,0),
IF(AND(K27=J$5,K$6&gt;=$D$115),1,0),
IF(AND(L27=J$5,K$6&gt;=$D$115),1,0),
IF(J27&amp;M27=N$5,1,0),
IF(K27=J$5,2,0),
IF(L27=J$5,1,0),
IF(OR(J27&amp;K27&amp;L27=J$5&amp;K$5&amp;L$5,J27&amp;K27&amp;L27=J$5&amp;L$5&amp;K$5,J27&amp;K27&amp;L27=K$5&amp;J$5&amp;L$5,J27&amp;K27&amp;L27=K$5&amp;L$5&amp;J$5,J27&amp;K27&amp;L27=L$5&amp;J$5&amp;K$5,J27&amp;K27&amp;L27=L$5&amp;K$5&amp;J$5),2,0),IF(AND(J27=J$5,K$6&gt;=$D$129),1,0),IF(AND(K27=J$5,K$6&gt;=$D$129),1,0),IF(AND(L27=J$5,K$6&gt;=$D$129),1,0),IF(J27&amp;M27=M$5,4,0),IF(AND(J27=J$5,K$6&lt;=$D$104),-0.5,0),IF(AND(K27=J$5,K$6&lt;=$D$104),-0.5,0),IF(AND(L27=J$5,K$6&lt;=$D$104),-0.5,0))</f>
        <v/>
      </c>
      <c r="O27" s="145" t="n">
        <v>2</v>
      </c>
      <c r="P27" s="147" t="n">
        <v>6</v>
      </c>
      <c r="Q27" s="147" t="n">
        <v>8</v>
      </c>
      <c r="R27" s="147" t="n"/>
      <c r="S27" s="602">
        <f>SUM(IF(O27=O$5,4,0),IF(O27&amp;P27=O$5&amp;P$5,1,0),
IF(AND(O27=O$5,P$6&gt;=$D$115),1,0),
IF(AND(P27=O$5,P$6&gt;=$D$115),1,0),
IF(AND(Q27=O$5,P$6&gt;=$D$115),1,0),
IF(O27&amp;R27=S$5,1,0),
IF(P27=O$5,2,0),
IF(Q27=O$5,1,0),
IF(OR(O27&amp;P27&amp;Q27=O$5&amp;P$5&amp;Q$5,O27&amp;P27&amp;Q27=O$5&amp;Q$5&amp;P$5,O27&amp;P27&amp;Q27=P$5&amp;O$5&amp;Q$5,O27&amp;P27&amp;Q27=P$5&amp;Q$5&amp;O$5,O27&amp;P27&amp;Q27=Q$5&amp;O$5&amp;P$5,O27&amp;P27&amp;Q27=Q$5&amp;P$5&amp;O$5),2,0),IF(AND(O27=O$5,P$6&gt;=$D$129),1,0),IF(AND(P27=O$5,P$6&gt;=$D$129),1,0),IF(AND(Q27=O$5,P$6&gt;=$D$129),1,0),IF(O27&amp;R27=R$5,4,0),IF(AND(O27=O$5,P$6&lt;=$D$104),-0.5,0),IF(AND(P27=O$5,P$6&lt;=$D$104),-0.5,0),IF(AND(Q27=O$5,P$6&lt;=$D$104),-0.5,0))</f>
        <v/>
      </c>
      <c r="T27" s="145" t="n">
        <v>6</v>
      </c>
      <c r="U27" s="147" t="n">
        <v>8</v>
      </c>
      <c r="V27" s="147" t="n">
        <v>2</v>
      </c>
      <c r="W27" s="147" t="n"/>
      <c r="X27" s="602">
        <f>SUM(IF(T27=T$5,4,0),IF(T27&amp;U27=T$5&amp;U$5,1,0),
IF(AND(T27=T$5,U$6&gt;=$D$115),1,0),
IF(AND(U27=T$5,U$6&gt;=$D$115),1,0),
IF(AND(V27=T$5,U$6&gt;=$D$115),1,0),
IF(T27&amp;W27=X$5,1,0),
IF(U27=T$5,2,0),
IF(V27=T$5,1,0),
IF(OR(T27&amp;U27&amp;V27=T$5&amp;U$5&amp;V$5,T27&amp;U27&amp;V27=T$5&amp;V$5&amp;U$5,T27&amp;U27&amp;V27=U$5&amp;T$5&amp;V$5,T27&amp;U27&amp;V27=U$5&amp;V$5&amp;T$5,T27&amp;U27&amp;V27=V$5&amp;T$5&amp;U$5,T27&amp;U27&amp;V27=V$5&amp;U$5&amp;T$5),2,0),IF(AND(T27=T$5,U$6&gt;=$D$129),1,0),IF(AND(U27=T$5,U$6&gt;=$D$129),1,0),IF(AND(V27=T$5,U$6&gt;=$D$129),1,0),IF(T27&amp;W27=W$5,4,0),IF(AND(T27=T$5,U$6&lt;=$D$104),-0.5,0),IF(AND(U27=T$5,U$6&lt;=$D$104),-0.5,0),IF(AND(V27=T$5,U$6&lt;=$D$104),-0.5,0))</f>
        <v/>
      </c>
      <c r="Y27" s="145" t="n">
        <v>5</v>
      </c>
      <c r="Z27" s="147" t="n">
        <v>1</v>
      </c>
      <c r="AA27" s="147" t="n">
        <v>8</v>
      </c>
      <c r="AB27" s="147" t="inlineStr">
        <is>
          <t>F</t>
        </is>
      </c>
      <c r="AC27" s="602">
        <f>SUM(IF(Y27=Y$5,4,0),IF(Y27&amp;Z27=Y$5&amp;Z$5,1,0),
IF(AND(Y27=Y$5,Z$6&gt;=$D$115),1,0),
IF(AND(Z27=Y$5,Z$6&gt;=$D$115),1,0),
IF(AND(AA27=Y$5,Z$6&gt;=$D$115),1,0),
IF(Y27&amp;AB27=AC$5,1,0),
IF(Z27=Y$5,2,0),
IF(AA27=Y$5,1,0),
IF(OR(Y27&amp;Z27&amp;AA27=Y$5&amp;Z$5&amp;AA$5,Y27&amp;Z27&amp;AA27=Y$5&amp;AA$5&amp;Z$5,Y27&amp;Z27&amp;AA27=Z$5&amp;Y$5&amp;AA$5,Y27&amp;Z27&amp;AA27=Z$5&amp;AA$5&amp;Y$5,Y27&amp;Z27&amp;AA27=AA$5&amp;Y$5&amp;Z$5,Y27&amp;Z27&amp;AA27=AA$5&amp;Z$5&amp;Y$5),2,0),IF(AND(Y27=Y$5,Z$6&gt;=$D$129),1,0),IF(AND(Z27=Y$5,Z$6&gt;=$D$129),1,0),IF(AND(AA27=Y$5,Z$6&gt;=$D$129),1,0),IF(Y27&amp;AB27=AB$5,4,0),IF(AND(Y27=Y$5,Z$6&lt;=$D$104),-0.5,0),IF(AND(Z27=Y$5,Z$6&lt;=$D$104),-0.5,0),IF(AND(AA27=Y$5,Z$6&lt;=$D$104),-0.5,0))</f>
        <v/>
      </c>
      <c r="AD27" s="145" t="n">
        <v>2</v>
      </c>
      <c r="AE27" s="147" t="n">
        <v>7</v>
      </c>
      <c r="AF27" s="147" t="n">
        <v>3</v>
      </c>
      <c r="AG27" s="147" t="n"/>
      <c r="AH27" s="602">
        <f>SUM(IF(AD27=AD$5,4,0),IF(AD27&amp;AE27=AD$5&amp;AE$5,1,0),
IF(AND(AD27=AD$5,AE$6&gt;=$D$115),1,0),
IF(AND(AE27=AD$5,AE$6&gt;=$D$115),1,0),
IF(AND(AF27=AD$5,AE$6&gt;=$D$115),1,0),
IF(AD27&amp;AG27=AH$5,1,0),
IF(AE27=AD$5,2,0),
IF(AF27=AD$5,1,0),
IF(OR(AD27&amp;AE27&amp;AF27=AD$5&amp;AE$5&amp;AF$5,AD27&amp;AE27&amp;AF27=AD$5&amp;AF$5&amp;AE$5,AD27&amp;AE27&amp;AF27=AE$5&amp;AD$5&amp;AF$5,AD27&amp;AE27&amp;AF27=AE$5&amp;AF$5&amp;AD$5,AD27&amp;AE27&amp;AF27=AF$5&amp;AD$5&amp;AE$5,AD27&amp;AE27&amp;AF27=AF$5&amp;AE$5&amp;AD$5),2,0),IF(AND(AD27=AD$5,AE$6&gt;=$D$129),1,0),IF(AND(AE27=AD$5,AE$6&gt;=$D$129),1,0),IF(AND(AF27=AD$5,AE$6&gt;=$D$129),1,0),IF(AD27&amp;AG27=AG$5,4,0),IF(AND(AD27=AD$5,AE$6&lt;=$D$104),-0.5,0),IF(AND(AE27=AD$5,AE$6&lt;=$D$104),-0.5,0),IF(AND(AF27=AD$5,AE$6&lt;=$D$104),-0.5,0))</f>
        <v/>
      </c>
      <c r="AI27" s="145" t="n">
        <v>7</v>
      </c>
      <c r="AJ27" s="147" t="n">
        <v>3</v>
      </c>
      <c r="AK27" s="147" t="n">
        <v>4</v>
      </c>
      <c r="AL27" s="147" t="n"/>
      <c r="AM27" s="602">
        <f>SUM(IF(AI27=AI$5,4,0),IF(AI27&amp;AJ27=AI$5&amp;AJ$5,1,0),
IF(AND(AI27=AI$5,AJ$6&gt;=$D$115),1,0),
IF(AND(AJ27=AI$5,AJ$6&gt;=$D$115),1,0),
IF(AND(AK27=AI$5,AJ$6&gt;=$D$115),1,0),
IF(AI27&amp;AL27=AM$5,1,0),
IF(AJ27=AI$5,2,0),
IF(AK27=AI$5,1,0),
IF(OR(AI27&amp;AJ27&amp;AK27=AI$5&amp;AJ$5&amp;AK$5,AI27&amp;AJ27&amp;AK27=AI$5&amp;AK$5&amp;AJ$5,AI27&amp;AJ27&amp;AK27=AJ$5&amp;AI$5&amp;AK$5,AI27&amp;AJ27&amp;AK27=AJ$5&amp;AK$5&amp;AI$5,AI27&amp;AJ27&amp;AK27=AK$5&amp;AI$5&amp;AJ$5,AI27&amp;AJ27&amp;AK27=AK$5&amp;AJ$5&amp;AI$5),2,0),IF(AND(AI27=AI$5,AJ$6&gt;=$D$129),1,0),IF(AND(AJ27=AI$5,AJ$6&gt;=$D$129),1,0),IF(AND(AK27=AI$5,AJ$6&gt;=$D$129),1,0),IF(AI27&amp;AL27=AL$5,4,0),IF(AND(AI27=AI$5,AJ$6&lt;=$D$104),-0.5,0),IF(AND(AJ27=AI$5,AJ$6&lt;=$D$104),-0.5,0),IF(AND(AK27=AI$5,AJ$6&lt;=$D$104),-0.5,0))</f>
        <v/>
      </c>
      <c r="AN27" s="145" t="n">
        <v>8</v>
      </c>
      <c r="AO27" s="147" t="n">
        <v>9</v>
      </c>
      <c r="AP27" s="147" t="n">
        <v>12</v>
      </c>
      <c r="AQ27" s="147" t="n"/>
      <c r="AR27" s="602">
        <f>SUM(IF(AN27=AN$5,4,0),IF(AN27&amp;AO27=AN$5&amp;AO$5,1,0),
IF(AND(AN27=AN$5,AO$6&gt;=$D$115),1,0),
IF(AND(AO27=AN$5,AO$6&gt;=$D$115),1,0),
IF(AND(AP27=AN$5,AO$6&gt;=$D$115),1,0),
IF(AN27&amp;AQ27=AR$5,1,0),
IF(AO27=AN$5,2,0),
IF(AP27=AN$5,1,0),
IF(OR(AN27&amp;AO27&amp;AP27=AN$5&amp;AO$5&amp;AP$5,AN27&amp;AO27&amp;AP27=AN$5&amp;AP$5&amp;AO$5,AN27&amp;AO27&amp;AP27=AO$5&amp;AN$5&amp;AP$5,AN27&amp;AO27&amp;AP27=AO$5&amp;AP$5&amp;AN$5,AN27&amp;AO27&amp;AP27=AP$5&amp;AN$5&amp;AO$5,AN27&amp;AO27&amp;AP27=AP$5&amp;AO$5&amp;AN$5),2,0),IF(AND(AN27=AN$5,AO$6&gt;=$D$129),1,0),IF(AND(AO27=AN$5,AO$6&gt;=$D$129),1,0),IF(AND(AP27=AN$5,AO$6&gt;=$D$129),1,0),IF(AN27&amp;AQ27=AQ$5,4,0),IF(AND(AN27=AN$5,AO$6&lt;=$D$104),-0.5,0),IF(AND(AO27=AN$5,AO$6&lt;=$D$104),-0.5,0),IF(AND(AP27=AN$5,AO$6&lt;=$D$104),-0.5,0))</f>
        <v/>
      </c>
      <c r="AS27" s="145" t="n">
        <v>1</v>
      </c>
      <c r="AT27" s="147" t="n">
        <v>2</v>
      </c>
      <c r="AU27" s="147" t="n">
        <v>7</v>
      </c>
      <c r="AV27" s="147" t="inlineStr">
        <is>
          <t>F</t>
        </is>
      </c>
      <c r="AW27" s="602">
        <f>SUM(IF(AS27=AS$5,4,0),IF(AS27&amp;AT27=AS$5&amp;AT$5,1,0),
IF(AND(AS27=AS$5,AT$6&gt;=$D$115),1,0),
IF(AND(AT27=AS$5,AT$6&gt;=$D$115),1,0),
IF(AND(AU27=AS$5,AT$6&gt;=$D$115),1,0),
IF(AS27&amp;AV27=AW$5,1,0),
IF(AT27=AS$5,2,0),
IF(AU27=AS$5,1,0),
IF(OR(AS27&amp;AT27&amp;AU27=AS$5&amp;AT$5&amp;AU$5,AS27&amp;AT27&amp;AU27=AS$5&amp;AU$5&amp;AT$5,AS27&amp;AT27&amp;AU27=AT$5&amp;AS$5&amp;AU$5,AS27&amp;AT27&amp;AU27=AT$5&amp;AU$5&amp;AS$5,AS27&amp;AT27&amp;AU27=AU$5&amp;AS$5&amp;AT$5,AS27&amp;AT27&amp;AU27=AU$5&amp;AT$5&amp;AS$5),2,0),IF(AND(AS27=AS$5,AT$6&gt;=$D$129),1,0),IF(AND(AT27=AS$5,AT$6&gt;=$D$129),1,0),IF(AND(AU27=AS$5,AT$6&gt;=$D$129),1,0),IF(AS27&amp;AV27=AV$5,4,0),IF(AND(AS27=AS$5,AT$6&lt;=$D$104),-0.5,0),IF(AND(AT27=AS$5,AT$6&lt;=$D$104),-0.5,0),IF(AND(AU27=AS$5,AT$6&lt;=$D$104),-0.5,0))</f>
        <v/>
      </c>
      <c r="AX27" s="145" t="n">
        <v>1</v>
      </c>
      <c r="AY27" s="147" t="n">
        <v>9</v>
      </c>
      <c r="AZ27" s="147" t="n">
        <v>7</v>
      </c>
      <c r="BA27" s="147" t="n"/>
      <c r="BB27" s="602">
        <f>SUM(IF(AX27=AX$5,4,0),IF(AX27&amp;AY27=AX$5&amp;AY$5,1,0),
IF(AND(AX27=AX$5,AY$6&gt;=$D$115),1,0),
IF(AND(AY27=AX$5,AY$6&gt;=$D$115),1,0),
IF(AND(AZ27=AX$5,AY$6&gt;=$D$115),1,0),
IF(AX27&amp;BA27=BB$5,1,0),
IF(AY27=AX$5,2,0),
IF(AZ27=AX$5,1,0),
IF(OR(AX27&amp;AY27&amp;AZ27=AX$5&amp;AY$5&amp;AZ$5,AX27&amp;AY27&amp;AZ27=AX$5&amp;AZ$5&amp;AY$5,AX27&amp;AY27&amp;AZ27=AY$5&amp;AX$5&amp;AZ$5,AX27&amp;AY27&amp;AZ27=AY$5&amp;AZ$5&amp;AX$5,AX27&amp;AY27&amp;AZ27=AZ$5&amp;AX$5&amp;AY$5,AX27&amp;AY27&amp;AZ27=AZ$5&amp;AY$5&amp;AX$5),2,0),IF(AND(AX27=AX$5,AY$6&gt;=$D$129),1,0),IF(AND(AY27=AX$5,AY$6&gt;=$D$129),1,0),IF(AND(AZ27=AX$5,AY$6&gt;=$D$129),1,0),IF(AX27&amp;BA27=BA$5,4,0),IF(AND(AX27=AX$5,AY$6&lt;=$D$104),-0.5,0),IF(AND(AY27=AX$5,AY$6&lt;=$D$104),-0.5,0),IF(AND(AZ27=AX$5,AY$6&lt;=$D$104),-0.5,0))</f>
        <v/>
      </c>
      <c r="BC27" s="145" t="n">
        <v>4</v>
      </c>
      <c r="BD27" s="147" t="n">
        <v>2</v>
      </c>
      <c r="BE27" s="147" t="n">
        <v>1</v>
      </c>
      <c r="BF27" s="147" t="n"/>
      <c r="BG27" s="602">
        <f>SUM(IF(BC27=BC$5,4,0),IF(BC27&amp;BD27=BC$5&amp;BD$5,1,0),
IF(AND(BC27=BC$5,BD$6&gt;=$D$115),1,0),
IF(AND(BD27=BC$5,BD$6&gt;=$D$115),1,0),
IF(AND(BE27=BC$5,BD$6&gt;=$D$115),1,0),
IF(BC27&amp;BF27=BG$5,1,0),
IF(BD27=BC$5,2,0),
IF(BE27=BC$5,1,0),
IF(OR(BC27&amp;BD27&amp;BE27=BC$5&amp;BD$5&amp;BE$5,BC27&amp;BD27&amp;BE27=BC$5&amp;BE$5&amp;BD$5,BC27&amp;BD27&amp;BE27=BD$5&amp;BC$5&amp;BE$5,BC27&amp;BD27&amp;BE27=BD$5&amp;BE$5&amp;BC$5,BC27&amp;BD27&amp;BE27=BE$5&amp;BC$5&amp;BD$5,BC27&amp;BD27&amp;BE27=BE$5&amp;BD$5&amp;BC$5),2,0),IF(AND(BC27=BC$5,BD$6&gt;=$D$129),1,0),IF(AND(BD27=BC$5,BD$6&gt;=$D$129),1,0),IF(AND(BE27=BC$5,BD$6&gt;=$D$129),1,0),IF(BC27&amp;BF27=BF$5,4,0),IF(AND(BC27=BC$5,BD$6&lt;=$D$104),-0.5,0),IF(AND(BD27=BC$5,BD$6&lt;=$D$104),-0.5,0),IF(AND(BE27=BC$5,BD$6&lt;=$D$104),-0.5,0))</f>
        <v/>
      </c>
      <c r="BH27" s="145" t="n">
        <v>1</v>
      </c>
      <c r="BI27" s="147" t="n"/>
      <c r="BJ27" s="147" t="n"/>
      <c r="BK27" s="147" t="inlineStr">
        <is>
          <t>SF</t>
        </is>
      </c>
      <c r="BL27" s="602">
        <f>SUM(IF(BH27=BH$5,4,0),IF(BH27&amp;BI27=BH$5&amp;BI$5,1,0),
IF(AND(BH27=BH$5,BI$6&gt;=$D$115),1,0),
IF(AND(BI27=BH$5,BI$6&gt;=$D$115),1,0),
IF(AND(BJ27=BH$5,BI$6&gt;=$D$115),1,0),
IF(BH27&amp;BK27=BL$5,1,0),
IF(BI27=BH$5,2,0),
IF(BJ27=BH$5,1,0),
IF(OR(BH27&amp;BI27&amp;BJ27=BH$5&amp;BI$5&amp;BJ$5,BH27&amp;BI27&amp;BJ27=BH$5&amp;BJ$5&amp;BI$5,BH27&amp;BI27&amp;BJ27=BI$5&amp;BH$5&amp;BJ$5,BH27&amp;BI27&amp;BJ27=BI$5&amp;BJ$5&amp;BH$5,BH27&amp;BI27&amp;BJ27=BJ$5&amp;BH$5&amp;BI$5,BH27&amp;BI27&amp;BJ27=BJ$5&amp;BI$5&amp;BH$5),2,0),IF(AND(BH27=BH$5,BI$6&gt;=$D$129),1,0),IF(AND(BI27=BH$5,BI$6&gt;=$D$129),1,0),IF(AND(BJ27=BH$5,BI$6&gt;=$D$129),1,0),IF(BH27&amp;BK27=BK$5,4,0),IF(AND(BH27=BH$5,BI$6&lt;=$D$104),-0.5,0),IF(AND(BI27=BH$5,BI$6&lt;=$D$104),-0.5,0),IF(AND(BJ27=BH$5,BI$6&lt;=$D$104),-0.5,0))</f>
        <v/>
      </c>
      <c r="BM27" s="145" t="n">
        <v>1</v>
      </c>
      <c r="BN27" s="147" t="n">
        <v>2</v>
      </c>
      <c r="BO27" s="147" t="n">
        <v>12</v>
      </c>
      <c r="BP27" s="147" t="n"/>
      <c r="BQ27" s="602">
        <f>SUM(IF(BM27=BM$5,4,0),IF(BM27&amp;BN27=BM$5&amp;BN$5,1,0),
IF(AND(BM27=BM$5,BN$6&gt;=$D$115),1,0),
IF(AND(BN27=BM$5,BN$6&gt;=$D$115),1,0),
IF(AND(BO27=BM$5,BN$6&gt;=$D$115),1,0),
IF(BM27&amp;BP27=BQ$5,1,0),
IF(BN27=BM$5,2,0),
IF(BO27=BM$5,1,0),
IF(OR(BM27&amp;BN27&amp;BO27=BM$5&amp;BN$5&amp;BO$5,BM27&amp;BN27&amp;BO27=BM$5&amp;BO$5&amp;BN$5,BM27&amp;BN27&amp;BO27=BN$5&amp;BM$5&amp;BO$5,BM27&amp;BN27&amp;BO27=BN$5&amp;BO$5&amp;BM$5,BM27&amp;BN27&amp;BO27=BO$5&amp;BM$5&amp;BN$5,BM27&amp;BN27&amp;BO27=BO$5&amp;BN$5&amp;BM$5),2,0),IF(AND(BM27=BM$5,BN$6&gt;=$D$129),1,0),IF(AND(BN27=BM$5,BN$6&gt;=$D$129),1,0),IF(AND(BO27=BM$5,BN$6&gt;=$D$129),1,0),IF(BM27&amp;BP27=BP$5,4,0),IF(AND(BM27=BM$5,BN$6&lt;=$D$104),-0.5,0),IF(AND(BN27=BM$5,BN$6&lt;=$D$104),-0.5,0),IF(AND(BO27=BM$5,BN$6&lt;=$D$104),-0.5,0))</f>
        <v/>
      </c>
      <c r="BR27" s="145" t="n"/>
      <c r="BS27" s="147" t="n"/>
      <c r="BT27" s="147" t="n"/>
      <c r="BU27" s="147" t="n"/>
      <c r="BV27" s="602">
        <f>SUM(IF(BR27=BR$5,4,0),IF(BR27&amp;BS27=BR$5&amp;BS$5,1,0),
IF(AND(BR27=BR$5,BS$6&gt;=$D$115),1,0),
IF(AND(BS27=BR$5,BS$6&gt;=$D$115),1,0),
IF(AND(BT27=BR$5,BS$6&gt;=$D$115),1,0),
IF(BR27&amp;BU27=BV$5,1,0),
IF(BS27=BR$5,2,0),
IF(BT27=BR$5,1,0),
IF(OR(BR27&amp;BS27&amp;BT27=BR$5&amp;BS$5&amp;BT$5,BR27&amp;BS27&amp;BT27=BR$5&amp;BT$5&amp;BS$5,BR27&amp;BS27&amp;BT27=BS$5&amp;BR$5&amp;BT$5,BR27&amp;BS27&amp;BT27=BS$5&amp;BT$5&amp;BR$5,BR27&amp;BS27&amp;BT27=BT$5&amp;BR$5&amp;BS$5,BR27&amp;BS27&amp;BT27=BT$5&amp;BS$5&amp;BR$5),2,0),IF(AND(BR27=BR$5,BS$6&gt;=$D$129),1,0),IF(AND(BS27=BR$5,BS$6&gt;=$D$129),1,0),IF(AND(BT27=BR$5,BS$6&gt;=$D$129),1,0),IF(BR27&amp;BU27=BU$5,4,0),IF(AND(BR27=BR$5,BS$6&lt;=$D$104),-0.5,0),IF(AND(BS27=BR$5,BS$6&lt;=$D$104),-0.5,0),IF(AND(BT27=BR$5,BS$6&lt;=$D$104),-0.5,0))</f>
        <v/>
      </c>
      <c r="BW27" s="145" t="n"/>
      <c r="BX27" s="147" t="n"/>
      <c r="BY27" s="147" t="n"/>
      <c r="BZ27" s="147" t="n"/>
      <c r="CA27" s="602">
        <f>SUM(IF(BW27=BW$5,4,0),IF(BW27&amp;BX27=BW$5&amp;BX$5,1,0),
IF(AND(BW27=BW$5,BX$6&gt;=$D$115),1,0),
IF(AND(BX27=BW$5,BX$6&gt;=$D$115),1,0),
IF(AND(BY27=BW$5,BX$6&gt;=$D$115),1,0),
IF(BW27&amp;BZ27=CA$5,1,0),
IF(BX27=BW$5,2,0),
IF(BY27=BW$5,1,0),
IF(OR(BW27&amp;BX27&amp;BY27=BW$5&amp;BX$5&amp;BY$5,BW27&amp;BX27&amp;BY27=BW$5&amp;BY$5&amp;BX$5,BW27&amp;BX27&amp;BY27=BX$5&amp;BW$5&amp;BY$5,BW27&amp;BX27&amp;BY27=BX$5&amp;BY$5&amp;BW$5,BW27&amp;BX27&amp;BY27=BY$5&amp;BW$5&amp;BX$5,BW27&amp;BX27&amp;BY27=BY$5&amp;BX$5&amp;BW$5),2,0),IF(AND(BW27=BW$5,BX$6&gt;=$D$129),1,0),IF(AND(BX27=BW$5,BX$6&gt;=$D$129),1,0),IF(AND(BY27=BW$5,BX$6&gt;=$D$129),1,0),IF(BW27&amp;BZ27=BZ$5,4,0),IF(AND(BW27=BW$5,BX$6&lt;=$D$104),-0.5,0),IF(AND(BX27=BW$5,BX$6&lt;=$D$104),-0.5,0),IF(AND(BY27=BW$5,BX$6&lt;=$D$104),-0.5,0))</f>
        <v/>
      </c>
      <c r="CB27" s="145" t="n"/>
      <c r="CC27" s="147" t="n"/>
      <c r="CD27" s="147" t="n"/>
      <c r="CE27" s="147" t="n"/>
      <c r="CF27" s="602">
        <f>SUM(IF(CB27=CB$5,4,0),IF(CB27&amp;CC27=CB$5&amp;CC$5,1,0),
IF(AND(CB27=CB$5,CC$6&gt;=$D$115),1,0),
IF(AND(CC27=CB$5,CC$6&gt;=$D$115),1,0),
IF(AND(CD27=CB$5,CC$6&gt;=$D$115),1,0),
IF(CB27&amp;CE27=CF$5,1,0),
IF(CC27=CB$5,2,0),
IF(CD27=CB$5,1,0),
IF(OR(CB27&amp;CC27&amp;CD27=CB$5&amp;CC$5&amp;CD$5,CB27&amp;CC27&amp;CD27=CB$5&amp;CD$5&amp;CC$5,CB27&amp;CC27&amp;CD27=CC$5&amp;CB$5&amp;CD$5,CB27&amp;CC27&amp;CD27=CC$5&amp;CD$5&amp;CB$5,CB27&amp;CC27&amp;CD27=CD$5&amp;CB$5&amp;CC$5,CB27&amp;CC27&amp;CD27=CD$5&amp;CC$5&amp;CB$5),2,0),IF(AND(CB27=CB$5,CC$6&gt;=$D$129),1,0),IF(AND(CC27=CB$5,CC$6&gt;=$D$129),1,0),IF(AND(CD27=CB$5,CC$6&gt;=$D$129),1,0),IF(CB27&amp;CE27=CE$5,4,0),IF(AND(CB27=CB$5,CC$6&lt;=$D$104),-0.5,0),IF(AND(CC27=CB$5,CC$6&lt;=$D$104),-0.5,0),IF(AND(CD27=CB$5,CC$6&lt;=$D$104),-0.5,0))</f>
        <v/>
      </c>
      <c r="CG27" s="164">
        <f>IF(BASE01[[#This Row],[1]]="",0,$B$4)</f>
        <v/>
      </c>
      <c r="CH27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7" s="166">
        <f>IF(BASE01[[#This Row],[Columna14]]=0,0,(CH27/CG27))</f>
        <v/>
      </c>
      <c r="CJ27" s="165">
        <f>IF(BASE01[[#This Row],[1]]="",0,$B$4)</f>
        <v/>
      </c>
      <c r="CK27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7" s="166">
        <f>IF(BASE01[[#This Row],[Columna14]]=0,0,(CK27/CJ27))</f>
        <v/>
      </c>
      <c r="CM27" s="164">
        <f>IF(BASE01[[#This Row],[1]]="",0,$B$4)</f>
        <v/>
      </c>
      <c r="CN27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7" s="166">
        <f>IF(BASE01[[#This Row],[Columna14]]=0,0,(CN27/CM27))</f>
        <v/>
      </c>
      <c r="CP27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7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Row],[Columna25]],$AX$5,BA27,"SF")+COUNTIFS(BASE01[[#This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7" s="166">
        <f>IF(BASE01[[#This Row],[Columna14]]=0,0,(CQ27/CP27))</f>
        <v/>
      </c>
      <c r="CS27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7" s="95" t="n"/>
      <c r="CU27" s="604">
        <f>SUM(CS27,CT27)</f>
        <v/>
      </c>
      <c r="CV27" s="96">
        <f>IF(BASE01[[#This Row],[TIPO]]="PREMIO",$O$3,"0,00")</f>
        <v/>
      </c>
      <c r="CW27" s="576" t="n"/>
      <c r="CY27" s="606">
        <f>IF(CZ27="","",$CZ$25)</f>
        <v/>
      </c>
      <c r="CZ27" s="392">
        <f t="array" ref="CZ27:CZ30">_xlfn._xlws.FILTER(C$8:C$57, INDEX(E$8:CE$57, 0, ($CZ$25-1)*5 + 5) &gt; 0, "")</f>
        <v/>
      </c>
      <c r="DA27" s="392">
        <f t="array" ref="DA27">IF(CZ27="", "", IF((INDEX(E$8:CE$57, MATCH(CZ27, C$8:C$57, 0), ($CZ$25-1)*5 + 1) &amp; "") = (INDEX(E$5:CE$5, 1, ($CZ$25-1)*5 + 1) &amp; ""), 1, IF((INDEX(E$8:CE$57, MATCH(CZ27, C$8:C$57, 0), ($CZ$25-1)*5 + 2) &amp; "") = (INDEX(E$5:CE$5, 1, ($CZ$25-1)*5 + 1) &amp; ""), 2, IF((INDEX(E$8:CE$57, MATCH(CZ27, C$8:C$57, 0), ($CZ$25-1)*5 + 3) &amp; "") = (INDEX(E$5:CE$5, 1, ($CZ$25-1)*5 + 1) &amp; ""), 3, ""))))</f>
        <v/>
      </c>
      <c r="DB27" s="605">
        <f>BASE01[[#This Row],[COD]]</f>
        <v/>
      </c>
      <c r="DC27" s="395">
        <f t="array" ref="DC27">IFERROR(IF(AND(INDEX($E$8:$CE$57, MATCH($C27, $C$8:$C$57, 0), (COLUMNS($DC27:DC27)-1)*5 + 1) = INDEX($E$5:$CE$5, 1, (COLUMNS($DC27:DC27)-1)*5 + 1), INDEX($E$8:$CE$57, MATCH($C27, $C$8:$C$57, 0), (COLUMNS($DC27:DC27)-1)*5 + 4) = "F"), INDEX($CZ$8:$CZ$23, COLUMNS($DC27:DC27)), "0"), "")</f>
        <v/>
      </c>
      <c r="DD27" s="395">
        <f t="array" ref="DD27">IFERROR(IF(AND(INDEX($E$8:$CE$57, MATCH($C27, $C$8:$C$57, 0), (COLUMNS($DC27:DD27)-1)*5 + 1) = INDEX($E$5:$CE$5, 1, (COLUMNS($DC27:DD27)-1)*5 + 1), INDEX($E$8:$CE$57, MATCH($C27, $C$8:$C$57, 0), (COLUMNS($DC27:DD27)-1)*5 + 4) = "F"), INDEX($CZ$8:$CZ$23, COLUMNS($DC27:DD27)), "0"), "")</f>
        <v/>
      </c>
      <c r="DE27" s="395">
        <f t="array" ref="DE27">IFERROR(IF(AND(INDEX($E$8:$CE$57, MATCH($C27, $C$8:$C$57, 0), (COLUMNS($DC27:DE27)-1)*5 + 1) = INDEX($E$5:$CE$5, 1, (COLUMNS($DC27:DE27)-1)*5 + 1), INDEX($E$8:$CE$57, MATCH($C27, $C$8:$C$57, 0), (COLUMNS($DC27:DE27)-1)*5 + 4) = "F"), INDEX($CZ$8:$CZ$23, COLUMNS($DC27:DE27)), "0"), "")</f>
        <v/>
      </c>
      <c r="DF27" s="395">
        <f t="array" ref="DF27">IFERROR(IF(AND(INDEX($E$8:$CE$57, MATCH($C27, $C$8:$C$57, 0), (COLUMNS($DC27:DF27)-1)*5 + 1) = INDEX($E$5:$CE$5, 1, (COLUMNS($DC27:DF27)-1)*5 + 1), INDEX($E$8:$CE$57, MATCH($C27, $C$8:$C$57, 0), (COLUMNS($DC27:DF27)-1)*5 + 4) = "F"), INDEX($CZ$8:$CZ$23, COLUMNS($DC27:DF27)), "0"), "")</f>
        <v/>
      </c>
      <c r="DG27" s="395">
        <f t="array" ref="DG27">IFERROR(IF(AND(INDEX($E$8:$CE$57, MATCH($C27, $C$8:$C$57, 0), (COLUMNS($DC27:DG27)-1)*5 + 1) = INDEX($E$5:$CE$5, 1, (COLUMNS($DC27:DG27)-1)*5 + 1), INDEX($E$8:$CE$57, MATCH($C27, $C$8:$C$57, 0), (COLUMNS($DC27:DG27)-1)*5 + 4) = "F"), INDEX($CZ$8:$CZ$23, COLUMNS($DC27:DG27)), "0"), "")</f>
        <v/>
      </c>
      <c r="DH27" s="395">
        <f t="array" ref="DH27">IFERROR(IF(AND(INDEX($E$8:$CE$57, MATCH($C27, $C$8:$C$57, 0), (COLUMNS($DC27:DH27)-1)*5 + 1) = INDEX($E$5:$CE$5, 1, (COLUMNS($DC27:DH27)-1)*5 + 1), INDEX($E$8:$CE$57, MATCH($C27, $C$8:$C$57, 0), (COLUMNS($DC27:DH27)-1)*5 + 4) = "F"), INDEX($CZ$8:$CZ$23, COLUMNS($DC27:DH27)), "0"), "")</f>
        <v/>
      </c>
      <c r="DI27" s="395">
        <f t="array" ref="DI27">IFERROR(IF(AND(INDEX($E$8:$CE$57, MATCH($C27, $C$8:$C$57, 0), (COLUMNS($DC27:DI27)-1)*5 + 1) = INDEX($E$5:$CE$5, 1, (COLUMNS($DC27:DI27)-1)*5 + 1), INDEX($E$8:$CE$57, MATCH($C27, $C$8:$C$57, 0), (COLUMNS($DC27:DI27)-1)*5 + 4) = "F"), INDEX($CZ$8:$CZ$23, COLUMNS($DC27:DI27)), "0"), "")</f>
        <v/>
      </c>
      <c r="DJ27" s="395">
        <f t="array" ref="DJ27">IFERROR(IF(AND(INDEX($E$8:$CE$57, MATCH($C27, $C$8:$C$57, 0), (COLUMNS($DC27:DJ27)-1)*5 + 1) = INDEX($E$5:$CE$5, 1, (COLUMNS($DC27:DJ27)-1)*5 + 1), INDEX($E$8:$CE$57, MATCH($C27, $C$8:$C$57, 0), (COLUMNS($DC27:DJ27)-1)*5 + 4) = "F"), INDEX($CZ$8:$CZ$23, COLUMNS($DC27:DJ27)), "0"), "")</f>
        <v/>
      </c>
      <c r="DK27" s="395">
        <f t="array" ref="DK27">IFERROR(IF(AND(INDEX($E$8:$CE$57, MATCH($C27, $C$8:$C$57, 0), (COLUMNS($DC27:DK27)-1)*5 + 1) = INDEX($E$5:$CE$5, 1, (COLUMNS($DC27:DK27)-1)*5 + 1), INDEX($E$8:$CE$57, MATCH($C27, $C$8:$C$57, 0), (COLUMNS($DC27:DK27)-1)*5 + 4) = "F"), INDEX($CZ$8:$CZ$23, COLUMNS($DC27:DK27)), "0"), "")</f>
        <v/>
      </c>
      <c r="DL27" s="395">
        <f t="array" ref="DL27">IFERROR(IF(AND(INDEX($E$8:$CE$57, MATCH($C27, $C$8:$C$57, 0), (COLUMNS($DC27:DL27)-1)*5 + 1) = INDEX($E$5:$CE$5, 1, (COLUMNS($DC27:DL27)-1)*5 + 1), INDEX($E$8:$CE$57, MATCH($C27, $C$8:$C$57, 0), (COLUMNS($DC27:DL27)-1)*5 + 4) = "F"), INDEX($CZ$8:$CZ$23, COLUMNS($DC27:DL27)), "0"), "")</f>
        <v/>
      </c>
      <c r="DM27" s="395">
        <f t="array" ref="DM27">IFERROR(IF(AND(INDEX($E$8:$CE$57, MATCH($C27, $C$8:$C$57, 0), (COLUMNS($DC27:DM27)-1)*5 + 1) = INDEX($E$5:$CE$5, 1, (COLUMNS($DC27:DM27)-1)*5 + 1), INDEX($E$8:$CE$57, MATCH($C27, $C$8:$C$57, 0), (COLUMNS($DC27:DM27)-1)*5 + 4) = "F"), INDEX($CZ$8:$CZ$23, COLUMNS($DC27:DM27)), "0"), "")</f>
        <v/>
      </c>
      <c r="DN27" s="395">
        <f t="array" ref="DN27">IFERROR(IF(AND(INDEX($E$8:$CE$57, MATCH($C27, $C$8:$C$57, 0), (COLUMNS($DC27:DN27)-1)*5 + 1) = INDEX($E$5:$CE$5, 1, (COLUMNS($DC27:DN27)-1)*5 + 1), INDEX($E$8:$CE$57, MATCH($C27, $C$8:$C$57, 0), (COLUMNS($DC27:DN27)-1)*5 + 4) = "F"), INDEX($CZ$8:$CZ$23, COLUMNS($DC27:DN27)), "0"), "")</f>
        <v/>
      </c>
      <c r="DO27" s="395">
        <f t="array" ref="DO27">IFERROR(IF(AND(INDEX($E$8:$CE$57, MATCH($C27, $C$8:$C$57, 0), (COLUMNS($DC27:DO27)-1)*5 + 1) = INDEX($E$5:$CE$5, 1, (COLUMNS($DC27:DO27)-1)*5 + 1), INDEX($E$8:$CE$57, MATCH($C27, $C$8:$C$57, 0), (COLUMNS($DC27:DO27)-1)*5 + 4) = "F"), INDEX($CZ$8:$CZ$23, COLUMNS($DC27:DO27)), "0"), "")</f>
        <v/>
      </c>
      <c r="DP27" s="395">
        <f t="array" ref="DP27">IFERROR(IF(AND(INDEX($E$8:$CE$57, MATCH($C27, $C$8:$C$57, 0), (COLUMNS($DC27:DP27)-1)*5 + 1) = INDEX($E$5:$CE$5, 1, (COLUMNS($DC27:DP27)-1)*5 + 1), INDEX($E$8:$CE$57, MATCH($C27, $C$8:$C$57, 0), (COLUMNS($DC27:DP27)-1)*5 + 4) = "F"), INDEX($CZ$8:$CZ$23, COLUMNS($DC27:DP27)), "0"), "")</f>
        <v/>
      </c>
      <c r="DQ27" s="395">
        <f t="array" ref="DQ27">IFERROR(IF(AND(INDEX($E$8:$CE$57, MATCH($C27, $C$8:$C$57, 0), (COLUMNS($DC27:DQ27)-1)*5 + 1) = INDEX($E$5:$CE$5, 1, (COLUMNS($DC27:DQ27)-1)*5 + 1), INDEX($E$8:$CE$57, MATCH($C27, $C$8:$C$57, 0), (COLUMNS($DC27:DQ27)-1)*5 + 4) = "F"), INDEX($CZ$8:$CZ$23, COLUMNS($DC27:DQ27)), "0"), "")</f>
        <v/>
      </c>
      <c r="DR27" s="395">
        <f t="array" ref="DR27">IFERROR(IF(AND(INDEX($E$8:$CE$57, MATCH($C27, $C$8:$C$57, 0), (COLUMNS($DC27:DR27)-1)*5 + 1) = INDEX($E$5:$CE$5, 1, (COLUMNS($DC27:DR27)-1)*5 + 1), INDEX($E$8:$CE$57, MATCH($C27, $C$8:$C$57, 0), (COLUMNS($DC27:DR27)-1)*5 + 4) = "F"), INDEX($CZ$8:$CZ$23, COLUMNS($DC27:DR27)), "0"), "")</f>
        <v/>
      </c>
      <c r="DT27" s="605">
        <f>BASE01[[#This Row],[COD]]</f>
        <v/>
      </c>
      <c r="DU27" s="395">
        <f t="array" ref="DU27">IFERROR(IF(AND(INDEX($E$8:$CE$57, MATCH($C27, $C$8:$C$57, 0), (COLUMNS($DU27:DU27)-1)*5 + 1) = INDEX($E$5:$CE$5, 1, (COLUMNS($DU27:DU27)-1)*5 + 1), INDEX($E$8:$CE$57, MATCH($C27, $C$8:$C$57, 0), (COLUMNS($DU27:DU27)-1)*5 + 4) = "SF"), INDEX($CZ$8:$CZ$23, COLUMNS($DU27:DU27)), "0"), "")</f>
        <v/>
      </c>
      <c r="DV27" s="395">
        <f t="array" ref="DV27">IFERROR(IF(AND(INDEX($E$8:$CE$57, MATCH($C27, $C$8:$C$57, 0), (COLUMNS($DU27:DV27)-1)*5 + 1) = INDEX($E$5:$CE$5, 1, (COLUMNS($DU27:DV27)-1)*5 + 1), INDEX($E$8:$CE$57, MATCH($C27, $C$8:$C$57, 0), (COLUMNS($DU27:DV27)-1)*5 + 4) = "SF"), INDEX($CZ$8:$CZ$23, COLUMNS($DU27:DV27)), "0"), "")</f>
        <v/>
      </c>
      <c r="DW27" s="395">
        <f t="array" ref="DW27">IFERROR(IF(AND(INDEX($E$8:$CE$57, MATCH($C27, $C$8:$C$57, 0), (COLUMNS($DU27:DW27)-1)*5 + 1) = INDEX($E$5:$CE$5, 1, (COLUMNS($DU27:DW27)-1)*5 + 1), INDEX($E$8:$CE$57, MATCH($C27, $C$8:$C$57, 0), (COLUMNS($DU27:DW27)-1)*5 + 4) = "SF"), INDEX($CZ$8:$CZ$23, COLUMNS($DU27:DW27)), "0"), "")</f>
        <v/>
      </c>
      <c r="DX27" s="395">
        <f t="array" ref="DX27">IFERROR(IF(AND(INDEX($E$8:$CE$57, MATCH($C27, $C$8:$C$57, 0), (COLUMNS($DU27:DX27)-1)*5 + 1) = INDEX($E$5:$CE$5, 1, (COLUMNS($DU27:DX27)-1)*5 + 1), INDEX($E$8:$CE$57, MATCH($C27, $C$8:$C$57, 0), (COLUMNS($DU27:DX27)-1)*5 + 4) = "SF"), INDEX($CZ$8:$CZ$23, COLUMNS($DU27:DX27)), "0"), "")</f>
        <v/>
      </c>
      <c r="DY27" s="395">
        <f t="array" ref="DY27">IFERROR(IF(AND(INDEX($E$8:$CE$57, MATCH($C27, $C$8:$C$57, 0), (COLUMNS($DU27:DY27)-1)*5 + 1) = INDEX($E$5:$CE$5, 1, (COLUMNS($DU27:DY27)-1)*5 + 1), INDEX($E$8:$CE$57, MATCH($C27, $C$8:$C$57, 0), (COLUMNS($DU27:DY27)-1)*5 + 4) = "SF"), INDEX($CZ$8:$CZ$23, COLUMNS($DU27:DY27)), "0"), "")</f>
        <v/>
      </c>
      <c r="DZ27" s="395">
        <f t="array" ref="DZ27">IFERROR(IF(AND(INDEX($E$8:$CE$57, MATCH($C27, $C$8:$C$57, 0), (COLUMNS($DU27:DZ27)-1)*5 + 1) = INDEX($E$5:$CE$5, 1, (COLUMNS($DU27:DZ27)-1)*5 + 1), INDEX($E$8:$CE$57, MATCH($C27, $C$8:$C$57, 0), (COLUMNS($DU27:DZ27)-1)*5 + 4) = "SF"), INDEX($CZ$8:$CZ$23, COLUMNS($DU27:DZ27)), "0"), "")</f>
        <v/>
      </c>
      <c r="EA27" s="395">
        <f t="array" ref="EA27">IFERROR(IF(AND(INDEX($E$8:$CE$57, MATCH($C27, $C$8:$C$57, 0), (COLUMNS($DU27:EA27)-1)*5 + 1) = INDEX($E$5:$CE$5, 1, (COLUMNS($DU27:EA27)-1)*5 + 1), INDEX($E$8:$CE$57, MATCH($C27, $C$8:$C$57, 0), (COLUMNS($DU27:EA27)-1)*5 + 4) = "SF"), INDEX($CZ$8:$CZ$23, COLUMNS($DU27:EA27)), "0"), "")</f>
        <v/>
      </c>
      <c r="EB27" s="395">
        <f t="array" ref="EB27">IFERROR(IF(AND(INDEX($E$8:$CE$57, MATCH($C27, $C$8:$C$57, 0), (COLUMNS($DU27:EB27)-1)*5 + 1) = INDEX($E$5:$CE$5, 1, (COLUMNS($DU27:EB27)-1)*5 + 1), INDEX($E$8:$CE$57, MATCH($C27, $C$8:$C$57, 0), (COLUMNS($DU27:EB27)-1)*5 + 4) = "SF"), INDEX($CZ$8:$CZ$23, COLUMNS($DU27:EB27)), "0"), "")</f>
        <v/>
      </c>
      <c r="EC27" s="395">
        <f t="array" ref="EC27">IFERROR(IF(AND(INDEX($E$8:$CE$57, MATCH($C27, $C$8:$C$57, 0), (COLUMNS($DU27:EC27)-1)*5 + 1) = INDEX($E$5:$CE$5, 1, (COLUMNS($DU27:EC27)-1)*5 + 1), INDEX($E$8:$CE$57, MATCH($C27, $C$8:$C$57, 0), (COLUMNS($DU27:EC27)-1)*5 + 4) = "SF"), INDEX($CZ$8:$CZ$23, COLUMNS($DU27:EC27)), "0"), "")</f>
        <v/>
      </c>
      <c r="ED27" s="395">
        <f t="array" ref="ED27">IFERROR(IF(AND(INDEX($E$8:$CE$57, MATCH($C27, $C$8:$C$57, 0), (COLUMNS($DU27:ED27)-1)*5 + 1) = INDEX($E$5:$CE$5, 1, (COLUMNS($DU27:ED27)-1)*5 + 1), INDEX($E$8:$CE$57, MATCH($C27, $C$8:$C$57, 0), (COLUMNS($DU27:ED27)-1)*5 + 4) = "SF"), INDEX($CZ$8:$CZ$23, COLUMNS($DU27:ED27)), "0"), "")</f>
        <v/>
      </c>
      <c r="EE27" s="395">
        <f t="array" ref="EE27">IFERROR(IF(AND(INDEX($E$8:$CE$57, MATCH($C27, $C$8:$C$57, 0), (COLUMNS($DU27:EE27)-1)*5 + 1) = INDEX($E$5:$CE$5, 1, (COLUMNS($DU27:EE27)-1)*5 + 1), INDEX($E$8:$CE$57, MATCH($C27, $C$8:$C$57, 0), (COLUMNS($DU27:EE27)-1)*5 + 4) = "SF"), INDEX($CZ$8:$CZ$23, COLUMNS($DU27:EE27)), "0"), "")</f>
        <v/>
      </c>
      <c r="EF27" s="395">
        <f t="array" ref="EF27">IFERROR(IF(AND(INDEX($E$8:$CE$57, MATCH($C27, $C$8:$C$57, 0), (COLUMNS($DU27:EF27)-1)*5 + 1) = INDEX($E$5:$CE$5, 1, (COLUMNS($DU27:EF27)-1)*5 + 1), INDEX($E$8:$CE$57, MATCH($C27, $C$8:$C$57, 0), (COLUMNS($DU27:EF27)-1)*5 + 4) = "SF"), INDEX($CZ$8:$CZ$23, COLUMNS($DU27:EF27)), "0"), "")</f>
        <v/>
      </c>
      <c r="EG27" s="395">
        <f t="array" ref="EG27">IFERROR(IF(AND(INDEX($E$8:$CE$57, MATCH($C27, $C$8:$C$57, 0), (COLUMNS($DU27:EG27)-1)*5 + 1) = INDEX($E$5:$CE$5, 1, (COLUMNS($DU27:EG27)-1)*5 + 1), INDEX($E$8:$CE$57, MATCH($C27, $C$8:$C$57, 0), (COLUMNS($DU27:EG27)-1)*5 + 4) = "SF"), INDEX($CZ$8:$CZ$23, COLUMNS($DU27:EG27)), "0"), "")</f>
        <v/>
      </c>
      <c r="EH27" s="395">
        <f t="array" ref="EH27">IFERROR(IF(AND(INDEX($E$8:$CE$57, MATCH($C27, $C$8:$C$57, 0), (COLUMNS($DU27:EH27)-1)*5 + 1) = INDEX($E$5:$CE$5, 1, (COLUMNS($DU27:EH27)-1)*5 + 1), INDEX($E$8:$CE$57, MATCH($C27, $C$8:$C$57, 0), (COLUMNS($DU27:EH27)-1)*5 + 4) = "SF"), INDEX($CZ$8:$CZ$23, COLUMNS($DU27:EH27)), "0"), "")</f>
        <v/>
      </c>
      <c r="EI27" s="395">
        <f t="array" ref="EI27">IFERROR(IF(AND(INDEX($E$8:$CE$57, MATCH($C27, $C$8:$C$57, 0), (COLUMNS($DU27:EI27)-1)*5 + 1) = INDEX($E$5:$CE$5, 1, (COLUMNS($DU27:EI27)-1)*5 + 1), INDEX($E$8:$CE$57, MATCH($C27, $C$8:$C$57, 0), (COLUMNS($DU27:EI27)-1)*5 + 4) = "SF"), INDEX($CZ$8:$CZ$23, COLUMNS($DU27:EI27)), "0"), "")</f>
        <v/>
      </c>
      <c r="EJ27" s="395">
        <f t="array" ref="EJ27">IFERROR(IF(AND(INDEX($E$8:$CE$57, MATCH($C27, $C$8:$C$57, 0), (COLUMNS($DU27:EJ27)-1)*5 + 1) = INDEX($E$5:$CE$5, 1, (COLUMNS($DU27:EJ27)-1)*5 + 1), INDEX($E$8:$CE$57, MATCH($C27, $C$8:$C$57, 0), (COLUMNS($DU27:EJ27)-1)*5 + 4) = "SF"), INDEX($CZ$8:$CZ$23, COLUMNS($DU27:EJ27)), "0"), "")</f>
        <v/>
      </c>
    </row>
    <row r="28" ht="20.1" customHeight="1" s="568">
      <c r="A28" s="576" t="n"/>
      <c r="B28" s="92">
        <f>IF(BASE01[[#This Row],[COD]]&lt;&gt;"",B27+1,"")</f>
        <v/>
      </c>
      <c r="C28" s="601" t="inlineStr">
        <is>
          <t>COD 21</t>
        </is>
      </c>
      <c r="D28" s="93">
        <f t="array" ref="D28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8" s="145" t="n">
        <v>6</v>
      </c>
      <c r="F28" s="147" t="n">
        <v>1</v>
      </c>
      <c r="G28" s="147" t="n">
        <v>8</v>
      </c>
      <c r="H28" s="147" t="n"/>
      <c r="I28" s="602">
        <f>SUM(IF(E28=E$5,4,0),IF(E28&amp;F28=E$5&amp;F$5,1,0),
IF(AND(E28=E$5,F$6&gt;=$D$115),1,0),
IF(AND(F28=E$5,F$6&gt;=$D$115),1,0),
IF(AND(G28=E$5,F$6&gt;=$D$115),1,0),
IF(E28&amp;H28=I$5,1,0),
IF(F28=E$5,2,0),
IF(G28=E$5,1,0),
IF(OR(E28&amp;F28&amp;G28=E$5&amp;F$5&amp;G$5,E28&amp;F28&amp;G28=E$5&amp;G$5&amp;F$5,E28&amp;F28&amp;G28=F$5&amp;E$5&amp;G$5,E28&amp;F28&amp;G28=F$5&amp;G$5&amp;E$5,E28&amp;F28&amp;G28=G$5&amp;E$5&amp;F$5,E28&amp;F28&amp;G28=G$5&amp;F$5&amp;E$5),2,0),IF(AND(E28=E$5,F$6&gt;=$D$129),1,0),IF(AND(F28=E$5,F$6&gt;=$D$129),1,0),IF(AND(G28=E$5,F$6&gt;=$D$129),1,0),IF(E28&amp;H28=H$5,4,0),IF(AND(E28=E$5,F$6&lt;=$D$104),-0.5,0),IF(AND(F28=E$5,F$6&lt;=$D$104),-0.5,0),IF(AND(G28=E$5,F$6&lt;=$D$104),-0.5,0))</f>
        <v/>
      </c>
      <c r="J28" s="145" t="n">
        <v>3</v>
      </c>
      <c r="K28" s="147" t="n">
        <v>8</v>
      </c>
      <c r="L28" s="147" t="n">
        <v>5</v>
      </c>
      <c r="M28" s="147" t="n"/>
      <c r="N28" s="602">
        <f>SUM(IF(J28=J$5,4,0),IF(J28&amp;K28=J$5&amp;K$5,1,0),
IF(AND(J28=J$5,K$6&gt;=$D$115),1,0),
IF(AND(K28=J$5,K$6&gt;=$D$115),1,0),
IF(AND(L28=J$5,K$6&gt;=$D$115),1,0),
IF(J28&amp;M28=N$5,1,0),
IF(K28=J$5,2,0),
IF(L28=J$5,1,0),
IF(OR(J28&amp;K28&amp;L28=J$5&amp;K$5&amp;L$5,J28&amp;K28&amp;L28=J$5&amp;L$5&amp;K$5,J28&amp;K28&amp;L28=K$5&amp;J$5&amp;L$5,J28&amp;K28&amp;L28=K$5&amp;L$5&amp;J$5,J28&amp;K28&amp;L28=L$5&amp;J$5&amp;K$5,J28&amp;K28&amp;L28=L$5&amp;K$5&amp;J$5),2,0),IF(AND(J28=J$5,K$6&gt;=$D$129),1,0),IF(AND(K28=J$5,K$6&gt;=$D$129),1,0),IF(AND(L28=J$5,K$6&gt;=$D$129),1,0),IF(J28&amp;M28=M$5,4,0),IF(AND(J28=J$5,K$6&lt;=$D$104),-0.5,0),IF(AND(K28=J$5,K$6&lt;=$D$104),-0.5,0),IF(AND(L28=J$5,K$6&lt;=$D$104),-0.5,0))</f>
        <v/>
      </c>
      <c r="O28" s="145" t="n">
        <v>6</v>
      </c>
      <c r="P28" s="147" t="n">
        <v>3</v>
      </c>
      <c r="Q28" s="147" t="n">
        <v>8</v>
      </c>
      <c r="R28" s="147" t="n"/>
      <c r="S28" s="602">
        <f>SUM(IF(O28=O$5,4,0),IF(O28&amp;P28=O$5&amp;P$5,1,0),
IF(AND(O28=O$5,P$6&gt;=$D$115),1,0),
IF(AND(P28=O$5,P$6&gt;=$D$115),1,0),
IF(AND(Q28=O$5,P$6&gt;=$D$115),1,0),
IF(O28&amp;R28=S$5,1,0),
IF(P28=O$5,2,0),
IF(Q28=O$5,1,0),
IF(OR(O28&amp;P28&amp;Q28=O$5&amp;P$5&amp;Q$5,O28&amp;P28&amp;Q28=O$5&amp;Q$5&amp;P$5,O28&amp;P28&amp;Q28=P$5&amp;O$5&amp;Q$5,O28&amp;P28&amp;Q28=P$5&amp;Q$5&amp;O$5,O28&amp;P28&amp;Q28=Q$5&amp;O$5&amp;P$5,O28&amp;P28&amp;Q28=Q$5&amp;P$5&amp;O$5),2,0),IF(AND(O28=O$5,P$6&gt;=$D$129),1,0),IF(AND(P28=O$5,P$6&gt;=$D$129),1,0),IF(AND(Q28=O$5,P$6&gt;=$D$129),1,0),IF(O28&amp;R28=R$5,4,0),IF(AND(O28=O$5,P$6&lt;=$D$104),-0.5,0),IF(AND(P28=O$5,P$6&lt;=$D$104),-0.5,0),IF(AND(Q28=O$5,P$6&lt;=$D$104),-0.5,0))</f>
        <v/>
      </c>
      <c r="T28" s="145" t="n">
        <v>6</v>
      </c>
      <c r="U28" s="147" t="n">
        <v>7</v>
      </c>
      <c r="V28" s="147" t="n">
        <v>8</v>
      </c>
      <c r="W28" s="147" t="n"/>
      <c r="X28" s="602">
        <f>SUM(IF(T28=T$5,4,0),IF(T28&amp;U28=T$5&amp;U$5,1,0),
IF(AND(T28=T$5,U$6&gt;=$D$115),1,0),
IF(AND(U28=T$5,U$6&gt;=$D$115),1,0),
IF(AND(V28=T$5,U$6&gt;=$D$115),1,0),
IF(T28&amp;W28=X$5,1,0),
IF(U28=T$5,2,0),
IF(V28=T$5,1,0),
IF(OR(T28&amp;U28&amp;V28=T$5&amp;U$5&amp;V$5,T28&amp;U28&amp;V28=T$5&amp;V$5&amp;U$5,T28&amp;U28&amp;V28=U$5&amp;T$5&amp;V$5,T28&amp;U28&amp;V28=U$5&amp;V$5&amp;T$5,T28&amp;U28&amp;V28=V$5&amp;T$5&amp;U$5,T28&amp;U28&amp;V28=V$5&amp;U$5&amp;T$5),2,0),IF(AND(T28=T$5,U$6&gt;=$D$129),1,0),IF(AND(U28=T$5,U$6&gt;=$D$129),1,0),IF(AND(V28=T$5,U$6&gt;=$D$129),1,0),IF(T28&amp;W28=W$5,4,0),IF(AND(T28=T$5,U$6&lt;=$D$104),-0.5,0),IF(AND(U28=T$5,U$6&lt;=$D$104),-0.5,0),IF(AND(V28=T$5,U$6&lt;=$D$104),-0.5,0))</f>
        <v/>
      </c>
      <c r="Y28" s="145" t="n">
        <v>5</v>
      </c>
      <c r="Z28" s="147" t="n">
        <v>6</v>
      </c>
      <c r="AA28" s="147" t="n">
        <v>3</v>
      </c>
      <c r="AB28" s="147" t="inlineStr">
        <is>
          <t>F</t>
        </is>
      </c>
      <c r="AC28" s="602">
        <f>SUM(IF(Y28=Y$5,4,0),IF(Y28&amp;Z28=Y$5&amp;Z$5,1,0),
IF(AND(Y28=Y$5,Z$6&gt;=$D$115),1,0),
IF(AND(Z28=Y$5,Z$6&gt;=$D$115),1,0),
IF(AND(AA28=Y$5,Z$6&gt;=$D$115),1,0),
IF(Y28&amp;AB28=AC$5,1,0),
IF(Z28=Y$5,2,0),
IF(AA28=Y$5,1,0),
IF(OR(Y28&amp;Z28&amp;AA28=Y$5&amp;Z$5&amp;AA$5,Y28&amp;Z28&amp;AA28=Y$5&amp;AA$5&amp;Z$5,Y28&amp;Z28&amp;AA28=Z$5&amp;Y$5&amp;AA$5,Y28&amp;Z28&amp;AA28=Z$5&amp;AA$5&amp;Y$5,Y28&amp;Z28&amp;AA28=AA$5&amp;Y$5&amp;Z$5,Y28&amp;Z28&amp;AA28=AA$5&amp;Z$5&amp;Y$5),2,0),IF(AND(Y28=Y$5,Z$6&gt;=$D$129),1,0),IF(AND(Z28=Y$5,Z$6&gt;=$D$129),1,0),IF(AND(AA28=Y$5,Z$6&gt;=$D$129),1,0),IF(Y28&amp;AB28=AB$5,4,0),IF(AND(Y28=Y$5,Z$6&lt;=$D$104),-0.5,0),IF(AND(Z28=Y$5,Z$6&lt;=$D$104),-0.5,0),IF(AND(AA28=Y$5,Z$6&lt;=$D$104),-0.5,0))</f>
        <v/>
      </c>
      <c r="AD28" s="145" t="n">
        <v>7</v>
      </c>
      <c r="AE28" s="147" t="n">
        <v>2</v>
      </c>
      <c r="AF28" s="147" t="n">
        <v>5</v>
      </c>
      <c r="AG28" s="147" t="n"/>
      <c r="AH28" s="602">
        <f>SUM(IF(AD28=AD$5,4,0),IF(AD28&amp;AE28=AD$5&amp;AE$5,1,0),
IF(AND(AD28=AD$5,AE$6&gt;=$D$115),1,0),
IF(AND(AE28=AD$5,AE$6&gt;=$D$115),1,0),
IF(AND(AF28=AD$5,AE$6&gt;=$D$115),1,0),
IF(AD28&amp;AG28=AH$5,1,0),
IF(AE28=AD$5,2,0),
IF(AF28=AD$5,1,0),
IF(OR(AD28&amp;AE28&amp;AF28=AD$5&amp;AE$5&amp;AF$5,AD28&amp;AE28&amp;AF28=AD$5&amp;AF$5&amp;AE$5,AD28&amp;AE28&amp;AF28=AE$5&amp;AD$5&amp;AF$5,AD28&amp;AE28&amp;AF28=AE$5&amp;AF$5&amp;AD$5,AD28&amp;AE28&amp;AF28=AF$5&amp;AD$5&amp;AE$5,AD28&amp;AE28&amp;AF28=AF$5&amp;AE$5&amp;AD$5),2,0),IF(AND(AD28=AD$5,AE$6&gt;=$D$129),1,0),IF(AND(AE28=AD$5,AE$6&gt;=$D$129),1,0),IF(AND(AF28=AD$5,AE$6&gt;=$D$129),1,0),IF(AD28&amp;AG28=AG$5,4,0),IF(AND(AD28=AD$5,AE$6&lt;=$D$104),-0.5,0),IF(AND(AE28=AD$5,AE$6&lt;=$D$104),-0.5,0),IF(AND(AF28=AD$5,AE$6&lt;=$D$104),-0.5,0))</f>
        <v/>
      </c>
      <c r="AI28" s="145" t="n">
        <v>7</v>
      </c>
      <c r="AJ28" s="147" t="n">
        <v>4</v>
      </c>
      <c r="AK28" s="147" t="n">
        <v>3</v>
      </c>
      <c r="AL28" s="147" t="n"/>
      <c r="AM28" s="602">
        <f>SUM(IF(AI28=AI$5,4,0),IF(AI28&amp;AJ28=AI$5&amp;AJ$5,1,0),
IF(AND(AI28=AI$5,AJ$6&gt;=$D$115),1,0),
IF(AND(AJ28=AI$5,AJ$6&gt;=$D$115),1,0),
IF(AND(AK28=AI$5,AJ$6&gt;=$D$115),1,0),
IF(AI28&amp;AL28=AM$5,1,0),
IF(AJ28=AI$5,2,0),
IF(AK28=AI$5,1,0),
IF(OR(AI28&amp;AJ28&amp;AK28=AI$5&amp;AJ$5&amp;AK$5,AI28&amp;AJ28&amp;AK28=AI$5&amp;AK$5&amp;AJ$5,AI28&amp;AJ28&amp;AK28=AJ$5&amp;AI$5&amp;AK$5,AI28&amp;AJ28&amp;AK28=AJ$5&amp;AK$5&amp;AI$5,AI28&amp;AJ28&amp;AK28=AK$5&amp;AI$5&amp;AJ$5,AI28&amp;AJ28&amp;AK28=AK$5&amp;AJ$5&amp;AI$5),2,0),IF(AND(AI28=AI$5,AJ$6&gt;=$D$129),1,0),IF(AND(AJ28=AI$5,AJ$6&gt;=$D$129),1,0),IF(AND(AK28=AI$5,AJ$6&gt;=$D$129),1,0),IF(AI28&amp;AL28=AL$5,4,0),IF(AND(AI28=AI$5,AJ$6&lt;=$D$104),-0.5,0),IF(AND(AJ28=AI$5,AJ$6&lt;=$D$104),-0.5,0),IF(AND(AK28=AI$5,AJ$6&lt;=$D$104),-0.5,0))</f>
        <v/>
      </c>
      <c r="AN28" s="145" t="n">
        <v>8</v>
      </c>
      <c r="AO28" s="147" t="n">
        <v>9</v>
      </c>
      <c r="AP28" s="147" t="n">
        <v>11</v>
      </c>
      <c r="AQ28" s="147" t="inlineStr">
        <is>
          <t>F</t>
        </is>
      </c>
      <c r="AR28" s="602">
        <f>SUM(IF(AN28=AN$5,4,0),IF(AN28&amp;AO28=AN$5&amp;AO$5,1,0),
IF(AND(AN28=AN$5,AO$6&gt;=$D$115),1,0),
IF(AND(AO28=AN$5,AO$6&gt;=$D$115),1,0),
IF(AND(AP28=AN$5,AO$6&gt;=$D$115),1,0),
IF(AN28&amp;AQ28=AR$5,1,0),
IF(AO28=AN$5,2,0),
IF(AP28=AN$5,1,0),
IF(OR(AN28&amp;AO28&amp;AP28=AN$5&amp;AO$5&amp;AP$5,AN28&amp;AO28&amp;AP28=AN$5&amp;AP$5&amp;AO$5,AN28&amp;AO28&amp;AP28=AO$5&amp;AN$5&amp;AP$5,AN28&amp;AO28&amp;AP28=AO$5&amp;AP$5&amp;AN$5,AN28&amp;AO28&amp;AP28=AP$5&amp;AN$5&amp;AO$5,AN28&amp;AO28&amp;AP28=AP$5&amp;AO$5&amp;AN$5),2,0),IF(AND(AN28=AN$5,AO$6&gt;=$D$129),1,0),IF(AND(AO28=AN$5,AO$6&gt;=$D$129),1,0),IF(AND(AP28=AN$5,AO$6&gt;=$D$129),1,0),IF(AN28&amp;AQ28=AQ$5,4,0),IF(AND(AN28=AN$5,AO$6&lt;=$D$104),-0.5,0),IF(AND(AO28=AN$5,AO$6&lt;=$D$104),-0.5,0),IF(AND(AP28=AN$5,AO$6&lt;=$D$104),-0.5,0))</f>
        <v/>
      </c>
      <c r="AS28" s="145" t="n">
        <v>1</v>
      </c>
      <c r="AT28" s="147" t="n">
        <v>7</v>
      </c>
      <c r="AU28" s="147" t="n">
        <v>2</v>
      </c>
      <c r="AV28" s="147" t="n"/>
      <c r="AW28" s="602">
        <f>SUM(IF(AS28=AS$5,4,0),IF(AS28&amp;AT28=AS$5&amp;AT$5,1,0),
IF(AND(AS28=AS$5,AT$6&gt;=$D$115),1,0),
IF(AND(AT28=AS$5,AT$6&gt;=$D$115),1,0),
IF(AND(AU28=AS$5,AT$6&gt;=$D$115),1,0),
IF(AS28&amp;AV28=AW$5,1,0),
IF(AT28=AS$5,2,0),
IF(AU28=AS$5,1,0),
IF(OR(AS28&amp;AT28&amp;AU28=AS$5&amp;AT$5&amp;AU$5,AS28&amp;AT28&amp;AU28=AS$5&amp;AU$5&amp;AT$5,AS28&amp;AT28&amp;AU28=AT$5&amp;AS$5&amp;AU$5,AS28&amp;AT28&amp;AU28=AT$5&amp;AU$5&amp;AS$5,AS28&amp;AT28&amp;AU28=AU$5&amp;AS$5&amp;AT$5,AS28&amp;AT28&amp;AU28=AU$5&amp;AT$5&amp;AS$5),2,0),IF(AND(AS28=AS$5,AT$6&gt;=$D$129),1,0),IF(AND(AT28=AS$5,AT$6&gt;=$D$129),1,0),IF(AND(AU28=AS$5,AT$6&gt;=$D$129),1,0),IF(AS28&amp;AV28=AV$5,4,0),IF(AND(AS28=AS$5,AT$6&lt;=$D$104),-0.5,0),IF(AND(AT28=AS$5,AT$6&lt;=$D$104),-0.5,0),IF(AND(AU28=AS$5,AT$6&lt;=$D$104),-0.5,0))</f>
        <v/>
      </c>
      <c r="AX28" s="145" t="n">
        <v>1</v>
      </c>
      <c r="AY28" s="147" t="n">
        <v>9</v>
      </c>
      <c r="AZ28" s="147" t="n">
        <v>8</v>
      </c>
      <c r="BA28" s="147" t="n"/>
      <c r="BB28" s="602">
        <f>SUM(IF(AX28=AX$5,4,0),IF(AX28&amp;AY28=AX$5&amp;AY$5,1,0),
IF(AND(AX28=AX$5,AY$6&gt;=$D$115),1,0),
IF(AND(AY28=AX$5,AY$6&gt;=$D$115),1,0),
IF(AND(AZ28=AX$5,AY$6&gt;=$D$115),1,0),
IF(AX28&amp;BA28=BB$5,1,0),
IF(AY28=AX$5,2,0),
IF(AZ28=AX$5,1,0),
IF(OR(AX28&amp;AY28&amp;AZ28=AX$5&amp;AY$5&amp;AZ$5,AX28&amp;AY28&amp;AZ28=AX$5&amp;AZ$5&amp;AY$5,AX28&amp;AY28&amp;AZ28=AY$5&amp;AX$5&amp;AZ$5,AX28&amp;AY28&amp;AZ28=AY$5&amp;AZ$5&amp;AX$5,AX28&amp;AY28&amp;AZ28=AZ$5&amp;AX$5&amp;AY$5,AX28&amp;AY28&amp;AZ28=AZ$5&amp;AY$5&amp;AX$5),2,0),IF(AND(AX28=AX$5,AY$6&gt;=$D$129),1,0),IF(AND(AY28=AX$5,AY$6&gt;=$D$129),1,0),IF(AND(AZ28=AX$5,AY$6&gt;=$D$129),1,0),IF(AX28&amp;BA28=BA$5,4,0),IF(AND(AX28=AX$5,AY$6&lt;=$D$104),-0.5,0),IF(AND(AY28=AX$5,AY$6&lt;=$D$104),-0.5,0),IF(AND(AZ28=AX$5,AY$6&lt;=$D$104),-0.5,0))</f>
        <v/>
      </c>
      <c r="BC28" s="145" t="n">
        <v>4</v>
      </c>
      <c r="BD28" s="147" t="n"/>
      <c r="BE28" s="147" t="n"/>
      <c r="BF28" s="147" t="inlineStr">
        <is>
          <t>SF</t>
        </is>
      </c>
      <c r="BG28" s="602">
        <f>SUM(IF(BC28=BC$5,4,0),IF(BC28&amp;BD28=BC$5&amp;BD$5,1,0),
IF(AND(BC28=BC$5,BD$6&gt;=$D$115),1,0),
IF(AND(BD28=BC$5,BD$6&gt;=$D$115),1,0),
IF(AND(BE28=BC$5,BD$6&gt;=$D$115),1,0),
IF(BC28&amp;BF28=BG$5,1,0),
IF(BD28=BC$5,2,0),
IF(BE28=BC$5,1,0),
IF(OR(BC28&amp;BD28&amp;BE28=BC$5&amp;BD$5&amp;BE$5,BC28&amp;BD28&amp;BE28=BC$5&amp;BE$5&amp;BD$5,BC28&amp;BD28&amp;BE28=BD$5&amp;BC$5&amp;BE$5,BC28&amp;BD28&amp;BE28=BD$5&amp;BE$5&amp;BC$5,BC28&amp;BD28&amp;BE28=BE$5&amp;BC$5&amp;BD$5,BC28&amp;BD28&amp;BE28=BE$5&amp;BD$5&amp;BC$5),2,0),IF(AND(BC28=BC$5,BD$6&gt;=$D$129),1,0),IF(AND(BD28=BC$5,BD$6&gt;=$D$129),1,0),IF(AND(BE28=BC$5,BD$6&gt;=$D$129),1,0),IF(BC28&amp;BF28=BF$5,4,0),IF(AND(BC28=BC$5,BD$6&lt;=$D$104),-0.5,0),IF(AND(BD28=BC$5,BD$6&lt;=$D$104),-0.5,0),IF(AND(BE28=BC$5,BD$6&lt;=$D$104),-0.5,0))</f>
        <v/>
      </c>
      <c r="BH28" s="145" t="n">
        <v>2</v>
      </c>
      <c r="BI28" s="147" t="n">
        <v>5</v>
      </c>
      <c r="BJ28" s="147" t="n">
        <v>1</v>
      </c>
      <c r="BK28" s="147" t="n"/>
      <c r="BL28" s="602">
        <f>SUM(IF(BH28=BH$5,4,0),IF(BH28&amp;BI28=BH$5&amp;BI$5,1,0),
IF(AND(BH28=BH$5,BI$6&gt;=$D$115),1,0),
IF(AND(BI28=BH$5,BI$6&gt;=$D$115),1,0),
IF(AND(BJ28=BH$5,BI$6&gt;=$D$115),1,0),
IF(BH28&amp;BK28=BL$5,1,0),
IF(BI28=BH$5,2,0),
IF(BJ28=BH$5,1,0),
IF(OR(BH28&amp;BI28&amp;BJ28=BH$5&amp;BI$5&amp;BJ$5,BH28&amp;BI28&amp;BJ28=BH$5&amp;BJ$5&amp;BI$5,BH28&amp;BI28&amp;BJ28=BI$5&amp;BH$5&amp;BJ$5,BH28&amp;BI28&amp;BJ28=BI$5&amp;BJ$5&amp;BH$5,BH28&amp;BI28&amp;BJ28=BJ$5&amp;BH$5&amp;BI$5,BH28&amp;BI28&amp;BJ28=BJ$5&amp;BI$5&amp;BH$5),2,0),IF(AND(BH28=BH$5,BI$6&gt;=$D$129),1,0),IF(AND(BI28=BH$5,BI$6&gt;=$D$129),1,0),IF(AND(BJ28=BH$5,BI$6&gt;=$D$129),1,0),IF(BH28&amp;BK28=BK$5,4,0),IF(AND(BH28=BH$5,BI$6&lt;=$D$104),-0.5,0),IF(AND(BI28=BH$5,BI$6&lt;=$D$104),-0.5,0),IF(AND(BJ28=BH$5,BI$6&lt;=$D$104),-0.5,0))</f>
        <v/>
      </c>
      <c r="BM28" s="145" t="n">
        <v>3</v>
      </c>
      <c r="BN28" s="147" t="n">
        <v>1</v>
      </c>
      <c r="BO28" s="147" t="n">
        <v>12</v>
      </c>
      <c r="BP28" s="147" t="n"/>
      <c r="BQ28" s="602">
        <f>SUM(IF(BM28=BM$5,4,0),IF(BM28&amp;BN28=BM$5&amp;BN$5,1,0),
IF(AND(BM28=BM$5,BN$6&gt;=$D$115),1,0),
IF(AND(BN28=BM$5,BN$6&gt;=$D$115),1,0),
IF(AND(BO28=BM$5,BN$6&gt;=$D$115),1,0),
IF(BM28&amp;BP28=BQ$5,1,0),
IF(BN28=BM$5,2,0),
IF(BO28=BM$5,1,0),
IF(OR(BM28&amp;BN28&amp;BO28=BM$5&amp;BN$5&amp;BO$5,BM28&amp;BN28&amp;BO28=BM$5&amp;BO$5&amp;BN$5,BM28&amp;BN28&amp;BO28=BN$5&amp;BM$5&amp;BO$5,BM28&amp;BN28&amp;BO28=BN$5&amp;BO$5&amp;BM$5,BM28&amp;BN28&amp;BO28=BO$5&amp;BM$5&amp;BN$5,BM28&amp;BN28&amp;BO28=BO$5&amp;BN$5&amp;BM$5),2,0),IF(AND(BM28=BM$5,BN$6&gt;=$D$129),1,0),IF(AND(BN28=BM$5,BN$6&gt;=$D$129),1,0),IF(AND(BO28=BM$5,BN$6&gt;=$D$129),1,0),IF(BM28&amp;BP28=BP$5,4,0),IF(AND(BM28=BM$5,BN$6&lt;=$D$104),-0.5,0),IF(AND(BN28=BM$5,BN$6&lt;=$D$104),-0.5,0),IF(AND(BO28=BM$5,BN$6&lt;=$D$104),-0.5,0))</f>
        <v/>
      </c>
      <c r="BR28" s="145" t="n"/>
      <c r="BS28" s="147" t="n"/>
      <c r="BT28" s="147" t="n"/>
      <c r="BU28" s="147" t="n"/>
      <c r="BV28" s="602">
        <f>SUM(IF(BR28=BR$5,4,0),IF(BR28&amp;BS28=BR$5&amp;BS$5,1,0),
IF(AND(BR28=BR$5,BS$6&gt;=$D$115),1,0),
IF(AND(BS28=BR$5,BS$6&gt;=$D$115),1,0),
IF(AND(BT28=BR$5,BS$6&gt;=$D$115),1,0),
IF(BR28&amp;BU28=BV$5,1,0),
IF(BS28=BR$5,2,0),
IF(BT28=BR$5,1,0),
IF(OR(BR28&amp;BS28&amp;BT28=BR$5&amp;BS$5&amp;BT$5,BR28&amp;BS28&amp;BT28=BR$5&amp;BT$5&amp;BS$5,BR28&amp;BS28&amp;BT28=BS$5&amp;BR$5&amp;BT$5,BR28&amp;BS28&amp;BT28=BS$5&amp;BT$5&amp;BR$5,BR28&amp;BS28&amp;BT28=BT$5&amp;BR$5&amp;BS$5,BR28&amp;BS28&amp;BT28=BT$5&amp;BS$5&amp;BR$5),2,0),IF(AND(BR28=BR$5,BS$6&gt;=$D$129),1,0),IF(AND(BS28=BR$5,BS$6&gt;=$D$129),1,0),IF(AND(BT28=BR$5,BS$6&gt;=$D$129),1,0),IF(BR28&amp;BU28=BU$5,4,0),IF(AND(BR28=BR$5,BS$6&lt;=$D$104),-0.5,0),IF(AND(BS28=BR$5,BS$6&lt;=$D$104),-0.5,0),IF(AND(BT28=BR$5,BS$6&lt;=$D$104),-0.5,0))</f>
        <v/>
      </c>
      <c r="BW28" s="145" t="n"/>
      <c r="BX28" s="147" t="n"/>
      <c r="BY28" s="147" t="n"/>
      <c r="BZ28" s="147" t="n"/>
      <c r="CA28" s="602">
        <f>SUM(IF(BW28=BW$5,4,0),IF(BW28&amp;BX28=BW$5&amp;BX$5,1,0),
IF(AND(BW28=BW$5,BX$6&gt;=$D$115),1,0),
IF(AND(BX28=BW$5,BX$6&gt;=$D$115),1,0),
IF(AND(BY28=BW$5,BX$6&gt;=$D$115),1,0),
IF(BW28&amp;BZ28=CA$5,1,0),
IF(BX28=BW$5,2,0),
IF(BY28=BW$5,1,0),
IF(OR(BW28&amp;BX28&amp;BY28=BW$5&amp;BX$5&amp;BY$5,BW28&amp;BX28&amp;BY28=BW$5&amp;BY$5&amp;BX$5,BW28&amp;BX28&amp;BY28=BX$5&amp;BW$5&amp;BY$5,BW28&amp;BX28&amp;BY28=BX$5&amp;BY$5&amp;BW$5,BW28&amp;BX28&amp;BY28=BY$5&amp;BW$5&amp;BX$5,BW28&amp;BX28&amp;BY28=BY$5&amp;BX$5&amp;BW$5),2,0),IF(AND(BW28=BW$5,BX$6&gt;=$D$129),1,0),IF(AND(BX28=BW$5,BX$6&gt;=$D$129),1,0),IF(AND(BY28=BW$5,BX$6&gt;=$D$129),1,0),IF(BW28&amp;BZ28=BZ$5,4,0),IF(AND(BW28=BW$5,BX$6&lt;=$D$104),-0.5,0),IF(AND(BX28=BW$5,BX$6&lt;=$D$104),-0.5,0),IF(AND(BY28=BW$5,BX$6&lt;=$D$104),-0.5,0))</f>
        <v/>
      </c>
      <c r="CB28" s="145" t="n"/>
      <c r="CC28" s="147" t="n"/>
      <c r="CD28" s="147" t="n"/>
      <c r="CE28" s="147" t="n"/>
      <c r="CF28" s="602">
        <f>SUM(IF(CB28=CB$5,4,0),IF(CB28&amp;CC28=CB$5&amp;CC$5,1,0),
IF(AND(CB28=CB$5,CC$6&gt;=$D$115),1,0),
IF(AND(CC28=CB$5,CC$6&gt;=$D$115),1,0),
IF(AND(CD28=CB$5,CC$6&gt;=$D$115),1,0),
IF(CB28&amp;CE28=CF$5,1,0),
IF(CC28=CB$5,2,0),
IF(CD28=CB$5,1,0),
IF(OR(CB28&amp;CC28&amp;CD28=CB$5&amp;CC$5&amp;CD$5,CB28&amp;CC28&amp;CD28=CB$5&amp;CD$5&amp;CC$5,CB28&amp;CC28&amp;CD28=CC$5&amp;CB$5&amp;CD$5,CB28&amp;CC28&amp;CD28=CC$5&amp;CD$5&amp;CB$5,CB28&amp;CC28&amp;CD28=CD$5&amp;CB$5&amp;CC$5,CB28&amp;CC28&amp;CD28=CD$5&amp;CC$5&amp;CB$5),2,0),IF(AND(CB28=CB$5,CC$6&gt;=$D$129),1,0),IF(AND(CC28=CB$5,CC$6&gt;=$D$129),1,0),IF(AND(CD28=CB$5,CC$6&gt;=$D$129),1,0),IF(CB28&amp;CE28=CE$5,4,0),IF(AND(CB28=CB$5,CC$6&lt;=$D$104),-0.5,0),IF(AND(CC28=CB$5,CC$6&lt;=$D$104),-0.5,0),IF(AND(CD28=CB$5,CC$6&lt;=$D$104),-0.5,0))</f>
        <v/>
      </c>
      <c r="CG28" s="164">
        <f>IF(BASE01[[#This Row],[1]]="",0,$B$4)</f>
        <v/>
      </c>
      <c r="CH28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8" s="166">
        <f>IF(BASE01[[#This Row],[Columna14]]=0,0,(CH28/CG28))</f>
        <v/>
      </c>
      <c r="CJ28" s="165">
        <f>IF(BASE01[[#This Row],[1]]="",0,$B$4)</f>
        <v/>
      </c>
      <c r="CK28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8" s="166">
        <f>IF(BASE01[[#This Row],[Columna14]]=0,0,(CK28/CJ28))</f>
        <v/>
      </c>
      <c r="CM28" s="164">
        <f>IF(BASE01[[#This Row],[1]]="",0,$B$4)</f>
        <v/>
      </c>
      <c r="CN28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8" s="166">
        <f>IF(BASE01[[#This Row],[Columna14]]=0,0,(CN28/CM28))</f>
        <v/>
      </c>
      <c r="CP28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8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Row],[Columna25]],$AX$5,BA28,"SF")+COUNTIFS(BASE01[[#This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8" s="166">
        <f>IF(BASE01[[#This Row],[Columna14]]=0,0,(CQ28/CP28))</f>
        <v/>
      </c>
      <c r="CS28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8" s="95" t="n"/>
      <c r="CU28" s="604">
        <f>SUM(CS28,CT28)</f>
        <v/>
      </c>
      <c r="CV28" s="96">
        <f>IF(BASE01[[#This Row],[TIPO]]="PREMIO",$O$3,"0,00")</f>
        <v/>
      </c>
      <c r="CW28" s="576" t="n"/>
      <c r="CY28" s="606">
        <f>IF(CZ28="","",$CZ$25)</f>
        <v/>
      </c>
      <c r="CZ28" s="392" t="inlineStr">
        <is>
          <t>COD 11</t>
        </is>
      </c>
      <c r="DA28" s="392">
        <f t="array" ref="DA28">IF(CZ28="", "", IF((INDEX(E$8:CE$57, MATCH(CZ28, C$8:C$57, 0), ($CZ$25-1)*5 + 1) &amp; "") = (INDEX(E$5:CE$5, 1, ($CZ$25-1)*5 + 1) &amp; ""), 1, IF((INDEX(E$8:CE$57, MATCH(CZ28, C$8:C$57, 0), ($CZ$25-1)*5 + 2) &amp; "") = (INDEX(E$5:CE$5, 1, ($CZ$25-1)*5 + 1) &amp; ""), 2, IF((INDEX(E$8:CE$57, MATCH(CZ28, C$8:C$57, 0), ($CZ$25-1)*5 + 3) &amp; "") = (INDEX(E$5:CE$5, 1, ($CZ$25-1)*5 + 1) &amp; ""), 3, ""))))</f>
        <v/>
      </c>
      <c r="DB28" s="605">
        <f>BASE01[[#This Row],[COD]]</f>
        <v/>
      </c>
      <c r="DC28" s="395">
        <f t="array" ref="DC28">IFERROR(IF(AND(INDEX($E$8:$CE$57, MATCH($C28, $C$8:$C$57, 0), (COLUMNS($DC28:DC28)-1)*5 + 1) = INDEX($E$5:$CE$5, 1, (COLUMNS($DC28:DC28)-1)*5 + 1), INDEX($E$8:$CE$57, MATCH($C28, $C$8:$C$57, 0), (COLUMNS($DC28:DC28)-1)*5 + 4) = "F"), INDEX($CZ$8:$CZ$23, COLUMNS($DC28:DC28)), "0"), "")</f>
        <v/>
      </c>
      <c r="DD28" s="395">
        <f t="array" ref="DD28">IFERROR(IF(AND(INDEX($E$8:$CE$57, MATCH($C28, $C$8:$C$57, 0), (COLUMNS($DC28:DD28)-1)*5 + 1) = INDEX($E$5:$CE$5, 1, (COLUMNS($DC28:DD28)-1)*5 + 1), INDEX($E$8:$CE$57, MATCH($C28, $C$8:$C$57, 0), (COLUMNS($DC28:DD28)-1)*5 + 4) = "F"), INDEX($CZ$8:$CZ$23, COLUMNS($DC28:DD28)), "0"), "")</f>
        <v/>
      </c>
      <c r="DE28" s="395">
        <f t="array" ref="DE28">IFERROR(IF(AND(INDEX($E$8:$CE$57, MATCH($C28, $C$8:$C$57, 0), (COLUMNS($DC28:DE28)-1)*5 + 1) = INDEX($E$5:$CE$5, 1, (COLUMNS($DC28:DE28)-1)*5 + 1), INDEX($E$8:$CE$57, MATCH($C28, $C$8:$C$57, 0), (COLUMNS($DC28:DE28)-1)*5 + 4) = "F"), INDEX($CZ$8:$CZ$23, COLUMNS($DC28:DE28)), "0"), "")</f>
        <v/>
      </c>
      <c r="DF28" s="395">
        <f t="array" ref="DF28">IFERROR(IF(AND(INDEX($E$8:$CE$57, MATCH($C28, $C$8:$C$57, 0), (COLUMNS($DC28:DF28)-1)*5 + 1) = INDEX($E$5:$CE$5, 1, (COLUMNS($DC28:DF28)-1)*5 + 1), INDEX($E$8:$CE$57, MATCH($C28, $C$8:$C$57, 0), (COLUMNS($DC28:DF28)-1)*5 + 4) = "F"), INDEX($CZ$8:$CZ$23, COLUMNS($DC28:DF28)), "0"), "")</f>
        <v/>
      </c>
      <c r="DG28" s="395">
        <f t="array" ref="DG28">IFERROR(IF(AND(INDEX($E$8:$CE$57, MATCH($C28, $C$8:$C$57, 0), (COLUMNS($DC28:DG28)-1)*5 + 1) = INDEX($E$5:$CE$5, 1, (COLUMNS($DC28:DG28)-1)*5 + 1), INDEX($E$8:$CE$57, MATCH($C28, $C$8:$C$57, 0), (COLUMNS($DC28:DG28)-1)*5 + 4) = "F"), INDEX($CZ$8:$CZ$23, COLUMNS($DC28:DG28)), "0"), "")</f>
        <v/>
      </c>
      <c r="DH28" s="395">
        <f t="array" ref="DH28">IFERROR(IF(AND(INDEX($E$8:$CE$57, MATCH($C28, $C$8:$C$57, 0), (COLUMNS($DC28:DH28)-1)*5 + 1) = INDEX($E$5:$CE$5, 1, (COLUMNS($DC28:DH28)-1)*5 + 1), INDEX($E$8:$CE$57, MATCH($C28, $C$8:$C$57, 0), (COLUMNS($DC28:DH28)-1)*5 + 4) = "F"), INDEX($CZ$8:$CZ$23, COLUMNS($DC28:DH28)), "0"), "")</f>
        <v/>
      </c>
      <c r="DI28" s="395">
        <f t="array" ref="DI28">IFERROR(IF(AND(INDEX($E$8:$CE$57, MATCH($C28, $C$8:$C$57, 0), (COLUMNS($DC28:DI28)-1)*5 + 1) = INDEX($E$5:$CE$5, 1, (COLUMNS($DC28:DI28)-1)*5 + 1), INDEX($E$8:$CE$57, MATCH($C28, $C$8:$C$57, 0), (COLUMNS($DC28:DI28)-1)*5 + 4) = "F"), INDEX($CZ$8:$CZ$23, COLUMNS($DC28:DI28)), "0"), "")</f>
        <v/>
      </c>
      <c r="DJ28" s="395">
        <f t="array" ref="DJ28">IFERROR(IF(AND(INDEX($E$8:$CE$57, MATCH($C28, $C$8:$C$57, 0), (COLUMNS($DC28:DJ28)-1)*5 + 1) = INDEX($E$5:$CE$5, 1, (COLUMNS($DC28:DJ28)-1)*5 + 1), INDEX($E$8:$CE$57, MATCH($C28, $C$8:$C$57, 0), (COLUMNS($DC28:DJ28)-1)*5 + 4) = "F"), INDEX($CZ$8:$CZ$23, COLUMNS($DC28:DJ28)), "0"), "")</f>
        <v/>
      </c>
      <c r="DK28" s="395">
        <f t="array" ref="DK28">IFERROR(IF(AND(INDEX($E$8:$CE$57, MATCH($C28, $C$8:$C$57, 0), (COLUMNS($DC28:DK28)-1)*5 + 1) = INDEX($E$5:$CE$5, 1, (COLUMNS($DC28:DK28)-1)*5 + 1), INDEX($E$8:$CE$57, MATCH($C28, $C$8:$C$57, 0), (COLUMNS($DC28:DK28)-1)*5 + 4) = "F"), INDEX($CZ$8:$CZ$23, COLUMNS($DC28:DK28)), "0"), "")</f>
        <v/>
      </c>
      <c r="DL28" s="395">
        <f t="array" ref="DL28">IFERROR(IF(AND(INDEX($E$8:$CE$57, MATCH($C28, $C$8:$C$57, 0), (COLUMNS($DC28:DL28)-1)*5 + 1) = INDEX($E$5:$CE$5, 1, (COLUMNS($DC28:DL28)-1)*5 + 1), INDEX($E$8:$CE$57, MATCH($C28, $C$8:$C$57, 0), (COLUMNS($DC28:DL28)-1)*5 + 4) = "F"), INDEX($CZ$8:$CZ$23, COLUMNS($DC28:DL28)), "0"), "")</f>
        <v/>
      </c>
      <c r="DM28" s="395">
        <f t="array" ref="DM28">IFERROR(IF(AND(INDEX($E$8:$CE$57, MATCH($C28, $C$8:$C$57, 0), (COLUMNS($DC28:DM28)-1)*5 + 1) = INDEX($E$5:$CE$5, 1, (COLUMNS($DC28:DM28)-1)*5 + 1), INDEX($E$8:$CE$57, MATCH($C28, $C$8:$C$57, 0), (COLUMNS($DC28:DM28)-1)*5 + 4) = "F"), INDEX($CZ$8:$CZ$23, COLUMNS($DC28:DM28)), "0"), "")</f>
        <v/>
      </c>
      <c r="DN28" s="395">
        <f t="array" ref="DN28">IFERROR(IF(AND(INDEX($E$8:$CE$57, MATCH($C28, $C$8:$C$57, 0), (COLUMNS($DC28:DN28)-1)*5 + 1) = INDEX($E$5:$CE$5, 1, (COLUMNS($DC28:DN28)-1)*5 + 1), INDEX($E$8:$CE$57, MATCH($C28, $C$8:$C$57, 0), (COLUMNS($DC28:DN28)-1)*5 + 4) = "F"), INDEX($CZ$8:$CZ$23, COLUMNS($DC28:DN28)), "0"), "")</f>
        <v/>
      </c>
      <c r="DO28" s="395">
        <f t="array" ref="DO28">IFERROR(IF(AND(INDEX($E$8:$CE$57, MATCH($C28, $C$8:$C$57, 0), (COLUMNS($DC28:DO28)-1)*5 + 1) = INDEX($E$5:$CE$5, 1, (COLUMNS($DC28:DO28)-1)*5 + 1), INDEX($E$8:$CE$57, MATCH($C28, $C$8:$C$57, 0), (COLUMNS($DC28:DO28)-1)*5 + 4) = "F"), INDEX($CZ$8:$CZ$23, COLUMNS($DC28:DO28)), "0"), "")</f>
        <v/>
      </c>
      <c r="DP28" s="395">
        <f t="array" ref="DP28">IFERROR(IF(AND(INDEX($E$8:$CE$57, MATCH($C28, $C$8:$C$57, 0), (COLUMNS($DC28:DP28)-1)*5 + 1) = INDEX($E$5:$CE$5, 1, (COLUMNS($DC28:DP28)-1)*5 + 1), INDEX($E$8:$CE$57, MATCH($C28, $C$8:$C$57, 0), (COLUMNS($DC28:DP28)-1)*5 + 4) = "F"), INDEX($CZ$8:$CZ$23, COLUMNS($DC28:DP28)), "0"), "")</f>
        <v/>
      </c>
      <c r="DQ28" s="395">
        <f t="array" ref="DQ28">IFERROR(IF(AND(INDEX($E$8:$CE$57, MATCH($C28, $C$8:$C$57, 0), (COLUMNS($DC28:DQ28)-1)*5 + 1) = INDEX($E$5:$CE$5, 1, (COLUMNS($DC28:DQ28)-1)*5 + 1), INDEX($E$8:$CE$57, MATCH($C28, $C$8:$C$57, 0), (COLUMNS($DC28:DQ28)-1)*5 + 4) = "F"), INDEX($CZ$8:$CZ$23, COLUMNS($DC28:DQ28)), "0"), "")</f>
        <v/>
      </c>
      <c r="DR28" s="395">
        <f t="array" ref="DR28">IFERROR(IF(AND(INDEX($E$8:$CE$57, MATCH($C28, $C$8:$C$57, 0), (COLUMNS($DC28:DR28)-1)*5 + 1) = INDEX($E$5:$CE$5, 1, (COLUMNS($DC28:DR28)-1)*5 + 1), INDEX($E$8:$CE$57, MATCH($C28, $C$8:$C$57, 0), (COLUMNS($DC28:DR28)-1)*5 + 4) = "F"), INDEX($CZ$8:$CZ$23, COLUMNS($DC28:DR28)), "0"), "")</f>
        <v/>
      </c>
      <c r="DT28" s="605">
        <f>BASE01[[#This Row],[COD]]</f>
        <v/>
      </c>
      <c r="DU28" s="395">
        <f t="array" ref="DU28">IFERROR(IF(AND(INDEX($E$8:$CE$57, MATCH($C28, $C$8:$C$57, 0), (COLUMNS($DU28:DU28)-1)*5 + 1) = INDEX($E$5:$CE$5, 1, (COLUMNS($DU28:DU28)-1)*5 + 1), INDEX($E$8:$CE$57, MATCH($C28, $C$8:$C$57, 0), (COLUMNS($DU28:DU28)-1)*5 + 4) = "SF"), INDEX($CZ$8:$CZ$23, COLUMNS($DU28:DU28)), "0"), "")</f>
        <v/>
      </c>
      <c r="DV28" s="395">
        <f t="array" ref="DV28">IFERROR(IF(AND(INDEX($E$8:$CE$57, MATCH($C28, $C$8:$C$57, 0), (COLUMNS($DU28:DV28)-1)*5 + 1) = INDEX($E$5:$CE$5, 1, (COLUMNS($DU28:DV28)-1)*5 + 1), INDEX($E$8:$CE$57, MATCH($C28, $C$8:$C$57, 0), (COLUMNS($DU28:DV28)-1)*5 + 4) = "SF"), INDEX($CZ$8:$CZ$23, COLUMNS($DU28:DV28)), "0"), "")</f>
        <v/>
      </c>
      <c r="DW28" s="395">
        <f t="array" ref="DW28">IFERROR(IF(AND(INDEX($E$8:$CE$57, MATCH($C28, $C$8:$C$57, 0), (COLUMNS($DU28:DW28)-1)*5 + 1) = INDEX($E$5:$CE$5, 1, (COLUMNS($DU28:DW28)-1)*5 + 1), INDEX($E$8:$CE$57, MATCH($C28, $C$8:$C$57, 0), (COLUMNS($DU28:DW28)-1)*5 + 4) = "SF"), INDEX($CZ$8:$CZ$23, COLUMNS($DU28:DW28)), "0"), "")</f>
        <v/>
      </c>
      <c r="DX28" s="395">
        <f t="array" ref="DX28">IFERROR(IF(AND(INDEX($E$8:$CE$57, MATCH($C28, $C$8:$C$57, 0), (COLUMNS($DU28:DX28)-1)*5 + 1) = INDEX($E$5:$CE$5, 1, (COLUMNS($DU28:DX28)-1)*5 + 1), INDEX($E$8:$CE$57, MATCH($C28, $C$8:$C$57, 0), (COLUMNS($DU28:DX28)-1)*5 + 4) = "SF"), INDEX($CZ$8:$CZ$23, COLUMNS($DU28:DX28)), "0"), "")</f>
        <v/>
      </c>
      <c r="DY28" s="395">
        <f t="array" ref="DY28">IFERROR(IF(AND(INDEX($E$8:$CE$57, MATCH($C28, $C$8:$C$57, 0), (COLUMNS($DU28:DY28)-1)*5 + 1) = INDEX($E$5:$CE$5, 1, (COLUMNS($DU28:DY28)-1)*5 + 1), INDEX($E$8:$CE$57, MATCH($C28, $C$8:$C$57, 0), (COLUMNS($DU28:DY28)-1)*5 + 4) = "SF"), INDEX($CZ$8:$CZ$23, COLUMNS($DU28:DY28)), "0"), "")</f>
        <v/>
      </c>
      <c r="DZ28" s="395">
        <f t="array" ref="DZ28">IFERROR(IF(AND(INDEX($E$8:$CE$57, MATCH($C28, $C$8:$C$57, 0), (COLUMNS($DU28:DZ28)-1)*5 + 1) = INDEX($E$5:$CE$5, 1, (COLUMNS($DU28:DZ28)-1)*5 + 1), INDEX($E$8:$CE$57, MATCH($C28, $C$8:$C$57, 0), (COLUMNS($DU28:DZ28)-1)*5 + 4) = "SF"), INDEX($CZ$8:$CZ$23, COLUMNS($DU28:DZ28)), "0"), "")</f>
        <v/>
      </c>
      <c r="EA28" s="395">
        <f t="array" ref="EA28">IFERROR(IF(AND(INDEX($E$8:$CE$57, MATCH($C28, $C$8:$C$57, 0), (COLUMNS($DU28:EA28)-1)*5 + 1) = INDEX($E$5:$CE$5, 1, (COLUMNS($DU28:EA28)-1)*5 + 1), INDEX($E$8:$CE$57, MATCH($C28, $C$8:$C$57, 0), (COLUMNS($DU28:EA28)-1)*5 + 4) = "SF"), INDEX($CZ$8:$CZ$23, COLUMNS($DU28:EA28)), "0"), "")</f>
        <v/>
      </c>
      <c r="EB28" s="395">
        <f t="array" ref="EB28">IFERROR(IF(AND(INDEX($E$8:$CE$57, MATCH($C28, $C$8:$C$57, 0), (COLUMNS($DU28:EB28)-1)*5 + 1) = INDEX($E$5:$CE$5, 1, (COLUMNS($DU28:EB28)-1)*5 + 1), INDEX($E$8:$CE$57, MATCH($C28, $C$8:$C$57, 0), (COLUMNS($DU28:EB28)-1)*5 + 4) = "SF"), INDEX($CZ$8:$CZ$23, COLUMNS($DU28:EB28)), "0"), "")</f>
        <v/>
      </c>
      <c r="EC28" s="395">
        <f t="array" ref="EC28">IFERROR(IF(AND(INDEX($E$8:$CE$57, MATCH($C28, $C$8:$C$57, 0), (COLUMNS($DU28:EC28)-1)*5 + 1) = INDEX($E$5:$CE$5, 1, (COLUMNS($DU28:EC28)-1)*5 + 1), INDEX($E$8:$CE$57, MATCH($C28, $C$8:$C$57, 0), (COLUMNS($DU28:EC28)-1)*5 + 4) = "SF"), INDEX($CZ$8:$CZ$23, COLUMNS($DU28:EC28)), "0"), "")</f>
        <v/>
      </c>
      <c r="ED28" s="395">
        <f t="array" ref="ED28">IFERROR(IF(AND(INDEX($E$8:$CE$57, MATCH($C28, $C$8:$C$57, 0), (COLUMNS($DU28:ED28)-1)*5 + 1) = INDEX($E$5:$CE$5, 1, (COLUMNS($DU28:ED28)-1)*5 + 1), INDEX($E$8:$CE$57, MATCH($C28, $C$8:$C$57, 0), (COLUMNS($DU28:ED28)-1)*5 + 4) = "SF"), INDEX($CZ$8:$CZ$23, COLUMNS($DU28:ED28)), "0"), "")</f>
        <v/>
      </c>
      <c r="EE28" s="395">
        <f t="array" ref="EE28">IFERROR(IF(AND(INDEX($E$8:$CE$57, MATCH($C28, $C$8:$C$57, 0), (COLUMNS($DU28:EE28)-1)*5 + 1) = INDEX($E$5:$CE$5, 1, (COLUMNS($DU28:EE28)-1)*5 + 1), INDEX($E$8:$CE$57, MATCH($C28, $C$8:$C$57, 0), (COLUMNS($DU28:EE28)-1)*5 + 4) = "SF"), INDEX($CZ$8:$CZ$23, COLUMNS($DU28:EE28)), "0"), "")</f>
        <v/>
      </c>
      <c r="EF28" s="395">
        <f t="array" ref="EF28">IFERROR(IF(AND(INDEX($E$8:$CE$57, MATCH($C28, $C$8:$C$57, 0), (COLUMNS($DU28:EF28)-1)*5 + 1) = INDEX($E$5:$CE$5, 1, (COLUMNS($DU28:EF28)-1)*5 + 1), INDEX($E$8:$CE$57, MATCH($C28, $C$8:$C$57, 0), (COLUMNS($DU28:EF28)-1)*5 + 4) = "SF"), INDEX($CZ$8:$CZ$23, COLUMNS($DU28:EF28)), "0"), "")</f>
        <v/>
      </c>
      <c r="EG28" s="395">
        <f t="array" ref="EG28">IFERROR(IF(AND(INDEX($E$8:$CE$57, MATCH($C28, $C$8:$C$57, 0), (COLUMNS($DU28:EG28)-1)*5 + 1) = INDEX($E$5:$CE$5, 1, (COLUMNS($DU28:EG28)-1)*5 + 1), INDEX($E$8:$CE$57, MATCH($C28, $C$8:$C$57, 0), (COLUMNS($DU28:EG28)-1)*5 + 4) = "SF"), INDEX($CZ$8:$CZ$23, COLUMNS($DU28:EG28)), "0"), "")</f>
        <v/>
      </c>
      <c r="EH28" s="395">
        <f t="array" ref="EH28">IFERROR(IF(AND(INDEX($E$8:$CE$57, MATCH($C28, $C$8:$C$57, 0), (COLUMNS($DU28:EH28)-1)*5 + 1) = INDEX($E$5:$CE$5, 1, (COLUMNS($DU28:EH28)-1)*5 + 1), INDEX($E$8:$CE$57, MATCH($C28, $C$8:$C$57, 0), (COLUMNS($DU28:EH28)-1)*5 + 4) = "SF"), INDEX($CZ$8:$CZ$23, COLUMNS($DU28:EH28)), "0"), "")</f>
        <v/>
      </c>
      <c r="EI28" s="395">
        <f t="array" ref="EI28">IFERROR(IF(AND(INDEX($E$8:$CE$57, MATCH($C28, $C$8:$C$57, 0), (COLUMNS($DU28:EI28)-1)*5 + 1) = INDEX($E$5:$CE$5, 1, (COLUMNS($DU28:EI28)-1)*5 + 1), INDEX($E$8:$CE$57, MATCH($C28, $C$8:$C$57, 0), (COLUMNS($DU28:EI28)-1)*5 + 4) = "SF"), INDEX($CZ$8:$CZ$23, COLUMNS($DU28:EI28)), "0"), "")</f>
        <v/>
      </c>
      <c r="EJ28" s="395">
        <f t="array" ref="EJ28">IFERROR(IF(AND(INDEX($E$8:$CE$57, MATCH($C28, $C$8:$C$57, 0), (COLUMNS($DU28:EJ28)-1)*5 + 1) = INDEX($E$5:$CE$5, 1, (COLUMNS($DU28:EJ28)-1)*5 + 1), INDEX($E$8:$CE$57, MATCH($C28, $C$8:$C$57, 0), (COLUMNS($DU28:EJ28)-1)*5 + 4) = "SF"), INDEX($CZ$8:$CZ$23, COLUMNS($DU28:EJ28)), "0"), "")</f>
        <v/>
      </c>
    </row>
    <row r="29" ht="19.5" customHeight="1" s="568">
      <c r="A29" s="576" t="n"/>
      <c r="B29" s="92">
        <f>IF(BASE01[[#This Row],[COD]]&lt;&gt;"",B28+1,"")</f>
        <v/>
      </c>
      <c r="C29" s="601" t="inlineStr">
        <is>
          <t>COD 22</t>
        </is>
      </c>
      <c r="D29" s="93">
        <f t="array" ref="D29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29" s="145" t="n">
        <v>8</v>
      </c>
      <c r="F29" s="146" t="n">
        <v>6</v>
      </c>
      <c r="G29" s="146" t="n">
        <v>1</v>
      </c>
      <c r="H29" s="146" t="n"/>
      <c r="I29" s="602">
        <f>SUM(IF(E29=E$5,4,0),IF(E29&amp;F29=E$5&amp;F$5,1,0),
IF(AND(E29=E$5,F$6&gt;=$D$115),1,0),
IF(AND(F29=E$5,F$6&gt;=$D$115),1,0),
IF(AND(G29=E$5,F$6&gt;=$D$115),1,0),
IF(E29&amp;H29=I$5,1,0),
IF(F29=E$5,2,0),
IF(G29=E$5,1,0),
IF(OR(E29&amp;F29&amp;G29=E$5&amp;F$5&amp;G$5,E29&amp;F29&amp;G29=E$5&amp;G$5&amp;F$5,E29&amp;F29&amp;G29=F$5&amp;E$5&amp;G$5,E29&amp;F29&amp;G29=F$5&amp;G$5&amp;E$5,E29&amp;F29&amp;G29=G$5&amp;E$5&amp;F$5,E29&amp;F29&amp;G29=G$5&amp;F$5&amp;E$5),2,0),IF(AND(E29=E$5,F$6&gt;=$D$129),1,0),IF(AND(F29=E$5,F$6&gt;=$D$129),1,0),IF(AND(G29=E$5,F$6&gt;=$D$129),1,0),IF(E29&amp;H29=H$5,4,0),IF(AND(E29=E$5,F$6&lt;=$D$104),-0.5,0),IF(AND(F29=E$5,F$6&lt;=$D$104),-0.5,0),IF(AND(G29=E$5,F$6&lt;=$D$104),-0.5,0))</f>
        <v/>
      </c>
      <c r="J29" s="145" t="n">
        <v>3</v>
      </c>
      <c r="K29" s="146" t="n">
        <v>1</v>
      </c>
      <c r="L29" s="146" t="n">
        <v>8</v>
      </c>
      <c r="M29" s="146" t="n"/>
      <c r="N29" s="602">
        <f>SUM(IF(J29=J$5,4,0),IF(J29&amp;K29=J$5&amp;K$5,1,0),
IF(AND(J29=J$5,K$6&gt;=$D$115),1,0),
IF(AND(K29=J$5,K$6&gt;=$D$115),1,0),
IF(AND(L29=J$5,K$6&gt;=$D$115),1,0),
IF(J29&amp;M29=N$5,1,0),
IF(K29=J$5,2,0),
IF(L29=J$5,1,0),
IF(OR(J29&amp;K29&amp;L29=J$5&amp;K$5&amp;L$5,J29&amp;K29&amp;L29=J$5&amp;L$5&amp;K$5,J29&amp;K29&amp;L29=K$5&amp;J$5&amp;L$5,J29&amp;K29&amp;L29=K$5&amp;L$5&amp;J$5,J29&amp;K29&amp;L29=L$5&amp;J$5&amp;K$5,J29&amp;K29&amp;L29=L$5&amp;K$5&amp;J$5),2,0),IF(AND(J29=J$5,K$6&gt;=$D$129),1,0),IF(AND(K29=J$5,K$6&gt;=$D$129),1,0),IF(AND(L29=J$5,K$6&gt;=$D$129),1,0),IF(J29&amp;M29=M$5,4,0),IF(AND(J29=J$5,K$6&lt;=$D$104),-0.5,0),IF(AND(K29=J$5,K$6&lt;=$D$104),-0.5,0),IF(AND(L29=J$5,K$6&lt;=$D$104),-0.5,0))</f>
        <v/>
      </c>
      <c r="O29" s="145" t="n">
        <v>8</v>
      </c>
      <c r="P29" s="146" t="n">
        <v>3</v>
      </c>
      <c r="Q29" s="146" t="n">
        <v>6</v>
      </c>
      <c r="R29" s="146" t="n"/>
      <c r="S29" s="602">
        <f>SUM(IF(O29=O$5,4,0),IF(O29&amp;P29=O$5&amp;P$5,1,0),
IF(AND(O29=O$5,P$6&gt;=$D$115),1,0),
IF(AND(P29=O$5,P$6&gt;=$D$115),1,0),
IF(AND(Q29=O$5,P$6&gt;=$D$115),1,0),
IF(O29&amp;R29=S$5,1,0),
IF(P29=O$5,2,0),
IF(Q29=O$5,1,0),
IF(OR(O29&amp;P29&amp;Q29=O$5&amp;P$5&amp;Q$5,O29&amp;P29&amp;Q29=O$5&amp;Q$5&amp;P$5,O29&amp;P29&amp;Q29=P$5&amp;O$5&amp;Q$5,O29&amp;P29&amp;Q29=P$5&amp;Q$5&amp;O$5,O29&amp;P29&amp;Q29=Q$5&amp;O$5&amp;P$5,O29&amp;P29&amp;Q29=Q$5&amp;P$5&amp;O$5),2,0),IF(AND(O29=O$5,P$6&gt;=$D$129),1,0),IF(AND(P29=O$5,P$6&gt;=$D$129),1,0),IF(AND(Q29=O$5,P$6&gt;=$D$129),1,0),IF(O29&amp;R29=R$5,4,0),IF(AND(O29=O$5,P$6&lt;=$D$104),-0.5,0),IF(AND(P29=O$5,P$6&lt;=$D$104),-0.5,0),IF(AND(Q29=O$5,P$6&lt;=$D$104),-0.5,0))</f>
        <v/>
      </c>
      <c r="T29" s="145" t="n">
        <v>6</v>
      </c>
      <c r="U29" s="146" t="n"/>
      <c r="V29" s="146" t="n"/>
      <c r="W29" s="146" t="inlineStr">
        <is>
          <t>SF</t>
        </is>
      </c>
      <c r="X29" s="602">
        <f>SUM(IF(T29=T$5,4,0),IF(T29&amp;U29=T$5&amp;U$5,1,0),
IF(AND(T29=T$5,U$6&gt;=$D$115),1,0),
IF(AND(U29=T$5,U$6&gt;=$D$115),1,0),
IF(AND(V29=T$5,U$6&gt;=$D$115),1,0),
IF(T29&amp;W29=X$5,1,0),
IF(U29=T$5,2,0),
IF(V29=T$5,1,0),
IF(OR(T29&amp;U29&amp;V29=T$5&amp;U$5&amp;V$5,T29&amp;U29&amp;V29=T$5&amp;V$5&amp;U$5,T29&amp;U29&amp;V29=U$5&amp;T$5&amp;V$5,T29&amp;U29&amp;V29=U$5&amp;V$5&amp;T$5,T29&amp;U29&amp;V29=V$5&amp;T$5&amp;U$5,T29&amp;U29&amp;V29=V$5&amp;U$5&amp;T$5),2,0),IF(AND(T29=T$5,U$6&gt;=$D$129),1,0),IF(AND(U29=T$5,U$6&gt;=$D$129),1,0),IF(AND(V29=T$5,U$6&gt;=$D$129),1,0),IF(T29&amp;W29=W$5,4,0),IF(AND(T29=T$5,U$6&lt;=$D$104),-0.5,0),IF(AND(U29=T$5,U$6&lt;=$D$104),-0.5,0),IF(AND(V29=T$5,U$6&lt;=$D$104),-0.5,0))</f>
        <v/>
      </c>
      <c r="Y29" s="145" t="n">
        <v>5</v>
      </c>
      <c r="Z29" s="146" t="n">
        <v>10</v>
      </c>
      <c r="AA29" s="146" t="n">
        <v>3</v>
      </c>
      <c r="AB29" s="146" t="inlineStr">
        <is>
          <t>F</t>
        </is>
      </c>
      <c r="AC29" s="602">
        <f>SUM(IF(Y29=Y$5,4,0),IF(Y29&amp;Z29=Y$5&amp;Z$5,1,0),
IF(AND(Y29=Y$5,Z$6&gt;=$D$115),1,0),
IF(AND(Z29=Y$5,Z$6&gt;=$D$115),1,0),
IF(AND(AA29=Y$5,Z$6&gt;=$D$115),1,0),
IF(Y29&amp;AB29=AC$5,1,0),
IF(Z29=Y$5,2,0),
IF(AA29=Y$5,1,0),
IF(OR(Y29&amp;Z29&amp;AA29=Y$5&amp;Z$5&amp;AA$5,Y29&amp;Z29&amp;AA29=Y$5&amp;AA$5&amp;Z$5,Y29&amp;Z29&amp;AA29=Z$5&amp;Y$5&amp;AA$5,Y29&amp;Z29&amp;AA29=Z$5&amp;AA$5&amp;Y$5,Y29&amp;Z29&amp;AA29=AA$5&amp;Y$5&amp;Z$5,Y29&amp;Z29&amp;AA29=AA$5&amp;Z$5&amp;Y$5),2,0),IF(AND(Y29=Y$5,Z$6&gt;=$D$129),1,0),IF(AND(Z29=Y$5,Z$6&gt;=$D$129),1,0),IF(AND(AA29=Y$5,Z$6&gt;=$D$129),1,0),IF(Y29&amp;AB29=AB$5,4,0),IF(AND(Y29=Y$5,Z$6&lt;=$D$104),-0.5,0),IF(AND(Z29=Y$5,Z$6&lt;=$D$104),-0.5,0),IF(AND(AA29=Y$5,Z$6&lt;=$D$104),-0.5,0))</f>
        <v/>
      </c>
      <c r="AD29" s="145" t="n">
        <v>2</v>
      </c>
      <c r="AE29" s="146" t="n">
        <v>5</v>
      </c>
      <c r="AF29" s="146" t="n">
        <v>7</v>
      </c>
      <c r="AG29" s="146" t="n"/>
      <c r="AH29" s="602">
        <f>SUM(IF(AD29=AD$5,4,0),IF(AD29&amp;AE29=AD$5&amp;AE$5,1,0),
IF(AND(AD29=AD$5,AE$6&gt;=$D$115),1,0),
IF(AND(AE29=AD$5,AE$6&gt;=$D$115),1,0),
IF(AND(AF29=AD$5,AE$6&gt;=$D$115),1,0),
IF(AD29&amp;AG29=AH$5,1,0),
IF(AE29=AD$5,2,0),
IF(AF29=AD$5,1,0),
IF(OR(AD29&amp;AE29&amp;AF29=AD$5&amp;AE$5&amp;AF$5,AD29&amp;AE29&amp;AF29=AD$5&amp;AF$5&amp;AE$5,AD29&amp;AE29&amp;AF29=AE$5&amp;AD$5&amp;AF$5,AD29&amp;AE29&amp;AF29=AE$5&amp;AF$5&amp;AD$5,AD29&amp;AE29&amp;AF29=AF$5&amp;AD$5&amp;AE$5,AD29&amp;AE29&amp;AF29=AF$5&amp;AE$5&amp;AD$5),2,0),IF(AND(AD29=AD$5,AE$6&gt;=$D$129),1,0),IF(AND(AE29=AD$5,AE$6&gt;=$D$129),1,0),IF(AND(AF29=AD$5,AE$6&gt;=$D$129),1,0),IF(AD29&amp;AG29=AG$5,4,0),IF(AND(AD29=AD$5,AE$6&lt;=$D$104),-0.5,0),IF(AND(AE29=AD$5,AE$6&lt;=$D$104),-0.5,0),IF(AND(AF29=AD$5,AE$6&lt;=$D$104),-0.5,0))</f>
        <v/>
      </c>
      <c r="AI29" s="145" t="n">
        <v>3</v>
      </c>
      <c r="AJ29" s="146" t="n">
        <v>4</v>
      </c>
      <c r="AK29" s="146" t="n">
        <v>7</v>
      </c>
      <c r="AL29" s="146" t="n"/>
      <c r="AM29" s="602">
        <f>SUM(IF(AI29=AI$5,4,0),IF(AI29&amp;AJ29=AI$5&amp;AJ$5,1,0),
IF(AND(AI29=AI$5,AJ$6&gt;=$D$115),1,0),
IF(AND(AJ29=AI$5,AJ$6&gt;=$D$115),1,0),
IF(AND(AK29=AI$5,AJ$6&gt;=$D$115),1,0),
IF(AI29&amp;AL29=AM$5,1,0),
IF(AJ29=AI$5,2,0),
IF(AK29=AI$5,1,0),
IF(OR(AI29&amp;AJ29&amp;AK29=AI$5&amp;AJ$5&amp;AK$5,AI29&amp;AJ29&amp;AK29=AI$5&amp;AK$5&amp;AJ$5,AI29&amp;AJ29&amp;AK29=AJ$5&amp;AI$5&amp;AK$5,AI29&amp;AJ29&amp;AK29=AJ$5&amp;AK$5&amp;AI$5,AI29&amp;AJ29&amp;AK29=AK$5&amp;AI$5&amp;AJ$5,AI29&amp;AJ29&amp;AK29=AK$5&amp;AJ$5&amp;AI$5),2,0),IF(AND(AI29=AI$5,AJ$6&gt;=$D$129),1,0),IF(AND(AJ29=AI$5,AJ$6&gt;=$D$129),1,0),IF(AND(AK29=AI$5,AJ$6&gt;=$D$129),1,0),IF(AI29&amp;AL29=AL$5,4,0),IF(AND(AI29=AI$5,AJ$6&lt;=$D$104),-0.5,0),IF(AND(AJ29=AI$5,AJ$6&lt;=$D$104),-0.5,0),IF(AND(AK29=AI$5,AJ$6&lt;=$D$104),-0.5,0))</f>
        <v/>
      </c>
      <c r="AN29" s="145" t="n">
        <v>11</v>
      </c>
      <c r="AO29" s="146" t="n">
        <v>8</v>
      </c>
      <c r="AP29" s="146" t="n">
        <v>9</v>
      </c>
      <c r="AQ29" s="146" t="n"/>
      <c r="AR29" s="602">
        <f>SUM(IF(AN29=AN$5,4,0),IF(AN29&amp;AO29=AN$5&amp;AO$5,1,0),
IF(AND(AN29=AN$5,AO$6&gt;=$D$115),1,0),
IF(AND(AO29=AN$5,AO$6&gt;=$D$115),1,0),
IF(AND(AP29=AN$5,AO$6&gt;=$D$115),1,0),
IF(AN29&amp;AQ29=AR$5,1,0),
IF(AO29=AN$5,2,0),
IF(AP29=AN$5,1,0),
IF(OR(AN29&amp;AO29&amp;AP29=AN$5&amp;AO$5&amp;AP$5,AN29&amp;AO29&amp;AP29=AN$5&amp;AP$5&amp;AO$5,AN29&amp;AO29&amp;AP29=AO$5&amp;AN$5&amp;AP$5,AN29&amp;AO29&amp;AP29=AO$5&amp;AP$5&amp;AN$5,AN29&amp;AO29&amp;AP29=AP$5&amp;AN$5&amp;AO$5,AN29&amp;AO29&amp;AP29=AP$5&amp;AO$5&amp;AN$5),2,0),IF(AND(AN29=AN$5,AO$6&gt;=$D$129),1,0),IF(AND(AO29=AN$5,AO$6&gt;=$D$129),1,0),IF(AND(AP29=AN$5,AO$6&gt;=$D$129),1,0),IF(AN29&amp;AQ29=AQ$5,4,0),IF(AND(AN29=AN$5,AO$6&lt;=$D$104),-0.5,0),IF(AND(AO29=AN$5,AO$6&lt;=$D$104),-0.5,0),IF(AND(AP29=AN$5,AO$6&lt;=$D$104),-0.5,0))</f>
        <v/>
      </c>
      <c r="AS29" s="145" t="n">
        <v>7</v>
      </c>
      <c r="AT29" s="146" t="n">
        <v>2</v>
      </c>
      <c r="AU29" s="146" t="n">
        <v>6</v>
      </c>
      <c r="AV29" s="146" t="inlineStr">
        <is>
          <t>F</t>
        </is>
      </c>
      <c r="AW29" s="602">
        <f>SUM(IF(AS29=AS$5,4,0),IF(AS29&amp;AT29=AS$5&amp;AT$5,1,0),
IF(AND(AS29=AS$5,AT$6&gt;=$D$115),1,0),
IF(AND(AT29=AS$5,AT$6&gt;=$D$115),1,0),
IF(AND(AU29=AS$5,AT$6&gt;=$D$115),1,0),
IF(AS29&amp;AV29=AW$5,1,0),
IF(AT29=AS$5,2,0),
IF(AU29=AS$5,1,0),
IF(OR(AS29&amp;AT29&amp;AU29=AS$5&amp;AT$5&amp;AU$5,AS29&amp;AT29&amp;AU29=AS$5&amp;AU$5&amp;AT$5,AS29&amp;AT29&amp;AU29=AT$5&amp;AS$5&amp;AU$5,AS29&amp;AT29&amp;AU29=AT$5&amp;AU$5&amp;AS$5,AS29&amp;AT29&amp;AU29=AU$5&amp;AS$5&amp;AT$5,AS29&amp;AT29&amp;AU29=AU$5&amp;AT$5&amp;AS$5),2,0),IF(AND(AS29=AS$5,AT$6&gt;=$D$129),1,0),IF(AND(AT29=AS$5,AT$6&gt;=$D$129),1,0),IF(AND(AU29=AS$5,AT$6&gt;=$D$129),1,0),IF(AS29&amp;AV29=AV$5,4,0),IF(AND(AS29=AS$5,AT$6&lt;=$D$104),-0.5,0),IF(AND(AT29=AS$5,AT$6&lt;=$D$104),-0.5,0),IF(AND(AU29=AS$5,AT$6&lt;=$D$104),-0.5,0))</f>
        <v/>
      </c>
      <c r="AX29" s="145" t="n">
        <v>1</v>
      </c>
      <c r="AY29" s="146" t="n">
        <v>3</v>
      </c>
      <c r="AZ29" s="146" t="n">
        <v>9</v>
      </c>
      <c r="BA29" s="146" t="n"/>
      <c r="BB29" s="602">
        <f>SUM(IF(AX29=AX$5,4,0),IF(AX29&amp;AY29=AX$5&amp;AY$5,1,0),
IF(AND(AX29=AX$5,AY$6&gt;=$D$115),1,0),
IF(AND(AY29=AX$5,AY$6&gt;=$D$115),1,0),
IF(AND(AZ29=AX$5,AY$6&gt;=$D$115),1,0),
IF(AX29&amp;BA29=BB$5,1,0),
IF(AY29=AX$5,2,0),
IF(AZ29=AX$5,1,0),
IF(OR(AX29&amp;AY29&amp;AZ29=AX$5&amp;AY$5&amp;AZ$5,AX29&amp;AY29&amp;AZ29=AX$5&amp;AZ$5&amp;AY$5,AX29&amp;AY29&amp;AZ29=AY$5&amp;AX$5&amp;AZ$5,AX29&amp;AY29&amp;AZ29=AY$5&amp;AZ$5&amp;AX$5,AX29&amp;AY29&amp;AZ29=AZ$5&amp;AX$5&amp;AY$5,AX29&amp;AY29&amp;AZ29=AZ$5&amp;AY$5&amp;AX$5),2,0),IF(AND(AX29=AX$5,AY$6&gt;=$D$129),1,0),IF(AND(AY29=AX$5,AY$6&gt;=$D$129),1,0),IF(AND(AZ29=AX$5,AY$6&gt;=$D$129),1,0),IF(AX29&amp;BA29=BA$5,4,0),IF(AND(AX29=AX$5,AY$6&lt;=$D$104),-0.5,0),IF(AND(AY29=AX$5,AY$6&lt;=$D$104),-0.5,0),IF(AND(AZ29=AX$5,AY$6&lt;=$D$104),-0.5,0))</f>
        <v/>
      </c>
      <c r="BC29" s="145" t="n">
        <v>2</v>
      </c>
      <c r="BD29" s="146" t="n">
        <v>3</v>
      </c>
      <c r="BE29" s="146" t="n">
        <v>4</v>
      </c>
      <c r="BF29" s="146" t="n"/>
      <c r="BG29" s="602">
        <f>SUM(IF(BC29=BC$5,4,0),IF(BC29&amp;BD29=BC$5&amp;BD$5,1,0),
IF(AND(BC29=BC$5,BD$6&gt;=$D$115),1,0),
IF(AND(BD29=BC$5,BD$6&gt;=$D$115),1,0),
IF(AND(BE29=BC$5,BD$6&gt;=$D$115),1,0),
IF(BC29&amp;BF29=BG$5,1,0),
IF(BD29=BC$5,2,0),
IF(BE29=BC$5,1,0),
IF(OR(BC29&amp;BD29&amp;BE29=BC$5&amp;BD$5&amp;BE$5,BC29&amp;BD29&amp;BE29=BC$5&amp;BE$5&amp;BD$5,BC29&amp;BD29&amp;BE29=BD$5&amp;BC$5&amp;BE$5,BC29&amp;BD29&amp;BE29=BD$5&amp;BE$5&amp;BC$5,BC29&amp;BD29&amp;BE29=BE$5&amp;BC$5&amp;BD$5,BC29&amp;BD29&amp;BE29=BE$5&amp;BD$5&amp;BC$5),2,0),IF(AND(BC29=BC$5,BD$6&gt;=$D$129),1,0),IF(AND(BD29=BC$5,BD$6&gt;=$D$129),1,0),IF(AND(BE29=BC$5,BD$6&gt;=$D$129),1,0),IF(BC29&amp;BF29=BF$5,4,0),IF(AND(BC29=BC$5,BD$6&lt;=$D$104),-0.5,0),IF(AND(BD29=BC$5,BD$6&lt;=$D$104),-0.5,0),IF(AND(BE29=BC$5,BD$6&lt;=$D$104),-0.5,0))</f>
        <v/>
      </c>
      <c r="BH29" s="145" t="n">
        <v>5</v>
      </c>
      <c r="BI29" s="146" t="n">
        <v>1</v>
      </c>
      <c r="BJ29" s="146" t="n">
        <v>2</v>
      </c>
      <c r="BK29" s="146" t="n"/>
      <c r="BL29" s="602">
        <f>SUM(IF(BH29=BH$5,4,0),IF(BH29&amp;BI29=BH$5&amp;BI$5,1,0),
IF(AND(BH29=BH$5,BI$6&gt;=$D$115),1,0),
IF(AND(BI29=BH$5,BI$6&gt;=$D$115),1,0),
IF(AND(BJ29=BH$5,BI$6&gt;=$D$115),1,0),
IF(BH29&amp;BK29=BL$5,1,0),
IF(BI29=BH$5,2,0),
IF(BJ29=BH$5,1,0),
IF(OR(BH29&amp;BI29&amp;BJ29=BH$5&amp;BI$5&amp;BJ$5,BH29&amp;BI29&amp;BJ29=BH$5&amp;BJ$5&amp;BI$5,BH29&amp;BI29&amp;BJ29=BI$5&amp;BH$5&amp;BJ$5,BH29&amp;BI29&amp;BJ29=BI$5&amp;BJ$5&amp;BH$5,BH29&amp;BI29&amp;BJ29=BJ$5&amp;BH$5&amp;BI$5,BH29&amp;BI29&amp;BJ29=BJ$5&amp;BI$5&amp;BH$5),2,0),IF(AND(BH29=BH$5,BI$6&gt;=$D$129),1,0),IF(AND(BI29=BH$5,BI$6&gt;=$D$129),1,0),IF(AND(BJ29=BH$5,BI$6&gt;=$D$129),1,0),IF(BH29&amp;BK29=BK$5,4,0),IF(AND(BH29=BH$5,BI$6&lt;=$D$104),-0.5,0),IF(AND(BI29=BH$5,BI$6&lt;=$D$104),-0.5,0),IF(AND(BJ29=BH$5,BI$6&lt;=$D$104),-0.5,0))</f>
        <v/>
      </c>
      <c r="BM29" s="145" t="n">
        <v>3</v>
      </c>
      <c r="BN29" s="146" t="n">
        <v>1</v>
      </c>
      <c r="BO29" s="146" t="n">
        <v>12</v>
      </c>
      <c r="BP29" s="146" t="n"/>
      <c r="BQ29" s="602">
        <f>SUM(IF(BM29=BM$5,4,0),IF(BM29&amp;BN29=BM$5&amp;BN$5,1,0),
IF(AND(BM29=BM$5,BN$6&gt;=$D$115),1,0),
IF(AND(BN29=BM$5,BN$6&gt;=$D$115),1,0),
IF(AND(BO29=BM$5,BN$6&gt;=$D$115),1,0),
IF(BM29&amp;BP29=BQ$5,1,0),
IF(BN29=BM$5,2,0),
IF(BO29=BM$5,1,0),
IF(OR(BM29&amp;BN29&amp;BO29=BM$5&amp;BN$5&amp;BO$5,BM29&amp;BN29&amp;BO29=BM$5&amp;BO$5&amp;BN$5,BM29&amp;BN29&amp;BO29=BN$5&amp;BM$5&amp;BO$5,BM29&amp;BN29&amp;BO29=BN$5&amp;BO$5&amp;BM$5,BM29&amp;BN29&amp;BO29=BO$5&amp;BM$5&amp;BN$5,BM29&amp;BN29&amp;BO29=BO$5&amp;BN$5&amp;BM$5),2,0),IF(AND(BM29=BM$5,BN$6&gt;=$D$129),1,0),IF(AND(BN29=BM$5,BN$6&gt;=$D$129),1,0),IF(AND(BO29=BM$5,BN$6&gt;=$D$129),1,0),IF(BM29&amp;BP29=BP$5,4,0),IF(AND(BM29=BM$5,BN$6&lt;=$D$104),-0.5,0),IF(AND(BN29=BM$5,BN$6&lt;=$D$104),-0.5,0),IF(AND(BO29=BM$5,BN$6&lt;=$D$104),-0.5,0))</f>
        <v/>
      </c>
      <c r="BR29" s="145" t="n"/>
      <c r="BS29" s="146" t="n"/>
      <c r="BT29" s="146" t="n"/>
      <c r="BU29" s="146" t="n"/>
      <c r="BV29" s="602">
        <f>SUM(IF(BR29=BR$5,4,0),IF(BR29&amp;BS29=BR$5&amp;BS$5,1,0),
IF(AND(BR29=BR$5,BS$6&gt;=$D$115),1,0),
IF(AND(BS29=BR$5,BS$6&gt;=$D$115),1,0),
IF(AND(BT29=BR$5,BS$6&gt;=$D$115),1,0),
IF(BR29&amp;BU29=BV$5,1,0),
IF(BS29=BR$5,2,0),
IF(BT29=BR$5,1,0),
IF(OR(BR29&amp;BS29&amp;BT29=BR$5&amp;BS$5&amp;BT$5,BR29&amp;BS29&amp;BT29=BR$5&amp;BT$5&amp;BS$5,BR29&amp;BS29&amp;BT29=BS$5&amp;BR$5&amp;BT$5,BR29&amp;BS29&amp;BT29=BS$5&amp;BT$5&amp;BR$5,BR29&amp;BS29&amp;BT29=BT$5&amp;BR$5&amp;BS$5,BR29&amp;BS29&amp;BT29=BT$5&amp;BS$5&amp;BR$5),2,0),IF(AND(BR29=BR$5,BS$6&gt;=$D$129),1,0),IF(AND(BS29=BR$5,BS$6&gt;=$D$129),1,0),IF(AND(BT29=BR$5,BS$6&gt;=$D$129),1,0),IF(BR29&amp;BU29=BU$5,4,0),IF(AND(BR29=BR$5,BS$6&lt;=$D$104),-0.5,0),IF(AND(BS29=BR$5,BS$6&lt;=$D$104),-0.5,0),IF(AND(BT29=BR$5,BS$6&lt;=$D$104),-0.5,0))</f>
        <v/>
      </c>
      <c r="BW29" s="145" t="n"/>
      <c r="BX29" s="146" t="n"/>
      <c r="BY29" s="146" t="n"/>
      <c r="BZ29" s="146" t="n"/>
      <c r="CA29" s="602">
        <f>SUM(IF(BW29=BW$5,4,0),IF(BW29&amp;BX29=BW$5&amp;BX$5,1,0),
IF(AND(BW29=BW$5,BX$6&gt;=$D$115),1,0),
IF(AND(BX29=BW$5,BX$6&gt;=$D$115),1,0),
IF(AND(BY29=BW$5,BX$6&gt;=$D$115),1,0),
IF(BW29&amp;BZ29=CA$5,1,0),
IF(BX29=BW$5,2,0),
IF(BY29=BW$5,1,0),
IF(OR(BW29&amp;BX29&amp;BY29=BW$5&amp;BX$5&amp;BY$5,BW29&amp;BX29&amp;BY29=BW$5&amp;BY$5&amp;BX$5,BW29&amp;BX29&amp;BY29=BX$5&amp;BW$5&amp;BY$5,BW29&amp;BX29&amp;BY29=BX$5&amp;BY$5&amp;BW$5,BW29&amp;BX29&amp;BY29=BY$5&amp;BW$5&amp;BX$5,BW29&amp;BX29&amp;BY29=BY$5&amp;BX$5&amp;BW$5),2,0),IF(AND(BW29=BW$5,BX$6&gt;=$D$129),1,0),IF(AND(BX29=BW$5,BX$6&gt;=$D$129),1,0),IF(AND(BY29=BW$5,BX$6&gt;=$D$129),1,0),IF(BW29&amp;BZ29=BZ$5,4,0),IF(AND(BW29=BW$5,BX$6&lt;=$D$104),-0.5,0),IF(AND(BX29=BW$5,BX$6&lt;=$D$104),-0.5,0),IF(AND(BY29=BW$5,BX$6&lt;=$D$104),-0.5,0))</f>
        <v/>
      </c>
      <c r="CB29" s="145" t="n"/>
      <c r="CC29" s="146" t="n"/>
      <c r="CD29" s="146" t="n"/>
      <c r="CE29" s="146" t="n"/>
      <c r="CF29" s="602">
        <f>SUM(IF(CB29=CB$5,4,0),IF(CB29&amp;CC29=CB$5&amp;CC$5,1,0),
IF(AND(CB29=CB$5,CC$6&gt;=$D$115),1,0),
IF(AND(CC29=CB$5,CC$6&gt;=$D$115),1,0),
IF(AND(CD29=CB$5,CC$6&gt;=$D$115),1,0),
IF(CB29&amp;CE29=CF$5,1,0),
IF(CC29=CB$5,2,0),
IF(CD29=CB$5,1,0),
IF(OR(CB29&amp;CC29&amp;CD29=CB$5&amp;CC$5&amp;CD$5,CB29&amp;CC29&amp;CD29=CB$5&amp;CD$5&amp;CC$5,CB29&amp;CC29&amp;CD29=CC$5&amp;CB$5&amp;CD$5,CB29&amp;CC29&amp;CD29=CC$5&amp;CD$5&amp;CB$5,CB29&amp;CC29&amp;CD29=CD$5&amp;CB$5&amp;CC$5,CB29&amp;CC29&amp;CD29=CD$5&amp;CC$5&amp;CB$5),2,0),IF(AND(CB29=CB$5,CC$6&gt;=$D$129),1,0),IF(AND(CC29=CB$5,CC$6&gt;=$D$129),1,0),IF(AND(CD29=CB$5,CC$6&gt;=$D$129),1,0),IF(CB29&amp;CE29=CE$5,4,0),IF(AND(CB29=CB$5,CC$6&lt;=$D$104),-0.5,0),IF(AND(CC29=CB$5,CC$6&lt;=$D$104),-0.5,0),IF(AND(CD29=CB$5,CC$6&lt;=$D$104),-0.5,0))</f>
        <v/>
      </c>
      <c r="CG29" s="164">
        <f>IF(BASE01[[#This Row],[1]]="",0,$B$4)</f>
        <v/>
      </c>
      <c r="CH29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29" s="166">
        <f>IF(BASE01[[#This Row],[Columna14]]=0,0,(CH29/CG29))</f>
        <v/>
      </c>
      <c r="CJ29" s="165">
        <f>IF(BASE01[[#This Row],[1]]="",0,$B$4)</f>
        <v/>
      </c>
      <c r="CK29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29" s="166">
        <f>IF(BASE01[[#This Row],[Columna14]]=0,0,(CK29/CJ29))</f>
        <v/>
      </c>
      <c r="CM29" s="164">
        <f>IF(BASE01[[#This Row],[1]]="",0,$B$4)</f>
        <v/>
      </c>
      <c r="CN29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29" s="166">
        <f>IF(BASE01[[#This Row],[Columna14]]=0,0,(CN29/CM29))</f>
        <v/>
      </c>
      <c r="CP29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29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Row],[Columna25]],$AX$5,BA29,"SF")+COUNTIFS(BASE01[[#This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29" s="166">
        <f>IF(BASE01[[#This Row],[Columna14]]=0,0,(CQ29/CP29))</f>
        <v/>
      </c>
      <c r="CS29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29" s="95" t="n"/>
      <c r="CU29" s="604">
        <f>SUM(CS29,CT29)</f>
        <v/>
      </c>
      <c r="CV29" s="96">
        <f>IF(BASE01[[#This Row],[TIPO]]="PREMIO",$O$3,"0,00")</f>
        <v/>
      </c>
      <c r="CW29" s="576" t="n"/>
      <c r="CY29" s="606">
        <f>IF(CZ29="","",$CZ$25)</f>
        <v/>
      </c>
      <c r="CZ29" s="392" t="inlineStr">
        <is>
          <t>COD 14</t>
        </is>
      </c>
      <c r="DA29" s="392">
        <f t="array" ref="DA29">IF(CZ29="", "", IF((INDEX(E$8:CE$57, MATCH(CZ29, C$8:C$57, 0), ($CZ$25-1)*5 + 1) &amp; "") = (INDEX(E$5:CE$5, 1, ($CZ$25-1)*5 + 1) &amp; ""), 1, IF((INDEX(E$8:CE$57, MATCH(CZ29, C$8:C$57, 0), ($CZ$25-1)*5 + 2) &amp; "") = (INDEX(E$5:CE$5, 1, ($CZ$25-1)*5 + 1) &amp; ""), 2, IF((INDEX(E$8:CE$57, MATCH(CZ29, C$8:C$57, 0), ($CZ$25-1)*5 + 3) &amp; "") = (INDEX(E$5:CE$5, 1, ($CZ$25-1)*5 + 1) &amp; ""), 3, ""))))</f>
        <v/>
      </c>
      <c r="DB29" s="605">
        <f>BASE01[[#This Row],[COD]]</f>
        <v/>
      </c>
      <c r="DC29" s="395">
        <f t="array" ref="DC29">IFERROR(IF(AND(INDEX($E$8:$CE$57, MATCH($C29, $C$8:$C$57, 0), (COLUMNS($DC29:DC29)-1)*5 + 1) = INDEX($E$5:$CE$5, 1, (COLUMNS($DC29:DC29)-1)*5 + 1), INDEX($E$8:$CE$57, MATCH($C29, $C$8:$C$57, 0), (COLUMNS($DC29:DC29)-1)*5 + 4) = "F"), INDEX($CZ$8:$CZ$23, COLUMNS($DC29:DC29)), "0"), "")</f>
        <v/>
      </c>
      <c r="DD29" s="395">
        <f t="array" ref="DD29">IFERROR(IF(AND(INDEX($E$8:$CE$57, MATCH($C29, $C$8:$C$57, 0), (COLUMNS($DC29:DD29)-1)*5 + 1) = INDEX($E$5:$CE$5, 1, (COLUMNS($DC29:DD29)-1)*5 + 1), INDEX($E$8:$CE$57, MATCH($C29, $C$8:$C$57, 0), (COLUMNS($DC29:DD29)-1)*5 + 4) = "F"), INDEX($CZ$8:$CZ$23, COLUMNS($DC29:DD29)), "0"), "")</f>
        <v/>
      </c>
      <c r="DE29" s="395">
        <f t="array" ref="DE29">IFERROR(IF(AND(INDEX($E$8:$CE$57, MATCH($C29, $C$8:$C$57, 0), (COLUMNS($DC29:DE29)-1)*5 + 1) = INDEX($E$5:$CE$5, 1, (COLUMNS($DC29:DE29)-1)*5 + 1), INDEX($E$8:$CE$57, MATCH($C29, $C$8:$C$57, 0), (COLUMNS($DC29:DE29)-1)*5 + 4) = "F"), INDEX($CZ$8:$CZ$23, COLUMNS($DC29:DE29)), "0"), "")</f>
        <v/>
      </c>
      <c r="DF29" s="395">
        <f t="array" ref="DF29">IFERROR(IF(AND(INDEX($E$8:$CE$57, MATCH($C29, $C$8:$C$57, 0), (COLUMNS($DC29:DF29)-1)*5 + 1) = INDEX($E$5:$CE$5, 1, (COLUMNS($DC29:DF29)-1)*5 + 1), INDEX($E$8:$CE$57, MATCH($C29, $C$8:$C$57, 0), (COLUMNS($DC29:DF29)-1)*5 + 4) = "F"), INDEX($CZ$8:$CZ$23, COLUMNS($DC29:DF29)), "0"), "")</f>
        <v/>
      </c>
      <c r="DG29" s="395">
        <f t="array" ref="DG29">IFERROR(IF(AND(INDEX($E$8:$CE$57, MATCH($C29, $C$8:$C$57, 0), (COLUMNS($DC29:DG29)-1)*5 + 1) = INDEX($E$5:$CE$5, 1, (COLUMNS($DC29:DG29)-1)*5 + 1), INDEX($E$8:$CE$57, MATCH($C29, $C$8:$C$57, 0), (COLUMNS($DC29:DG29)-1)*5 + 4) = "F"), INDEX($CZ$8:$CZ$23, COLUMNS($DC29:DG29)), "0"), "")</f>
        <v/>
      </c>
      <c r="DH29" s="395">
        <f t="array" ref="DH29">IFERROR(IF(AND(INDEX($E$8:$CE$57, MATCH($C29, $C$8:$C$57, 0), (COLUMNS($DC29:DH29)-1)*5 + 1) = INDEX($E$5:$CE$5, 1, (COLUMNS($DC29:DH29)-1)*5 + 1), INDEX($E$8:$CE$57, MATCH($C29, $C$8:$C$57, 0), (COLUMNS($DC29:DH29)-1)*5 + 4) = "F"), INDEX($CZ$8:$CZ$23, COLUMNS($DC29:DH29)), "0"), "")</f>
        <v/>
      </c>
      <c r="DI29" s="395">
        <f t="array" ref="DI29">IFERROR(IF(AND(INDEX($E$8:$CE$57, MATCH($C29, $C$8:$C$57, 0), (COLUMNS($DC29:DI29)-1)*5 + 1) = INDEX($E$5:$CE$5, 1, (COLUMNS($DC29:DI29)-1)*5 + 1), INDEX($E$8:$CE$57, MATCH($C29, $C$8:$C$57, 0), (COLUMNS($DC29:DI29)-1)*5 + 4) = "F"), INDEX($CZ$8:$CZ$23, COLUMNS($DC29:DI29)), "0"), "")</f>
        <v/>
      </c>
      <c r="DJ29" s="395">
        <f t="array" ref="DJ29">IFERROR(IF(AND(INDEX($E$8:$CE$57, MATCH($C29, $C$8:$C$57, 0), (COLUMNS($DC29:DJ29)-1)*5 + 1) = INDEX($E$5:$CE$5, 1, (COLUMNS($DC29:DJ29)-1)*5 + 1), INDEX($E$8:$CE$57, MATCH($C29, $C$8:$C$57, 0), (COLUMNS($DC29:DJ29)-1)*5 + 4) = "F"), INDEX($CZ$8:$CZ$23, COLUMNS($DC29:DJ29)), "0"), "")</f>
        <v/>
      </c>
      <c r="DK29" s="395">
        <f t="array" ref="DK29">IFERROR(IF(AND(INDEX($E$8:$CE$57, MATCH($C29, $C$8:$C$57, 0), (COLUMNS($DC29:DK29)-1)*5 + 1) = INDEX($E$5:$CE$5, 1, (COLUMNS($DC29:DK29)-1)*5 + 1), INDEX($E$8:$CE$57, MATCH($C29, $C$8:$C$57, 0), (COLUMNS($DC29:DK29)-1)*5 + 4) = "F"), INDEX($CZ$8:$CZ$23, COLUMNS($DC29:DK29)), "0"), "")</f>
        <v/>
      </c>
      <c r="DL29" s="395">
        <f t="array" ref="DL29">IFERROR(IF(AND(INDEX($E$8:$CE$57, MATCH($C29, $C$8:$C$57, 0), (COLUMNS($DC29:DL29)-1)*5 + 1) = INDEX($E$5:$CE$5, 1, (COLUMNS($DC29:DL29)-1)*5 + 1), INDEX($E$8:$CE$57, MATCH($C29, $C$8:$C$57, 0), (COLUMNS($DC29:DL29)-1)*5 + 4) = "F"), INDEX($CZ$8:$CZ$23, COLUMNS($DC29:DL29)), "0"), "")</f>
        <v/>
      </c>
      <c r="DM29" s="395">
        <f t="array" ref="DM29">IFERROR(IF(AND(INDEX($E$8:$CE$57, MATCH($C29, $C$8:$C$57, 0), (COLUMNS($DC29:DM29)-1)*5 + 1) = INDEX($E$5:$CE$5, 1, (COLUMNS($DC29:DM29)-1)*5 + 1), INDEX($E$8:$CE$57, MATCH($C29, $C$8:$C$57, 0), (COLUMNS($DC29:DM29)-1)*5 + 4) = "F"), INDEX($CZ$8:$CZ$23, COLUMNS($DC29:DM29)), "0"), "")</f>
        <v/>
      </c>
      <c r="DN29" s="395">
        <f t="array" ref="DN29">IFERROR(IF(AND(INDEX($E$8:$CE$57, MATCH($C29, $C$8:$C$57, 0), (COLUMNS($DC29:DN29)-1)*5 + 1) = INDEX($E$5:$CE$5, 1, (COLUMNS($DC29:DN29)-1)*5 + 1), INDEX($E$8:$CE$57, MATCH($C29, $C$8:$C$57, 0), (COLUMNS($DC29:DN29)-1)*5 + 4) = "F"), INDEX($CZ$8:$CZ$23, COLUMNS($DC29:DN29)), "0"), "")</f>
        <v/>
      </c>
      <c r="DO29" s="395">
        <f t="array" ref="DO29">IFERROR(IF(AND(INDEX($E$8:$CE$57, MATCH($C29, $C$8:$C$57, 0), (COLUMNS($DC29:DO29)-1)*5 + 1) = INDEX($E$5:$CE$5, 1, (COLUMNS($DC29:DO29)-1)*5 + 1), INDEX($E$8:$CE$57, MATCH($C29, $C$8:$C$57, 0), (COLUMNS($DC29:DO29)-1)*5 + 4) = "F"), INDEX($CZ$8:$CZ$23, COLUMNS($DC29:DO29)), "0"), "")</f>
        <v/>
      </c>
      <c r="DP29" s="395">
        <f t="array" ref="DP29">IFERROR(IF(AND(INDEX($E$8:$CE$57, MATCH($C29, $C$8:$C$57, 0), (COLUMNS($DC29:DP29)-1)*5 + 1) = INDEX($E$5:$CE$5, 1, (COLUMNS($DC29:DP29)-1)*5 + 1), INDEX($E$8:$CE$57, MATCH($C29, $C$8:$C$57, 0), (COLUMNS($DC29:DP29)-1)*5 + 4) = "F"), INDEX($CZ$8:$CZ$23, COLUMNS($DC29:DP29)), "0"), "")</f>
        <v/>
      </c>
      <c r="DQ29" s="395">
        <f t="array" ref="DQ29">IFERROR(IF(AND(INDEX($E$8:$CE$57, MATCH($C29, $C$8:$C$57, 0), (COLUMNS($DC29:DQ29)-1)*5 + 1) = INDEX($E$5:$CE$5, 1, (COLUMNS($DC29:DQ29)-1)*5 + 1), INDEX($E$8:$CE$57, MATCH($C29, $C$8:$C$57, 0), (COLUMNS($DC29:DQ29)-1)*5 + 4) = "F"), INDEX($CZ$8:$CZ$23, COLUMNS($DC29:DQ29)), "0"), "")</f>
        <v/>
      </c>
      <c r="DR29" s="395">
        <f t="array" ref="DR29">IFERROR(IF(AND(INDEX($E$8:$CE$57, MATCH($C29, $C$8:$C$57, 0), (COLUMNS($DC29:DR29)-1)*5 + 1) = INDEX($E$5:$CE$5, 1, (COLUMNS($DC29:DR29)-1)*5 + 1), INDEX($E$8:$CE$57, MATCH($C29, $C$8:$C$57, 0), (COLUMNS($DC29:DR29)-1)*5 + 4) = "F"), INDEX($CZ$8:$CZ$23, COLUMNS($DC29:DR29)), "0"), "")</f>
        <v/>
      </c>
      <c r="DT29" s="605">
        <f>BASE01[[#This Row],[COD]]</f>
        <v/>
      </c>
      <c r="DU29" s="395">
        <f t="array" ref="DU29">IFERROR(IF(AND(INDEX($E$8:$CE$57, MATCH($C29, $C$8:$C$57, 0), (COLUMNS($DU29:DU29)-1)*5 + 1) = INDEX($E$5:$CE$5, 1, (COLUMNS($DU29:DU29)-1)*5 + 1), INDEX($E$8:$CE$57, MATCH($C29, $C$8:$C$57, 0), (COLUMNS($DU29:DU29)-1)*5 + 4) = "SF"), INDEX($CZ$8:$CZ$23, COLUMNS($DU29:DU29)), "0"), "")</f>
        <v/>
      </c>
      <c r="DV29" s="395">
        <f t="array" ref="DV29">IFERROR(IF(AND(INDEX($E$8:$CE$57, MATCH($C29, $C$8:$C$57, 0), (COLUMNS($DU29:DV29)-1)*5 + 1) = INDEX($E$5:$CE$5, 1, (COLUMNS($DU29:DV29)-1)*5 + 1), INDEX($E$8:$CE$57, MATCH($C29, $C$8:$C$57, 0), (COLUMNS($DU29:DV29)-1)*5 + 4) = "SF"), INDEX($CZ$8:$CZ$23, COLUMNS($DU29:DV29)), "0"), "")</f>
        <v/>
      </c>
      <c r="DW29" s="395">
        <f t="array" ref="DW29">IFERROR(IF(AND(INDEX($E$8:$CE$57, MATCH($C29, $C$8:$C$57, 0), (COLUMNS($DU29:DW29)-1)*5 + 1) = INDEX($E$5:$CE$5, 1, (COLUMNS($DU29:DW29)-1)*5 + 1), INDEX($E$8:$CE$57, MATCH($C29, $C$8:$C$57, 0), (COLUMNS($DU29:DW29)-1)*5 + 4) = "SF"), INDEX($CZ$8:$CZ$23, COLUMNS($DU29:DW29)), "0"), "")</f>
        <v/>
      </c>
      <c r="DX29" s="395">
        <f t="array" ref="DX29">IFERROR(IF(AND(INDEX($E$8:$CE$57, MATCH($C29, $C$8:$C$57, 0), (COLUMNS($DU29:DX29)-1)*5 + 1) = INDEX($E$5:$CE$5, 1, (COLUMNS($DU29:DX29)-1)*5 + 1), INDEX($E$8:$CE$57, MATCH($C29, $C$8:$C$57, 0), (COLUMNS($DU29:DX29)-1)*5 + 4) = "SF"), INDEX($CZ$8:$CZ$23, COLUMNS($DU29:DX29)), "0"), "")</f>
        <v/>
      </c>
      <c r="DY29" s="395">
        <f t="array" ref="DY29">IFERROR(IF(AND(INDEX($E$8:$CE$57, MATCH($C29, $C$8:$C$57, 0), (COLUMNS($DU29:DY29)-1)*5 + 1) = INDEX($E$5:$CE$5, 1, (COLUMNS($DU29:DY29)-1)*5 + 1), INDEX($E$8:$CE$57, MATCH($C29, $C$8:$C$57, 0), (COLUMNS($DU29:DY29)-1)*5 + 4) = "SF"), INDEX($CZ$8:$CZ$23, COLUMNS($DU29:DY29)), "0"), "")</f>
        <v/>
      </c>
      <c r="DZ29" s="395">
        <f t="array" ref="DZ29">IFERROR(IF(AND(INDEX($E$8:$CE$57, MATCH($C29, $C$8:$C$57, 0), (COLUMNS($DU29:DZ29)-1)*5 + 1) = INDEX($E$5:$CE$5, 1, (COLUMNS($DU29:DZ29)-1)*5 + 1), INDEX($E$8:$CE$57, MATCH($C29, $C$8:$C$57, 0), (COLUMNS($DU29:DZ29)-1)*5 + 4) = "SF"), INDEX($CZ$8:$CZ$23, COLUMNS($DU29:DZ29)), "0"), "")</f>
        <v/>
      </c>
      <c r="EA29" s="395">
        <f t="array" ref="EA29">IFERROR(IF(AND(INDEX($E$8:$CE$57, MATCH($C29, $C$8:$C$57, 0), (COLUMNS($DU29:EA29)-1)*5 + 1) = INDEX($E$5:$CE$5, 1, (COLUMNS($DU29:EA29)-1)*5 + 1), INDEX($E$8:$CE$57, MATCH($C29, $C$8:$C$57, 0), (COLUMNS($DU29:EA29)-1)*5 + 4) = "SF"), INDEX($CZ$8:$CZ$23, COLUMNS($DU29:EA29)), "0"), "")</f>
        <v/>
      </c>
      <c r="EB29" s="395">
        <f t="array" ref="EB29">IFERROR(IF(AND(INDEX($E$8:$CE$57, MATCH($C29, $C$8:$C$57, 0), (COLUMNS($DU29:EB29)-1)*5 + 1) = INDEX($E$5:$CE$5, 1, (COLUMNS($DU29:EB29)-1)*5 + 1), INDEX($E$8:$CE$57, MATCH($C29, $C$8:$C$57, 0), (COLUMNS($DU29:EB29)-1)*5 + 4) = "SF"), INDEX($CZ$8:$CZ$23, COLUMNS($DU29:EB29)), "0"), "")</f>
        <v/>
      </c>
      <c r="EC29" s="395">
        <f t="array" ref="EC29">IFERROR(IF(AND(INDEX($E$8:$CE$57, MATCH($C29, $C$8:$C$57, 0), (COLUMNS($DU29:EC29)-1)*5 + 1) = INDEX($E$5:$CE$5, 1, (COLUMNS($DU29:EC29)-1)*5 + 1), INDEX($E$8:$CE$57, MATCH($C29, $C$8:$C$57, 0), (COLUMNS($DU29:EC29)-1)*5 + 4) = "SF"), INDEX($CZ$8:$CZ$23, COLUMNS($DU29:EC29)), "0"), "")</f>
        <v/>
      </c>
      <c r="ED29" s="395">
        <f t="array" ref="ED29">IFERROR(IF(AND(INDEX($E$8:$CE$57, MATCH($C29, $C$8:$C$57, 0), (COLUMNS($DU29:ED29)-1)*5 + 1) = INDEX($E$5:$CE$5, 1, (COLUMNS($DU29:ED29)-1)*5 + 1), INDEX($E$8:$CE$57, MATCH($C29, $C$8:$C$57, 0), (COLUMNS($DU29:ED29)-1)*5 + 4) = "SF"), INDEX($CZ$8:$CZ$23, COLUMNS($DU29:ED29)), "0"), "")</f>
        <v/>
      </c>
      <c r="EE29" s="395">
        <f t="array" ref="EE29">IFERROR(IF(AND(INDEX($E$8:$CE$57, MATCH($C29, $C$8:$C$57, 0), (COLUMNS($DU29:EE29)-1)*5 + 1) = INDEX($E$5:$CE$5, 1, (COLUMNS($DU29:EE29)-1)*5 + 1), INDEX($E$8:$CE$57, MATCH($C29, $C$8:$C$57, 0), (COLUMNS($DU29:EE29)-1)*5 + 4) = "SF"), INDEX($CZ$8:$CZ$23, COLUMNS($DU29:EE29)), "0"), "")</f>
        <v/>
      </c>
      <c r="EF29" s="395">
        <f t="array" ref="EF29">IFERROR(IF(AND(INDEX($E$8:$CE$57, MATCH($C29, $C$8:$C$57, 0), (COLUMNS($DU29:EF29)-1)*5 + 1) = INDEX($E$5:$CE$5, 1, (COLUMNS($DU29:EF29)-1)*5 + 1), INDEX($E$8:$CE$57, MATCH($C29, $C$8:$C$57, 0), (COLUMNS($DU29:EF29)-1)*5 + 4) = "SF"), INDEX($CZ$8:$CZ$23, COLUMNS($DU29:EF29)), "0"), "")</f>
        <v/>
      </c>
      <c r="EG29" s="395">
        <f t="array" ref="EG29">IFERROR(IF(AND(INDEX($E$8:$CE$57, MATCH($C29, $C$8:$C$57, 0), (COLUMNS($DU29:EG29)-1)*5 + 1) = INDEX($E$5:$CE$5, 1, (COLUMNS($DU29:EG29)-1)*5 + 1), INDEX($E$8:$CE$57, MATCH($C29, $C$8:$C$57, 0), (COLUMNS($DU29:EG29)-1)*5 + 4) = "SF"), INDEX($CZ$8:$CZ$23, COLUMNS($DU29:EG29)), "0"), "")</f>
        <v/>
      </c>
      <c r="EH29" s="395">
        <f t="array" ref="EH29">IFERROR(IF(AND(INDEX($E$8:$CE$57, MATCH($C29, $C$8:$C$57, 0), (COLUMNS($DU29:EH29)-1)*5 + 1) = INDEX($E$5:$CE$5, 1, (COLUMNS($DU29:EH29)-1)*5 + 1), INDEX($E$8:$CE$57, MATCH($C29, $C$8:$C$57, 0), (COLUMNS($DU29:EH29)-1)*5 + 4) = "SF"), INDEX($CZ$8:$CZ$23, COLUMNS($DU29:EH29)), "0"), "")</f>
        <v/>
      </c>
      <c r="EI29" s="395">
        <f t="array" ref="EI29">IFERROR(IF(AND(INDEX($E$8:$CE$57, MATCH($C29, $C$8:$C$57, 0), (COLUMNS($DU29:EI29)-1)*5 + 1) = INDEX($E$5:$CE$5, 1, (COLUMNS($DU29:EI29)-1)*5 + 1), INDEX($E$8:$CE$57, MATCH($C29, $C$8:$C$57, 0), (COLUMNS($DU29:EI29)-1)*5 + 4) = "SF"), INDEX($CZ$8:$CZ$23, COLUMNS($DU29:EI29)), "0"), "")</f>
        <v/>
      </c>
      <c r="EJ29" s="395">
        <f t="array" ref="EJ29">IFERROR(IF(AND(INDEX($E$8:$CE$57, MATCH($C29, $C$8:$C$57, 0), (COLUMNS($DU29:EJ29)-1)*5 + 1) = INDEX($E$5:$CE$5, 1, (COLUMNS($DU29:EJ29)-1)*5 + 1), INDEX($E$8:$CE$57, MATCH($C29, $C$8:$C$57, 0), (COLUMNS($DU29:EJ29)-1)*5 + 4) = "SF"), INDEX($CZ$8:$CZ$23, COLUMNS($DU29:EJ29)), "0"), "")</f>
        <v/>
      </c>
    </row>
    <row r="30" ht="19.5" customHeight="1" s="568">
      <c r="A30" s="576" t="n"/>
      <c r="B30" s="92">
        <f>IF(BASE01[[#This Row],[COD]]&lt;&gt;"",B29+1,"")</f>
        <v/>
      </c>
      <c r="C30" s="601" t="inlineStr">
        <is>
          <t>COD 23</t>
        </is>
      </c>
      <c r="D30" s="93">
        <f t="array" ref="D30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0" s="145" t="n">
        <v>8</v>
      </c>
      <c r="F30" s="146" t="n">
        <v>1</v>
      </c>
      <c r="G30" s="146" t="n">
        <v>6</v>
      </c>
      <c r="H30" s="146" t="n"/>
      <c r="I30" s="602">
        <f>SUM(IF(E30=E$5,4,0),IF(E30&amp;F30=E$5&amp;F$5,1,0),
IF(AND(E30=E$5,F$6&gt;=$D$115),1,0),
IF(AND(F30=E$5,F$6&gt;=$D$115),1,0),
IF(AND(G30=E$5,F$6&gt;=$D$115),1,0),
IF(E30&amp;H30=I$5,1,0),
IF(F30=E$5,2,0),
IF(G30=E$5,1,0),
IF(OR(E30&amp;F30&amp;G30=E$5&amp;F$5&amp;G$5,E30&amp;F30&amp;G30=E$5&amp;G$5&amp;F$5,E30&amp;F30&amp;G30=F$5&amp;E$5&amp;G$5,E30&amp;F30&amp;G30=F$5&amp;G$5&amp;E$5,E30&amp;F30&amp;G30=G$5&amp;E$5&amp;F$5,E30&amp;F30&amp;G30=G$5&amp;F$5&amp;E$5),2,0),IF(AND(E30=E$5,F$6&gt;=$D$129),1,0),IF(AND(F30=E$5,F$6&gt;=$D$129),1,0),IF(AND(G30=E$5,F$6&gt;=$D$129),1,0),IF(E30&amp;H30=H$5,4,0),IF(AND(E30=E$5,F$6&lt;=$D$104),-0.5,0),IF(AND(F30=E$5,F$6&lt;=$D$104),-0.5,0),IF(AND(G30=E$5,F$6&lt;=$D$104),-0.5,0))</f>
        <v/>
      </c>
      <c r="J30" s="145" t="n">
        <v>8</v>
      </c>
      <c r="K30" s="146" t="n">
        <v>3</v>
      </c>
      <c r="L30" s="146" t="n">
        <v>1</v>
      </c>
      <c r="M30" s="146" t="n"/>
      <c r="N30" s="602">
        <f>SUM(IF(J30=J$5,4,0),IF(J30&amp;K30=J$5&amp;K$5,1,0),
IF(AND(J30=J$5,K$6&gt;=$D$115),1,0),
IF(AND(K30=J$5,K$6&gt;=$D$115),1,0),
IF(AND(L30=J$5,K$6&gt;=$D$115),1,0),
IF(J30&amp;M30=N$5,1,0),
IF(K30=J$5,2,0),
IF(L30=J$5,1,0),
IF(OR(J30&amp;K30&amp;L30=J$5&amp;K$5&amp;L$5,J30&amp;K30&amp;L30=J$5&amp;L$5&amp;K$5,J30&amp;K30&amp;L30=K$5&amp;J$5&amp;L$5,J30&amp;K30&amp;L30=K$5&amp;L$5&amp;J$5,J30&amp;K30&amp;L30=L$5&amp;J$5&amp;K$5,J30&amp;K30&amp;L30=L$5&amp;K$5&amp;J$5),2,0),IF(AND(J30=J$5,K$6&gt;=$D$129),1,0),IF(AND(K30=J$5,K$6&gt;=$D$129),1,0),IF(AND(L30=J$5,K$6&gt;=$D$129),1,0),IF(J30&amp;M30=M$5,4,0),IF(AND(J30=J$5,K$6&lt;=$D$104),-0.5,0),IF(AND(K30=J$5,K$6&lt;=$D$104),-0.5,0),IF(AND(L30=J$5,K$6&lt;=$D$104),-0.5,0))</f>
        <v/>
      </c>
      <c r="O30" s="145" t="n">
        <v>6</v>
      </c>
      <c r="P30" s="146" t="n">
        <v>3</v>
      </c>
      <c r="Q30" s="146" t="n">
        <v>8</v>
      </c>
      <c r="R30" s="146" t="n"/>
      <c r="S30" s="602">
        <f>SUM(IF(O30=O$5,4,0),IF(O30&amp;P30=O$5&amp;P$5,1,0),
IF(AND(O30=O$5,P$6&gt;=$D$115),1,0),
IF(AND(P30=O$5,P$6&gt;=$D$115),1,0),
IF(AND(Q30=O$5,P$6&gt;=$D$115),1,0),
IF(O30&amp;R30=S$5,1,0),
IF(P30=O$5,2,0),
IF(Q30=O$5,1,0),
IF(OR(O30&amp;P30&amp;Q30=O$5&amp;P$5&amp;Q$5,O30&amp;P30&amp;Q30=O$5&amp;Q$5&amp;P$5,O30&amp;P30&amp;Q30=P$5&amp;O$5&amp;Q$5,O30&amp;P30&amp;Q30=P$5&amp;Q$5&amp;O$5,O30&amp;P30&amp;Q30=Q$5&amp;O$5&amp;P$5,O30&amp;P30&amp;Q30=Q$5&amp;P$5&amp;O$5),2,0),IF(AND(O30=O$5,P$6&gt;=$D$129),1,0),IF(AND(P30=O$5,P$6&gt;=$D$129),1,0),IF(AND(Q30=O$5,P$6&gt;=$D$129),1,0),IF(O30&amp;R30=R$5,4,0),IF(AND(O30=O$5,P$6&lt;=$D$104),-0.5,0),IF(AND(P30=O$5,P$6&lt;=$D$104),-0.5,0),IF(AND(Q30=O$5,P$6&lt;=$D$104),-0.5,0))</f>
        <v/>
      </c>
      <c r="T30" s="145" t="n">
        <v>6</v>
      </c>
      <c r="U30" s="146" t="n"/>
      <c r="V30" s="146" t="n"/>
      <c r="W30" s="146" t="inlineStr">
        <is>
          <t>SF</t>
        </is>
      </c>
      <c r="X30" s="602">
        <f>SUM(IF(T30=T$5,4,0),IF(T30&amp;U30=T$5&amp;U$5,1,0),
IF(AND(T30=T$5,U$6&gt;=$D$115),1,0),
IF(AND(U30=T$5,U$6&gt;=$D$115),1,0),
IF(AND(V30=T$5,U$6&gt;=$D$115),1,0),
IF(T30&amp;W30=X$5,1,0),
IF(U30=T$5,2,0),
IF(V30=T$5,1,0),
IF(OR(T30&amp;U30&amp;V30=T$5&amp;U$5&amp;V$5,T30&amp;U30&amp;V30=T$5&amp;V$5&amp;U$5,T30&amp;U30&amp;V30=U$5&amp;T$5&amp;V$5,T30&amp;U30&amp;V30=U$5&amp;V$5&amp;T$5,T30&amp;U30&amp;V30=V$5&amp;T$5&amp;U$5,T30&amp;U30&amp;V30=V$5&amp;U$5&amp;T$5),2,0),IF(AND(T30=T$5,U$6&gt;=$D$129),1,0),IF(AND(U30=T$5,U$6&gt;=$D$129),1,0),IF(AND(V30=T$5,U$6&gt;=$D$129),1,0),IF(T30&amp;W30=W$5,4,0),IF(AND(T30=T$5,U$6&lt;=$D$104),-0.5,0),IF(AND(U30=T$5,U$6&lt;=$D$104),-0.5,0),IF(AND(V30=T$5,U$6&lt;=$D$104),-0.5,0))</f>
        <v/>
      </c>
      <c r="Y30" s="145" t="n">
        <v>5</v>
      </c>
      <c r="Z30" s="146" t="n">
        <v>3</v>
      </c>
      <c r="AA30" s="146" t="n">
        <v>10</v>
      </c>
      <c r="AB30" s="146" t="inlineStr">
        <is>
          <t>F</t>
        </is>
      </c>
      <c r="AC30" s="602">
        <f>SUM(IF(Y30=Y$5,4,0),IF(Y30&amp;Z30=Y$5&amp;Z$5,1,0),
IF(AND(Y30=Y$5,Z$6&gt;=$D$115),1,0),
IF(AND(Z30=Y$5,Z$6&gt;=$D$115),1,0),
IF(AND(AA30=Y$5,Z$6&gt;=$D$115),1,0),
IF(Y30&amp;AB30=AC$5,1,0),
IF(Z30=Y$5,2,0),
IF(AA30=Y$5,1,0),
IF(OR(Y30&amp;Z30&amp;AA30=Y$5&amp;Z$5&amp;AA$5,Y30&amp;Z30&amp;AA30=Y$5&amp;AA$5&amp;Z$5,Y30&amp;Z30&amp;AA30=Z$5&amp;Y$5&amp;AA$5,Y30&amp;Z30&amp;AA30=Z$5&amp;AA$5&amp;Y$5,Y30&amp;Z30&amp;AA30=AA$5&amp;Y$5&amp;Z$5,Y30&amp;Z30&amp;AA30=AA$5&amp;Z$5&amp;Y$5),2,0),IF(AND(Y30=Y$5,Z$6&gt;=$D$129),1,0),IF(AND(Z30=Y$5,Z$6&gt;=$D$129),1,0),IF(AND(AA30=Y$5,Z$6&gt;=$D$129),1,0),IF(Y30&amp;AB30=AB$5,4,0),IF(AND(Y30=Y$5,Z$6&lt;=$D$104),-0.5,0),IF(AND(Z30=Y$5,Z$6&lt;=$D$104),-0.5,0),IF(AND(AA30=Y$5,Z$6&lt;=$D$104),-0.5,0))</f>
        <v/>
      </c>
      <c r="AD30" s="145" t="n">
        <v>7</v>
      </c>
      <c r="AE30" s="146" t="n">
        <v>5</v>
      </c>
      <c r="AF30" s="146" t="n">
        <v>2</v>
      </c>
      <c r="AG30" s="146" t="n"/>
      <c r="AH30" s="602">
        <f>SUM(IF(AD30=AD$5,4,0),IF(AD30&amp;AE30=AD$5&amp;AE$5,1,0),
IF(AND(AD30=AD$5,AE$6&gt;=$D$115),1,0),
IF(AND(AE30=AD$5,AE$6&gt;=$D$115),1,0),
IF(AND(AF30=AD$5,AE$6&gt;=$D$115),1,0),
IF(AD30&amp;AG30=AH$5,1,0),
IF(AE30=AD$5,2,0),
IF(AF30=AD$5,1,0),
IF(OR(AD30&amp;AE30&amp;AF30=AD$5&amp;AE$5&amp;AF$5,AD30&amp;AE30&amp;AF30=AD$5&amp;AF$5&amp;AE$5,AD30&amp;AE30&amp;AF30=AE$5&amp;AD$5&amp;AF$5,AD30&amp;AE30&amp;AF30=AE$5&amp;AF$5&amp;AD$5,AD30&amp;AE30&amp;AF30=AF$5&amp;AD$5&amp;AE$5,AD30&amp;AE30&amp;AF30=AF$5&amp;AE$5&amp;AD$5),2,0),IF(AND(AD30=AD$5,AE$6&gt;=$D$129),1,0),IF(AND(AE30=AD$5,AE$6&gt;=$D$129),1,0),IF(AND(AF30=AD$5,AE$6&gt;=$D$129),1,0),IF(AD30&amp;AG30=AG$5,4,0),IF(AND(AD30=AD$5,AE$6&lt;=$D$104),-0.5,0),IF(AND(AE30=AD$5,AE$6&lt;=$D$104),-0.5,0),IF(AND(AF30=AD$5,AE$6&lt;=$D$104),-0.5,0))</f>
        <v/>
      </c>
      <c r="AI30" s="145" t="n">
        <v>4</v>
      </c>
      <c r="AJ30" s="146" t="n">
        <v>7</v>
      </c>
      <c r="AK30" s="146" t="n">
        <v>3</v>
      </c>
      <c r="AL30" s="146" t="n"/>
      <c r="AM30" s="602">
        <f>SUM(IF(AI30=AI$5,4,0),IF(AI30&amp;AJ30=AI$5&amp;AJ$5,1,0),
IF(AND(AI30=AI$5,AJ$6&gt;=$D$115),1,0),
IF(AND(AJ30=AI$5,AJ$6&gt;=$D$115),1,0),
IF(AND(AK30=AI$5,AJ$6&gt;=$D$115),1,0),
IF(AI30&amp;AL30=AM$5,1,0),
IF(AJ30=AI$5,2,0),
IF(AK30=AI$5,1,0),
IF(OR(AI30&amp;AJ30&amp;AK30=AI$5&amp;AJ$5&amp;AK$5,AI30&amp;AJ30&amp;AK30=AI$5&amp;AK$5&amp;AJ$5,AI30&amp;AJ30&amp;AK30=AJ$5&amp;AI$5&amp;AK$5,AI30&amp;AJ30&amp;AK30=AJ$5&amp;AK$5&amp;AI$5,AI30&amp;AJ30&amp;AK30=AK$5&amp;AI$5&amp;AJ$5,AI30&amp;AJ30&amp;AK30=AK$5&amp;AJ$5&amp;AI$5),2,0),IF(AND(AI30=AI$5,AJ$6&gt;=$D$129),1,0),IF(AND(AJ30=AI$5,AJ$6&gt;=$D$129),1,0),IF(AND(AK30=AI$5,AJ$6&gt;=$D$129),1,0),IF(AI30&amp;AL30=AL$5,4,0),IF(AND(AI30=AI$5,AJ$6&lt;=$D$104),-0.5,0),IF(AND(AJ30=AI$5,AJ$6&lt;=$D$104),-0.5,0),IF(AND(AK30=AI$5,AJ$6&lt;=$D$104),-0.5,0))</f>
        <v/>
      </c>
      <c r="AN30" s="145" t="n">
        <v>8</v>
      </c>
      <c r="AO30" s="146" t="n">
        <v>9</v>
      </c>
      <c r="AP30" s="146" t="n">
        <v>11</v>
      </c>
      <c r="AQ30" s="146" t="n"/>
      <c r="AR30" s="602">
        <f>SUM(IF(AN30=AN$5,4,0),IF(AN30&amp;AO30=AN$5&amp;AO$5,1,0),
IF(AND(AN30=AN$5,AO$6&gt;=$D$115),1,0),
IF(AND(AO30=AN$5,AO$6&gt;=$D$115),1,0),
IF(AND(AP30=AN$5,AO$6&gt;=$D$115),1,0),
IF(AN30&amp;AQ30=AR$5,1,0),
IF(AO30=AN$5,2,0),
IF(AP30=AN$5,1,0),
IF(OR(AN30&amp;AO30&amp;AP30=AN$5&amp;AO$5&amp;AP$5,AN30&amp;AO30&amp;AP30=AN$5&amp;AP$5&amp;AO$5,AN30&amp;AO30&amp;AP30=AO$5&amp;AN$5&amp;AP$5,AN30&amp;AO30&amp;AP30=AO$5&amp;AP$5&amp;AN$5,AN30&amp;AO30&amp;AP30=AP$5&amp;AN$5&amp;AO$5,AN30&amp;AO30&amp;AP30=AP$5&amp;AO$5&amp;AN$5),2,0),IF(AND(AN30=AN$5,AO$6&gt;=$D$129),1,0),IF(AND(AO30=AN$5,AO$6&gt;=$D$129),1,0),IF(AND(AP30=AN$5,AO$6&gt;=$D$129),1,0),IF(AN30&amp;AQ30=AQ$5,4,0),IF(AND(AN30=AN$5,AO$6&lt;=$D$104),-0.5,0),IF(AND(AO30=AN$5,AO$6&lt;=$D$104),-0.5,0),IF(AND(AP30=AN$5,AO$6&lt;=$D$104),-0.5,0))</f>
        <v/>
      </c>
      <c r="AS30" s="145" t="n">
        <v>1</v>
      </c>
      <c r="AT30" s="146" t="n">
        <v>7</v>
      </c>
      <c r="AU30" s="146" t="n">
        <v>5</v>
      </c>
      <c r="AV30" s="146" t="n"/>
      <c r="AW30" s="602">
        <f>SUM(IF(AS30=AS$5,4,0),IF(AS30&amp;AT30=AS$5&amp;AT$5,1,0),
IF(AND(AS30=AS$5,AT$6&gt;=$D$115),1,0),
IF(AND(AT30=AS$5,AT$6&gt;=$D$115),1,0),
IF(AND(AU30=AS$5,AT$6&gt;=$D$115),1,0),
IF(AS30&amp;AV30=AW$5,1,0),
IF(AT30=AS$5,2,0),
IF(AU30=AS$5,1,0),
IF(OR(AS30&amp;AT30&amp;AU30=AS$5&amp;AT$5&amp;AU$5,AS30&amp;AT30&amp;AU30=AS$5&amp;AU$5&amp;AT$5,AS30&amp;AT30&amp;AU30=AT$5&amp;AS$5&amp;AU$5,AS30&amp;AT30&amp;AU30=AT$5&amp;AU$5&amp;AS$5,AS30&amp;AT30&amp;AU30=AU$5&amp;AS$5&amp;AT$5,AS30&amp;AT30&amp;AU30=AU$5&amp;AT$5&amp;AS$5),2,0),IF(AND(AS30=AS$5,AT$6&gt;=$D$129),1,0),IF(AND(AT30=AS$5,AT$6&gt;=$D$129),1,0),IF(AND(AU30=AS$5,AT$6&gt;=$D$129),1,0),IF(AS30&amp;AV30=AV$5,4,0),IF(AND(AS30=AS$5,AT$6&lt;=$D$104),-0.5,0),IF(AND(AT30=AS$5,AT$6&lt;=$D$104),-0.5,0),IF(AND(AU30=AS$5,AT$6&lt;=$D$104),-0.5,0))</f>
        <v/>
      </c>
      <c r="AX30" s="145" t="n">
        <v>9</v>
      </c>
      <c r="AY30" s="146" t="n">
        <v>1</v>
      </c>
      <c r="AZ30" s="146" t="n">
        <v>8</v>
      </c>
      <c r="BA30" s="146" t="n"/>
      <c r="BB30" s="602">
        <f>SUM(IF(AX30=AX$5,4,0),IF(AX30&amp;AY30=AX$5&amp;AY$5,1,0),
IF(AND(AX30=AX$5,AY$6&gt;=$D$115),1,0),
IF(AND(AY30=AX$5,AY$6&gt;=$D$115),1,0),
IF(AND(AZ30=AX$5,AY$6&gt;=$D$115),1,0),
IF(AX30&amp;BA30=BB$5,1,0),
IF(AY30=AX$5,2,0),
IF(AZ30=AX$5,1,0),
IF(OR(AX30&amp;AY30&amp;AZ30=AX$5&amp;AY$5&amp;AZ$5,AX30&amp;AY30&amp;AZ30=AX$5&amp;AZ$5&amp;AY$5,AX30&amp;AY30&amp;AZ30=AY$5&amp;AX$5&amp;AZ$5,AX30&amp;AY30&amp;AZ30=AY$5&amp;AZ$5&amp;AX$5,AX30&amp;AY30&amp;AZ30=AZ$5&amp;AX$5&amp;AY$5,AX30&amp;AY30&amp;AZ30=AZ$5&amp;AY$5&amp;AX$5),2,0),IF(AND(AX30=AX$5,AY$6&gt;=$D$129),1,0),IF(AND(AY30=AX$5,AY$6&gt;=$D$129),1,0),IF(AND(AZ30=AX$5,AY$6&gt;=$D$129),1,0),IF(AX30&amp;BA30=BA$5,4,0),IF(AND(AX30=AX$5,AY$6&lt;=$D$104),-0.5,0),IF(AND(AY30=AX$5,AY$6&lt;=$D$104),-0.5,0),IF(AND(AZ30=AX$5,AY$6&lt;=$D$104),-0.5,0))</f>
        <v/>
      </c>
      <c r="BC30" s="145" t="n">
        <v>4</v>
      </c>
      <c r="BD30" s="146" t="n">
        <v>2</v>
      </c>
      <c r="BE30" s="146" t="n">
        <v>3</v>
      </c>
      <c r="BF30" s="146" t="n"/>
      <c r="BG30" s="602">
        <f>SUM(IF(BC30=BC$5,4,0),IF(BC30&amp;BD30=BC$5&amp;BD$5,1,0),
IF(AND(BC30=BC$5,BD$6&gt;=$D$115),1,0),
IF(AND(BD30=BC$5,BD$6&gt;=$D$115),1,0),
IF(AND(BE30=BC$5,BD$6&gt;=$D$115),1,0),
IF(BC30&amp;BF30=BG$5,1,0),
IF(BD30=BC$5,2,0),
IF(BE30=BC$5,1,0),
IF(OR(BC30&amp;BD30&amp;BE30=BC$5&amp;BD$5&amp;BE$5,BC30&amp;BD30&amp;BE30=BC$5&amp;BE$5&amp;BD$5,BC30&amp;BD30&amp;BE30=BD$5&amp;BC$5&amp;BE$5,BC30&amp;BD30&amp;BE30=BD$5&amp;BE$5&amp;BC$5,BC30&amp;BD30&amp;BE30=BE$5&amp;BC$5&amp;BD$5,BC30&amp;BD30&amp;BE30=BE$5&amp;BD$5&amp;BC$5),2,0),IF(AND(BC30=BC$5,BD$6&gt;=$D$129),1,0),IF(AND(BD30=BC$5,BD$6&gt;=$D$129),1,0),IF(AND(BE30=BC$5,BD$6&gt;=$D$129),1,0),IF(BC30&amp;BF30=BF$5,4,0),IF(AND(BC30=BC$5,BD$6&lt;=$D$104),-0.5,0),IF(AND(BD30=BC$5,BD$6&lt;=$D$104),-0.5,0),IF(AND(BE30=BC$5,BD$6&lt;=$D$104),-0.5,0))</f>
        <v/>
      </c>
      <c r="BH30" s="145" t="n">
        <v>5</v>
      </c>
      <c r="BI30" s="146" t="n">
        <v>1</v>
      </c>
      <c r="BJ30" s="146" t="n">
        <v>6</v>
      </c>
      <c r="BK30" s="146" t="n"/>
      <c r="BL30" s="602">
        <f>SUM(IF(BH30=BH$5,4,0),IF(BH30&amp;BI30=BH$5&amp;BI$5,1,0),
IF(AND(BH30=BH$5,BI$6&gt;=$D$115),1,0),
IF(AND(BI30=BH$5,BI$6&gt;=$D$115),1,0),
IF(AND(BJ30=BH$5,BI$6&gt;=$D$115),1,0),
IF(BH30&amp;BK30=BL$5,1,0),
IF(BI30=BH$5,2,0),
IF(BJ30=BH$5,1,0),
IF(OR(BH30&amp;BI30&amp;BJ30=BH$5&amp;BI$5&amp;BJ$5,BH30&amp;BI30&amp;BJ30=BH$5&amp;BJ$5&amp;BI$5,BH30&amp;BI30&amp;BJ30=BI$5&amp;BH$5&amp;BJ$5,BH30&amp;BI30&amp;BJ30=BI$5&amp;BJ$5&amp;BH$5,BH30&amp;BI30&amp;BJ30=BJ$5&amp;BH$5&amp;BI$5,BH30&amp;BI30&amp;BJ30=BJ$5&amp;BI$5&amp;BH$5),2,0),IF(AND(BH30=BH$5,BI$6&gt;=$D$129),1,0),IF(AND(BI30=BH$5,BI$6&gt;=$D$129),1,0),IF(AND(BJ30=BH$5,BI$6&gt;=$D$129),1,0),IF(BH30&amp;BK30=BK$5,4,0),IF(AND(BH30=BH$5,BI$6&lt;=$D$104),-0.5,0),IF(AND(BI30=BH$5,BI$6&lt;=$D$104),-0.5,0),IF(AND(BJ30=BH$5,BI$6&lt;=$D$104),-0.5,0))</f>
        <v/>
      </c>
      <c r="BM30" s="145" t="n">
        <v>3</v>
      </c>
      <c r="BN30" s="146" t="n">
        <v>1</v>
      </c>
      <c r="BO30" s="146" t="n">
        <v>12</v>
      </c>
      <c r="BP30" s="146" t="inlineStr">
        <is>
          <t>F</t>
        </is>
      </c>
      <c r="BQ30" s="602">
        <f>SUM(IF(BM30=BM$5,4,0),IF(BM30&amp;BN30=BM$5&amp;BN$5,1,0),
IF(AND(BM30=BM$5,BN$6&gt;=$D$115),1,0),
IF(AND(BN30=BM$5,BN$6&gt;=$D$115),1,0),
IF(AND(BO30=BM$5,BN$6&gt;=$D$115),1,0),
IF(BM30&amp;BP30=BQ$5,1,0),
IF(BN30=BM$5,2,0),
IF(BO30=BM$5,1,0),
IF(OR(BM30&amp;BN30&amp;BO30=BM$5&amp;BN$5&amp;BO$5,BM30&amp;BN30&amp;BO30=BM$5&amp;BO$5&amp;BN$5,BM30&amp;BN30&amp;BO30=BN$5&amp;BM$5&amp;BO$5,BM30&amp;BN30&amp;BO30=BN$5&amp;BO$5&amp;BM$5,BM30&amp;BN30&amp;BO30=BO$5&amp;BM$5&amp;BN$5,BM30&amp;BN30&amp;BO30=BO$5&amp;BN$5&amp;BM$5),2,0),IF(AND(BM30=BM$5,BN$6&gt;=$D$129),1,0),IF(AND(BN30=BM$5,BN$6&gt;=$D$129),1,0),IF(AND(BO30=BM$5,BN$6&gt;=$D$129),1,0),IF(BM30&amp;BP30=BP$5,4,0),IF(AND(BM30=BM$5,BN$6&lt;=$D$104),-0.5,0),IF(AND(BN30=BM$5,BN$6&lt;=$D$104),-0.5,0),IF(AND(BO30=BM$5,BN$6&lt;=$D$104),-0.5,0))</f>
        <v/>
      </c>
      <c r="BR30" s="145" t="n"/>
      <c r="BS30" s="146" t="n"/>
      <c r="BT30" s="146" t="n"/>
      <c r="BU30" s="146" t="n"/>
      <c r="BV30" s="602">
        <f>SUM(IF(BR30=BR$5,4,0),IF(BR30&amp;BS30=BR$5&amp;BS$5,1,0),
IF(AND(BR30=BR$5,BS$6&gt;=$D$115),1,0),
IF(AND(BS30=BR$5,BS$6&gt;=$D$115),1,0),
IF(AND(BT30=BR$5,BS$6&gt;=$D$115),1,0),
IF(BR30&amp;BU30=BV$5,1,0),
IF(BS30=BR$5,2,0),
IF(BT30=BR$5,1,0),
IF(OR(BR30&amp;BS30&amp;BT30=BR$5&amp;BS$5&amp;BT$5,BR30&amp;BS30&amp;BT30=BR$5&amp;BT$5&amp;BS$5,BR30&amp;BS30&amp;BT30=BS$5&amp;BR$5&amp;BT$5,BR30&amp;BS30&amp;BT30=BS$5&amp;BT$5&amp;BR$5,BR30&amp;BS30&amp;BT30=BT$5&amp;BR$5&amp;BS$5,BR30&amp;BS30&amp;BT30=BT$5&amp;BS$5&amp;BR$5),2,0),IF(AND(BR30=BR$5,BS$6&gt;=$D$129),1,0),IF(AND(BS30=BR$5,BS$6&gt;=$D$129),1,0),IF(AND(BT30=BR$5,BS$6&gt;=$D$129),1,0),IF(BR30&amp;BU30=BU$5,4,0),IF(AND(BR30=BR$5,BS$6&lt;=$D$104),-0.5,0),IF(AND(BS30=BR$5,BS$6&lt;=$D$104),-0.5,0),IF(AND(BT30=BR$5,BS$6&lt;=$D$104),-0.5,0))</f>
        <v/>
      </c>
      <c r="BW30" s="145" t="n"/>
      <c r="BX30" s="146" t="n"/>
      <c r="BY30" s="146" t="n"/>
      <c r="BZ30" s="146" t="n"/>
      <c r="CA30" s="602">
        <f>SUM(IF(BW30=BW$5,4,0),IF(BW30&amp;BX30=BW$5&amp;BX$5,1,0),
IF(AND(BW30=BW$5,BX$6&gt;=$D$115),1,0),
IF(AND(BX30=BW$5,BX$6&gt;=$D$115),1,0),
IF(AND(BY30=BW$5,BX$6&gt;=$D$115),1,0),
IF(BW30&amp;BZ30=CA$5,1,0),
IF(BX30=BW$5,2,0),
IF(BY30=BW$5,1,0),
IF(OR(BW30&amp;BX30&amp;BY30=BW$5&amp;BX$5&amp;BY$5,BW30&amp;BX30&amp;BY30=BW$5&amp;BY$5&amp;BX$5,BW30&amp;BX30&amp;BY30=BX$5&amp;BW$5&amp;BY$5,BW30&amp;BX30&amp;BY30=BX$5&amp;BY$5&amp;BW$5,BW30&amp;BX30&amp;BY30=BY$5&amp;BW$5&amp;BX$5,BW30&amp;BX30&amp;BY30=BY$5&amp;BX$5&amp;BW$5),2,0),IF(AND(BW30=BW$5,BX$6&gt;=$D$129),1,0),IF(AND(BX30=BW$5,BX$6&gt;=$D$129),1,0),IF(AND(BY30=BW$5,BX$6&gt;=$D$129),1,0),IF(BW30&amp;BZ30=BZ$5,4,0),IF(AND(BW30=BW$5,BX$6&lt;=$D$104),-0.5,0),IF(AND(BX30=BW$5,BX$6&lt;=$D$104),-0.5,0),IF(AND(BY30=BW$5,BX$6&lt;=$D$104),-0.5,0))</f>
        <v/>
      </c>
      <c r="CB30" s="145" t="n"/>
      <c r="CC30" s="146" t="n"/>
      <c r="CD30" s="146" t="n"/>
      <c r="CE30" s="146" t="n"/>
      <c r="CF30" s="602">
        <f>SUM(IF(CB30=CB$5,4,0),IF(CB30&amp;CC30=CB$5&amp;CC$5,1,0),
IF(AND(CB30=CB$5,CC$6&gt;=$D$115),1,0),
IF(AND(CC30=CB$5,CC$6&gt;=$D$115),1,0),
IF(AND(CD30=CB$5,CC$6&gt;=$D$115),1,0),
IF(CB30&amp;CE30=CF$5,1,0),
IF(CC30=CB$5,2,0),
IF(CD30=CB$5,1,0),
IF(OR(CB30&amp;CC30&amp;CD30=CB$5&amp;CC$5&amp;CD$5,CB30&amp;CC30&amp;CD30=CB$5&amp;CD$5&amp;CC$5,CB30&amp;CC30&amp;CD30=CC$5&amp;CB$5&amp;CD$5,CB30&amp;CC30&amp;CD30=CC$5&amp;CD$5&amp;CB$5,CB30&amp;CC30&amp;CD30=CD$5&amp;CB$5&amp;CC$5,CB30&amp;CC30&amp;CD30=CD$5&amp;CC$5&amp;CB$5),2,0),IF(AND(CB30=CB$5,CC$6&gt;=$D$129),1,0),IF(AND(CC30=CB$5,CC$6&gt;=$D$129),1,0),IF(AND(CD30=CB$5,CC$6&gt;=$D$129),1,0),IF(CB30&amp;CE30=CE$5,4,0),IF(AND(CB30=CB$5,CC$6&lt;=$D$104),-0.5,0),IF(AND(CC30=CB$5,CC$6&lt;=$D$104),-0.5,0),IF(AND(CD30=CB$5,CC$6&lt;=$D$104),-0.5,0))</f>
        <v/>
      </c>
      <c r="CG30" s="164">
        <f>IF(BASE01[[#This Row],[1]]="",0,$B$4)</f>
        <v/>
      </c>
      <c r="CH30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0" s="166">
        <f>IF(BASE01[[#This Row],[Columna14]]=0,0,(CH30/CG30))</f>
        <v/>
      </c>
      <c r="CJ30" s="165">
        <f>IF(BASE01[[#This Row],[1]]="",0,$B$4)</f>
        <v/>
      </c>
      <c r="CK30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0" s="166">
        <f>IF(BASE01[[#This Row],[Columna14]]=0,0,(CK30/CJ30))</f>
        <v/>
      </c>
      <c r="CM30" s="164">
        <f>IF(BASE01[[#This Row],[1]]="",0,$B$4)</f>
        <v/>
      </c>
      <c r="CN30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0" s="166">
        <f>IF(BASE01[[#This Row],[Columna14]]=0,0,(CN30/CM30))</f>
        <v/>
      </c>
      <c r="CP30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0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Row],[Columna25]],$AX$5,BA30,"SF")+COUNTIFS(BASE01[[#This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0" s="166">
        <f>IF(BASE01[[#This Row],[Columna14]]=0,0,(CQ30/CP30))</f>
        <v/>
      </c>
      <c r="CS30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0" s="95" t="n"/>
      <c r="CU30" s="604">
        <f>SUM(CS30,CT30)</f>
        <v/>
      </c>
      <c r="CV30" s="96">
        <f>IF(BASE01[[#This Row],[TIPO]]="PREMIO",$O$3,"0,00")</f>
        <v/>
      </c>
      <c r="CW30" s="576" t="n"/>
      <c r="CY30" s="606">
        <f>IF(CZ30="","",$CZ$25)</f>
        <v/>
      </c>
      <c r="CZ30" s="392" t="inlineStr">
        <is>
          <t>COD 37</t>
        </is>
      </c>
      <c r="DA30" s="392">
        <f t="array" ref="DA30">IF(CZ30="", "", IF((INDEX(E$8:CE$57, MATCH(CZ30, C$8:C$57, 0), ($CZ$25-1)*5 + 1) &amp; "") = (INDEX(E$5:CE$5, 1, ($CZ$25-1)*5 + 1) &amp; ""), 1, IF((INDEX(E$8:CE$57, MATCH(CZ30, C$8:C$57, 0), ($CZ$25-1)*5 + 2) &amp; "") = (INDEX(E$5:CE$5, 1, ($CZ$25-1)*5 + 1) &amp; ""), 2, IF((INDEX(E$8:CE$57, MATCH(CZ30, C$8:C$57, 0), ($CZ$25-1)*5 + 3) &amp; "") = (INDEX(E$5:CE$5, 1, ($CZ$25-1)*5 + 1) &amp; ""), 3, ""))))</f>
        <v/>
      </c>
      <c r="DB30" s="605">
        <f>BASE01[[#This Row],[COD]]</f>
        <v/>
      </c>
      <c r="DC30" s="395">
        <f t="array" ref="DC30">IFERROR(IF(AND(INDEX($E$8:$CE$57, MATCH($C30, $C$8:$C$57, 0), (COLUMNS($DC30:DC30)-1)*5 + 1) = INDEX($E$5:$CE$5, 1, (COLUMNS($DC30:DC30)-1)*5 + 1), INDEX($E$8:$CE$57, MATCH($C30, $C$8:$C$57, 0), (COLUMNS($DC30:DC30)-1)*5 + 4) = "F"), INDEX($CZ$8:$CZ$23, COLUMNS($DC30:DC30)), "0"), "")</f>
        <v/>
      </c>
      <c r="DD30" s="395">
        <f t="array" ref="DD30">IFERROR(IF(AND(INDEX($E$8:$CE$57, MATCH($C30, $C$8:$C$57, 0), (COLUMNS($DC30:DD30)-1)*5 + 1) = INDEX($E$5:$CE$5, 1, (COLUMNS($DC30:DD30)-1)*5 + 1), INDEX($E$8:$CE$57, MATCH($C30, $C$8:$C$57, 0), (COLUMNS($DC30:DD30)-1)*5 + 4) = "F"), INDEX($CZ$8:$CZ$23, COLUMNS($DC30:DD30)), "0"), "")</f>
        <v/>
      </c>
      <c r="DE30" s="395">
        <f t="array" ref="DE30">IFERROR(IF(AND(INDEX($E$8:$CE$57, MATCH($C30, $C$8:$C$57, 0), (COLUMNS($DC30:DE30)-1)*5 + 1) = INDEX($E$5:$CE$5, 1, (COLUMNS($DC30:DE30)-1)*5 + 1), INDEX($E$8:$CE$57, MATCH($C30, $C$8:$C$57, 0), (COLUMNS($DC30:DE30)-1)*5 + 4) = "F"), INDEX($CZ$8:$CZ$23, COLUMNS($DC30:DE30)), "0"), "")</f>
        <v/>
      </c>
      <c r="DF30" s="395">
        <f t="array" ref="DF30">IFERROR(IF(AND(INDEX($E$8:$CE$57, MATCH($C30, $C$8:$C$57, 0), (COLUMNS($DC30:DF30)-1)*5 + 1) = INDEX($E$5:$CE$5, 1, (COLUMNS($DC30:DF30)-1)*5 + 1), INDEX($E$8:$CE$57, MATCH($C30, $C$8:$C$57, 0), (COLUMNS($DC30:DF30)-1)*5 + 4) = "F"), INDEX($CZ$8:$CZ$23, COLUMNS($DC30:DF30)), "0"), "")</f>
        <v/>
      </c>
      <c r="DG30" s="395">
        <f t="array" ref="DG30">IFERROR(IF(AND(INDEX($E$8:$CE$57, MATCH($C30, $C$8:$C$57, 0), (COLUMNS($DC30:DG30)-1)*5 + 1) = INDEX($E$5:$CE$5, 1, (COLUMNS($DC30:DG30)-1)*5 + 1), INDEX($E$8:$CE$57, MATCH($C30, $C$8:$C$57, 0), (COLUMNS($DC30:DG30)-1)*5 + 4) = "F"), INDEX($CZ$8:$CZ$23, COLUMNS($DC30:DG30)), "0"), "")</f>
        <v/>
      </c>
      <c r="DH30" s="395">
        <f t="array" ref="DH30">IFERROR(IF(AND(INDEX($E$8:$CE$57, MATCH($C30, $C$8:$C$57, 0), (COLUMNS($DC30:DH30)-1)*5 + 1) = INDEX($E$5:$CE$5, 1, (COLUMNS($DC30:DH30)-1)*5 + 1), INDEX($E$8:$CE$57, MATCH($C30, $C$8:$C$57, 0), (COLUMNS($DC30:DH30)-1)*5 + 4) = "F"), INDEX($CZ$8:$CZ$23, COLUMNS($DC30:DH30)), "0"), "")</f>
        <v/>
      </c>
      <c r="DI30" s="395">
        <f t="array" ref="DI30">IFERROR(IF(AND(INDEX($E$8:$CE$57, MATCH($C30, $C$8:$C$57, 0), (COLUMNS($DC30:DI30)-1)*5 + 1) = INDEX($E$5:$CE$5, 1, (COLUMNS($DC30:DI30)-1)*5 + 1), INDEX($E$8:$CE$57, MATCH($C30, $C$8:$C$57, 0), (COLUMNS($DC30:DI30)-1)*5 + 4) = "F"), INDEX($CZ$8:$CZ$23, COLUMNS($DC30:DI30)), "0"), "")</f>
        <v/>
      </c>
      <c r="DJ30" s="395">
        <f t="array" ref="DJ30">IFERROR(IF(AND(INDEX($E$8:$CE$57, MATCH($C30, $C$8:$C$57, 0), (COLUMNS($DC30:DJ30)-1)*5 + 1) = INDEX($E$5:$CE$5, 1, (COLUMNS($DC30:DJ30)-1)*5 + 1), INDEX($E$8:$CE$57, MATCH($C30, $C$8:$C$57, 0), (COLUMNS($DC30:DJ30)-1)*5 + 4) = "F"), INDEX($CZ$8:$CZ$23, COLUMNS($DC30:DJ30)), "0"), "")</f>
        <v/>
      </c>
      <c r="DK30" s="395">
        <f t="array" ref="DK30">IFERROR(IF(AND(INDEX($E$8:$CE$57, MATCH($C30, $C$8:$C$57, 0), (COLUMNS($DC30:DK30)-1)*5 + 1) = INDEX($E$5:$CE$5, 1, (COLUMNS($DC30:DK30)-1)*5 + 1), INDEX($E$8:$CE$57, MATCH($C30, $C$8:$C$57, 0), (COLUMNS($DC30:DK30)-1)*5 + 4) = "F"), INDEX($CZ$8:$CZ$23, COLUMNS($DC30:DK30)), "0"), "")</f>
        <v/>
      </c>
      <c r="DL30" s="395">
        <f t="array" ref="DL30">IFERROR(IF(AND(INDEX($E$8:$CE$57, MATCH($C30, $C$8:$C$57, 0), (COLUMNS($DC30:DL30)-1)*5 + 1) = INDEX($E$5:$CE$5, 1, (COLUMNS($DC30:DL30)-1)*5 + 1), INDEX($E$8:$CE$57, MATCH($C30, $C$8:$C$57, 0), (COLUMNS($DC30:DL30)-1)*5 + 4) = "F"), INDEX($CZ$8:$CZ$23, COLUMNS($DC30:DL30)), "0"), "")</f>
        <v/>
      </c>
      <c r="DM30" s="395">
        <f t="array" ref="DM30">IFERROR(IF(AND(INDEX($E$8:$CE$57, MATCH($C30, $C$8:$C$57, 0), (COLUMNS($DC30:DM30)-1)*5 + 1) = INDEX($E$5:$CE$5, 1, (COLUMNS($DC30:DM30)-1)*5 + 1), INDEX($E$8:$CE$57, MATCH($C30, $C$8:$C$57, 0), (COLUMNS($DC30:DM30)-1)*5 + 4) = "F"), INDEX($CZ$8:$CZ$23, COLUMNS($DC30:DM30)), "0"), "")</f>
        <v/>
      </c>
      <c r="DN30" s="395">
        <f t="array" ref="DN30">IFERROR(IF(AND(INDEX($E$8:$CE$57, MATCH($C30, $C$8:$C$57, 0), (COLUMNS($DC30:DN30)-1)*5 + 1) = INDEX($E$5:$CE$5, 1, (COLUMNS($DC30:DN30)-1)*5 + 1), INDEX($E$8:$CE$57, MATCH($C30, $C$8:$C$57, 0), (COLUMNS($DC30:DN30)-1)*5 + 4) = "F"), INDEX($CZ$8:$CZ$23, COLUMNS($DC30:DN30)), "0"), "")</f>
        <v/>
      </c>
      <c r="DO30" s="395">
        <f t="array" ref="DO30">IFERROR(IF(AND(INDEX($E$8:$CE$57, MATCH($C30, $C$8:$C$57, 0), (COLUMNS($DC30:DO30)-1)*5 + 1) = INDEX($E$5:$CE$5, 1, (COLUMNS($DC30:DO30)-1)*5 + 1), INDEX($E$8:$CE$57, MATCH($C30, $C$8:$C$57, 0), (COLUMNS($DC30:DO30)-1)*5 + 4) = "F"), INDEX($CZ$8:$CZ$23, COLUMNS($DC30:DO30)), "0"), "")</f>
        <v/>
      </c>
      <c r="DP30" s="395">
        <f t="array" ref="DP30">IFERROR(IF(AND(INDEX($E$8:$CE$57, MATCH($C30, $C$8:$C$57, 0), (COLUMNS($DC30:DP30)-1)*5 + 1) = INDEX($E$5:$CE$5, 1, (COLUMNS($DC30:DP30)-1)*5 + 1), INDEX($E$8:$CE$57, MATCH($C30, $C$8:$C$57, 0), (COLUMNS($DC30:DP30)-1)*5 + 4) = "F"), INDEX($CZ$8:$CZ$23, COLUMNS($DC30:DP30)), "0"), "")</f>
        <v/>
      </c>
      <c r="DQ30" s="395">
        <f t="array" ref="DQ30">IFERROR(IF(AND(INDEX($E$8:$CE$57, MATCH($C30, $C$8:$C$57, 0), (COLUMNS($DC30:DQ30)-1)*5 + 1) = INDEX($E$5:$CE$5, 1, (COLUMNS($DC30:DQ30)-1)*5 + 1), INDEX($E$8:$CE$57, MATCH($C30, $C$8:$C$57, 0), (COLUMNS($DC30:DQ30)-1)*5 + 4) = "F"), INDEX($CZ$8:$CZ$23, COLUMNS($DC30:DQ30)), "0"), "")</f>
        <v/>
      </c>
      <c r="DR30" s="395">
        <f t="array" ref="DR30">IFERROR(IF(AND(INDEX($E$8:$CE$57, MATCH($C30, $C$8:$C$57, 0), (COLUMNS($DC30:DR30)-1)*5 + 1) = INDEX($E$5:$CE$5, 1, (COLUMNS($DC30:DR30)-1)*5 + 1), INDEX($E$8:$CE$57, MATCH($C30, $C$8:$C$57, 0), (COLUMNS($DC30:DR30)-1)*5 + 4) = "F"), INDEX($CZ$8:$CZ$23, COLUMNS($DC30:DR30)), "0"), "")</f>
        <v/>
      </c>
      <c r="DT30" s="605">
        <f>BASE01[[#This Row],[COD]]</f>
        <v/>
      </c>
      <c r="DU30" s="395">
        <f t="array" ref="DU30">IFERROR(IF(AND(INDEX($E$8:$CE$57, MATCH($C30, $C$8:$C$57, 0), (COLUMNS($DU30:DU30)-1)*5 + 1) = INDEX($E$5:$CE$5, 1, (COLUMNS($DU30:DU30)-1)*5 + 1), INDEX($E$8:$CE$57, MATCH($C30, $C$8:$C$57, 0), (COLUMNS($DU30:DU30)-1)*5 + 4) = "SF"), INDEX($CZ$8:$CZ$23, COLUMNS($DU30:DU30)), "0"), "")</f>
        <v/>
      </c>
      <c r="DV30" s="395">
        <f t="array" ref="DV30">IFERROR(IF(AND(INDEX($E$8:$CE$57, MATCH($C30, $C$8:$C$57, 0), (COLUMNS($DU30:DV30)-1)*5 + 1) = INDEX($E$5:$CE$5, 1, (COLUMNS($DU30:DV30)-1)*5 + 1), INDEX($E$8:$CE$57, MATCH($C30, $C$8:$C$57, 0), (COLUMNS($DU30:DV30)-1)*5 + 4) = "SF"), INDEX($CZ$8:$CZ$23, COLUMNS($DU30:DV30)), "0"), "")</f>
        <v/>
      </c>
      <c r="DW30" s="395">
        <f t="array" ref="DW30">IFERROR(IF(AND(INDEX($E$8:$CE$57, MATCH($C30, $C$8:$C$57, 0), (COLUMNS($DU30:DW30)-1)*5 + 1) = INDEX($E$5:$CE$5, 1, (COLUMNS($DU30:DW30)-1)*5 + 1), INDEX($E$8:$CE$57, MATCH($C30, $C$8:$C$57, 0), (COLUMNS($DU30:DW30)-1)*5 + 4) = "SF"), INDEX($CZ$8:$CZ$23, COLUMNS($DU30:DW30)), "0"), "")</f>
        <v/>
      </c>
      <c r="DX30" s="395">
        <f t="array" ref="DX30">IFERROR(IF(AND(INDEX($E$8:$CE$57, MATCH($C30, $C$8:$C$57, 0), (COLUMNS($DU30:DX30)-1)*5 + 1) = INDEX($E$5:$CE$5, 1, (COLUMNS($DU30:DX30)-1)*5 + 1), INDEX($E$8:$CE$57, MATCH($C30, $C$8:$C$57, 0), (COLUMNS($DU30:DX30)-1)*5 + 4) = "SF"), INDEX($CZ$8:$CZ$23, COLUMNS($DU30:DX30)), "0"), "")</f>
        <v/>
      </c>
      <c r="DY30" s="395">
        <f t="array" ref="DY30">IFERROR(IF(AND(INDEX($E$8:$CE$57, MATCH($C30, $C$8:$C$57, 0), (COLUMNS($DU30:DY30)-1)*5 + 1) = INDEX($E$5:$CE$5, 1, (COLUMNS($DU30:DY30)-1)*5 + 1), INDEX($E$8:$CE$57, MATCH($C30, $C$8:$C$57, 0), (COLUMNS($DU30:DY30)-1)*5 + 4) = "SF"), INDEX($CZ$8:$CZ$23, COLUMNS($DU30:DY30)), "0"), "")</f>
        <v/>
      </c>
      <c r="DZ30" s="395">
        <f t="array" ref="DZ30">IFERROR(IF(AND(INDEX($E$8:$CE$57, MATCH($C30, $C$8:$C$57, 0), (COLUMNS($DU30:DZ30)-1)*5 + 1) = INDEX($E$5:$CE$5, 1, (COLUMNS($DU30:DZ30)-1)*5 + 1), INDEX($E$8:$CE$57, MATCH($C30, $C$8:$C$57, 0), (COLUMNS($DU30:DZ30)-1)*5 + 4) = "SF"), INDEX($CZ$8:$CZ$23, COLUMNS($DU30:DZ30)), "0"), "")</f>
        <v/>
      </c>
      <c r="EA30" s="395">
        <f t="array" ref="EA30">IFERROR(IF(AND(INDEX($E$8:$CE$57, MATCH($C30, $C$8:$C$57, 0), (COLUMNS($DU30:EA30)-1)*5 + 1) = INDEX($E$5:$CE$5, 1, (COLUMNS($DU30:EA30)-1)*5 + 1), INDEX($E$8:$CE$57, MATCH($C30, $C$8:$C$57, 0), (COLUMNS($DU30:EA30)-1)*5 + 4) = "SF"), INDEX($CZ$8:$CZ$23, COLUMNS($DU30:EA30)), "0"), "")</f>
        <v/>
      </c>
      <c r="EB30" s="395">
        <f t="array" ref="EB30">IFERROR(IF(AND(INDEX($E$8:$CE$57, MATCH($C30, $C$8:$C$57, 0), (COLUMNS($DU30:EB30)-1)*5 + 1) = INDEX($E$5:$CE$5, 1, (COLUMNS($DU30:EB30)-1)*5 + 1), INDEX($E$8:$CE$57, MATCH($C30, $C$8:$C$57, 0), (COLUMNS($DU30:EB30)-1)*5 + 4) = "SF"), INDEX($CZ$8:$CZ$23, COLUMNS($DU30:EB30)), "0"), "")</f>
        <v/>
      </c>
      <c r="EC30" s="395">
        <f t="array" ref="EC30">IFERROR(IF(AND(INDEX($E$8:$CE$57, MATCH($C30, $C$8:$C$57, 0), (COLUMNS($DU30:EC30)-1)*5 + 1) = INDEX($E$5:$CE$5, 1, (COLUMNS($DU30:EC30)-1)*5 + 1), INDEX($E$8:$CE$57, MATCH($C30, $C$8:$C$57, 0), (COLUMNS($DU30:EC30)-1)*5 + 4) = "SF"), INDEX($CZ$8:$CZ$23, COLUMNS($DU30:EC30)), "0"), "")</f>
        <v/>
      </c>
      <c r="ED30" s="395">
        <f t="array" ref="ED30">IFERROR(IF(AND(INDEX($E$8:$CE$57, MATCH($C30, $C$8:$C$57, 0), (COLUMNS($DU30:ED30)-1)*5 + 1) = INDEX($E$5:$CE$5, 1, (COLUMNS($DU30:ED30)-1)*5 + 1), INDEX($E$8:$CE$57, MATCH($C30, $C$8:$C$57, 0), (COLUMNS($DU30:ED30)-1)*5 + 4) = "SF"), INDEX($CZ$8:$CZ$23, COLUMNS($DU30:ED30)), "0"), "")</f>
        <v/>
      </c>
      <c r="EE30" s="395">
        <f t="array" ref="EE30">IFERROR(IF(AND(INDEX($E$8:$CE$57, MATCH($C30, $C$8:$C$57, 0), (COLUMNS($DU30:EE30)-1)*5 + 1) = INDEX($E$5:$CE$5, 1, (COLUMNS($DU30:EE30)-1)*5 + 1), INDEX($E$8:$CE$57, MATCH($C30, $C$8:$C$57, 0), (COLUMNS($DU30:EE30)-1)*5 + 4) = "SF"), INDEX($CZ$8:$CZ$23, COLUMNS($DU30:EE30)), "0"), "")</f>
        <v/>
      </c>
      <c r="EF30" s="395">
        <f t="array" ref="EF30">IFERROR(IF(AND(INDEX($E$8:$CE$57, MATCH($C30, $C$8:$C$57, 0), (COLUMNS($DU30:EF30)-1)*5 + 1) = INDEX($E$5:$CE$5, 1, (COLUMNS($DU30:EF30)-1)*5 + 1), INDEX($E$8:$CE$57, MATCH($C30, $C$8:$C$57, 0), (COLUMNS($DU30:EF30)-1)*5 + 4) = "SF"), INDEX($CZ$8:$CZ$23, COLUMNS($DU30:EF30)), "0"), "")</f>
        <v/>
      </c>
      <c r="EG30" s="395">
        <f t="array" ref="EG30">IFERROR(IF(AND(INDEX($E$8:$CE$57, MATCH($C30, $C$8:$C$57, 0), (COLUMNS($DU30:EG30)-1)*5 + 1) = INDEX($E$5:$CE$5, 1, (COLUMNS($DU30:EG30)-1)*5 + 1), INDEX($E$8:$CE$57, MATCH($C30, $C$8:$C$57, 0), (COLUMNS($DU30:EG30)-1)*5 + 4) = "SF"), INDEX($CZ$8:$CZ$23, COLUMNS($DU30:EG30)), "0"), "")</f>
        <v/>
      </c>
      <c r="EH30" s="395">
        <f t="array" ref="EH30">IFERROR(IF(AND(INDEX($E$8:$CE$57, MATCH($C30, $C$8:$C$57, 0), (COLUMNS($DU30:EH30)-1)*5 + 1) = INDEX($E$5:$CE$5, 1, (COLUMNS($DU30:EH30)-1)*5 + 1), INDEX($E$8:$CE$57, MATCH($C30, $C$8:$C$57, 0), (COLUMNS($DU30:EH30)-1)*5 + 4) = "SF"), INDEX($CZ$8:$CZ$23, COLUMNS($DU30:EH30)), "0"), "")</f>
        <v/>
      </c>
      <c r="EI30" s="395">
        <f t="array" ref="EI30">IFERROR(IF(AND(INDEX($E$8:$CE$57, MATCH($C30, $C$8:$C$57, 0), (COLUMNS($DU30:EI30)-1)*5 + 1) = INDEX($E$5:$CE$5, 1, (COLUMNS($DU30:EI30)-1)*5 + 1), INDEX($E$8:$CE$57, MATCH($C30, $C$8:$C$57, 0), (COLUMNS($DU30:EI30)-1)*5 + 4) = "SF"), INDEX($CZ$8:$CZ$23, COLUMNS($DU30:EI30)), "0"), "")</f>
        <v/>
      </c>
      <c r="EJ30" s="395">
        <f t="array" ref="EJ30">IFERROR(IF(AND(INDEX($E$8:$CE$57, MATCH($C30, $C$8:$C$57, 0), (COLUMNS($DU30:EJ30)-1)*5 + 1) = INDEX($E$5:$CE$5, 1, (COLUMNS($DU30:EJ30)-1)*5 + 1), INDEX($E$8:$CE$57, MATCH($C30, $C$8:$C$57, 0), (COLUMNS($DU30:EJ30)-1)*5 + 4) = "SF"), INDEX($CZ$8:$CZ$23, COLUMNS($DU30:EJ30)), "0"), "")</f>
        <v/>
      </c>
    </row>
    <row r="31" ht="19.5" customHeight="1" s="568">
      <c r="A31" s="576" t="n"/>
      <c r="B31" s="92">
        <f>IF(BASE01[[#This Row],[COD]]&lt;&gt;"",B30+1,"")</f>
        <v/>
      </c>
      <c r="C31" s="601" t="inlineStr">
        <is>
          <t>COD 24</t>
        </is>
      </c>
      <c r="D31" s="93">
        <f t="array" ref="D3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1" s="145" t="n">
        <v>1</v>
      </c>
      <c r="F31" s="146" t="n">
        <v>6</v>
      </c>
      <c r="G31" s="146" t="n">
        <v>2</v>
      </c>
      <c r="H31" s="146" t="n"/>
      <c r="I31" s="602">
        <f>SUM(IF(E31=E$5,4,0),IF(E31&amp;F31=E$5&amp;F$5,1,0),
IF(AND(E31=E$5,F$6&gt;=$D$115),1,0),
IF(AND(F31=E$5,F$6&gt;=$D$115),1,0),
IF(AND(G31=E$5,F$6&gt;=$D$115),1,0),
IF(E31&amp;H31=I$5,1,0),
IF(F31=E$5,2,0),
IF(G31=E$5,1,0),
IF(OR(E31&amp;F31&amp;G31=E$5&amp;F$5&amp;G$5,E31&amp;F31&amp;G31=E$5&amp;G$5&amp;F$5,E31&amp;F31&amp;G31=F$5&amp;E$5&amp;G$5,E31&amp;F31&amp;G31=F$5&amp;G$5&amp;E$5,E31&amp;F31&amp;G31=G$5&amp;E$5&amp;F$5,E31&amp;F31&amp;G31=G$5&amp;F$5&amp;E$5),2,0),IF(AND(E31=E$5,F$6&gt;=$D$129),1,0),IF(AND(F31=E$5,F$6&gt;=$D$129),1,0),IF(AND(G31=E$5,F$6&gt;=$D$129),1,0),IF(E31&amp;H31=H$5,4,0),IF(AND(E31=E$5,F$6&lt;=$D$104),-0.5,0),IF(AND(F31=E$5,F$6&lt;=$D$104),-0.5,0),IF(AND(G31=E$5,F$6&lt;=$D$104),-0.5,0))</f>
        <v/>
      </c>
      <c r="J31" s="145" t="n">
        <v>2</v>
      </c>
      <c r="K31" s="146" t="n">
        <v>8</v>
      </c>
      <c r="L31" s="146" t="n">
        <v>7</v>
      </c>
      <c r="M31" s="146" t="n"/>
      <c r="N31" s="602">
        <f>SUM(IF(J31=J$5,4,0),IF(J31&amp;K31=J$5&amp;K$5,1,0),
IF(AND(J31=J$5,K$6&gt;=$D$115),1,0),
IF(AND(K31=J$5,K$6&gt;=$D$115),1,0),
IF(AND(L31=J$5,K$6&gt;=$D$115),1,0),
IF(J31&amp;M31=N$5,1,0),
IF(K31=J$5,2,0),
IF(L31=J$5,1,0),
IF(OR(J31&amp;K31&amp;L31=J$5&amp;K$5&amp;L$5,J31&amp;K31&amp;L31=J$5&amp;L$5&amp;K$5,J31&amp;K31&amp;L31=K$5&amp;J$5&amp;L$5,J31&amp;K31&amp;L31=K$5&amp;L$5&amp;J$5,J31&amp;K31&amp;L31=L$5&amp;J$5&amp;K$5,J31&amp;K31&amp;L31=L$5&amp;K$5&amp;J$5),2,0),IF(AND(J31=J$5,K$6&gt;=$D$129),1,0),IF(AND(K31=J$5,K$6&gt;=$D$129),1,0),IF(AND(L31=J$5,K$6&gt;=$D$129),1,0),IF(J31&amp;M31=M$5,4,0),IF(AND(J31=J$5,K$6&lt;=$D$104),-0.5,0),IF(AND(K31=J$5,K$6&lt;=$D$104),-0.5,0),IF(AND(L31=J$5,K$6&lt;=$D$104),-0.5,0))</f>
        <v/>
      </c>
      <c r="O31" s="145" t="n">
        <v>5</v>
      </c>
      <c r="P31" s="146" t="n">
        <v>3</v>
      </c>
      <c r="Q31" s="146" t="n">
        <v>8</v>
      </c>
      <c r="R31" s="146" t="n"/>
      <c r="S31" s="602">
        <f>SUM(IF(O31=O$5,4,0),IF(O31&amp;P31=O$5&amp;P$5,1,0),
IF(AND(O31=O$5,P$6&gt;=$D$115),1,0),
IF(AND(P31=O$5,P$6&gt;=$D$115),1,0),
IF(AND(Q31=O$5,P$6&gt;=$D$115),1,0),
IF(O31&amp;R31=S$5,1,0),
IF(P31=O$5,2,0),
IF(Q31=O$5,1,0),
IF(OR(O31&amp;P31&amp;Q31=O$5&amp;P$5&amp;Q$5,O31&amp;P31&amp;Q31=O$5&amp;Q$5&amp;P$5,O31&amp;P31&amp;Q31=P$5&amp;O$5&amp;Q$5,O31&amp;P31&amp;Q31=P$5&amp;Q$5&amp;O$5,O31&amp;P31&amp;Q31=Q$5&amp;O$5&amp;P$5,O31&amp;P31&amp;Q31=Q$5&amp;P$5&amp;O$5),2,0),IF(AND(O31=O$5,P$6&gt;=$D$129),1,0),IF(AND(P31=O$5,P$6&gt;=$D$129),1,0),IF(AND(Q31=O$5,P$6&gt;=$D$129),1,0),IF(O31&amp;R31=R$5,4,0),IF(AND(O31=O$5,P$6&lt;=$D$104),-0.5,0),IF(AND(P31=O$5,P$6&lt;=$D$104),-0.5,0),IF(AND(Q31=O$5,P$6&lt;=$D$104),-0.5,0))</f>
        <v/>
      </c>
      <c r="T31" s="145" t="n">
        <v>6</v>
      </c>
      <c r="U31" s="146" t="n">
        <v>8</v>
      </c>
      <c r="V31" s="146" t="n">
        <v>2</v>
      </c>
      <c r="W31" s="146" t="inlineStr">
        <is>
          <t>F</t>
        </is>
      </c>
      <c r="X31" s="602">
        <f>SUM(IF(T31=T$5,4,0),IF(T31&amp;U31=T$5&amp;U$5,1,0),
IF(AND(T31=T$5,U$6&gt;=$D$115),1,0),
IF(AND(U31=T$5,U$6&gt;=$D$115),1,0),
IF(AND(V31=T$5,U$6&gt;=$D$115),1,0),
IF(T31&amp;W31=X$5,1,0),
IF(U31=T$5,2,0),
IF(V31=T$5,1,0),
IF(OR(T31&amp;U31&amp;V31=T$5&amp;U$5&amp;V$5,T31&amp;U31&amp;V31=T$5&amp;V$5&amp;U$5,T31&amp;U31&amp;V31=U$5&amp;T$5&amp;V$5,T31&amp;U31&amp;V31=U$5&amp;V$5&amp;T$5,T31&amp;U31&amp;V31=V$5&amp;T$5&amp;U$5,T31&amp;U31&amp;V31=V$5&amp;U$5&amp;T$5),2,0),IF(AND(T31=T$5,U$6&gt;=$D$129),1,0),IF(AND(U31=T$5,U$6&gt;=$D$129),1,0),IF(AND(V31=T$5,U$6&gt;=$D$129),1,0),IF(T31&amp;W31=W$5,4,0),IF(AND(T31=T$5,U$6&lt;=$D$104),-0.5,0),IF(AND(U31=T$5,U$6&lt;=$D$104),-0.5,0),IF(AND(V31=T$5,U$6&lt;=$D$104),-0.5,0))</f>
        <v/>
      </c>
      <c r="Y31" s="145" t="n">
        <v>5</v>
      </c>
      <c r="Z31" s="146" t="n"/>
      <c r="AA31" s="146" t="n"/>
      <c r="AB31" s="146" t="inlineStr">
        <is>
          <t>SF</t>
        </is>
      </c>
      <c r="AC31" s="602">
        <f>SUM(IF(Y31=Y$5,4,0),IF(Y31&amp;Z31=Y$5&amp;Z$5,1,0),
IF(AND(Y31=Y$5,Z$6&gt;=$D$115),1,0),
IF(AND(Z31=Y$5,Z$6&gt;=$D$115),1,0),
IF(AND(AA31=Y$5,Z$6&gt;=$D$115),1,0),
IF(Y31&amp;AB31=AC$5,1,0),
IF(Z31=Y$5,2,0),
IF(AA31=Y$5,1,0),
IF(OR(Y31&amp;Z31&amp;AA31=Y$5&amp;Z$5&amp;AA$5,Y31&amp;Z31&amp;AA31=Y$5&amp;AA$5&amp;Z$5,Y31&amp;Z31&amp;AA31=Z$5&amp;Y$5&amp;AA$5,Y31&amp;Z31&amp;AA31=Z$5&amp;AA$5&amp;Y$5,Y31&amp;Z31&amp;AA31=AA$5&amp;Y$5&amp;Z$5,Y31&amp;Z31&amp;AA31=AA$5&amp;Z$5&amp;Y$5),2,0),IF(AND(Y31=Y$5,Z$6&gt;=$D$129),1,0),IF(AND(Z31=Y$5,Z$6&gt;=$D$129),1,0),IF(AND(AA31=Y$5,Z$6&gt;=$D$129),1,0),IF(Y31&amp;AB31=AB$5,4,0),IF(AND(Y31=Y$5,Z$6&lt;=$D$104),-0.5,0),IF(AND(Z31=Y$5,Z$6&lt;=$D$104),-0.5,0),IF(AND(AA31=Y$5,Z$6&lt;=$D$104),-0.5,0))</f>
        <v/>
      </c>
      <c r="AD31" s="145" t="n">
        <v>2</v>
      </c>
      <c r="AE31" s="146" t="n">
        <v>7</v>
      </c>
      <c r="AF31" s="146" t="n">
        <v>3</v>
      </c>
      <c r="AG31" s="146" t="n"/>
      <c r="AH31" s="602">
        <f>SUM(IF(AD31=AD$5,4,0),IF(AD31&amp;AE31=AD$5&amp;AE$5,1,0),
IF(AND(AD31=AD$5,AE$6&gt;=$D$115),1,0),
IF(AND(AE31=AD$5,AE$6&gt;=$D$115),1,0),
IF(AND(AF31=AD$5,AE$6&gt;=$D$115),1,0),
IF(AD31&amp;AG31=AH$5,1,0),
IF(AE31=AD$5,2,0),
IF(AF31=AD$5,1,0),
IF(OR(AD31&amp;AE31&amp;AF31=AD$5&amp;AE$5&amp;AF$5,AD31&amp;AE31&amp;AF31=AD$5&amp;AF$5&amp;AE$5,AD31&amp;AE31&amp;AF31=AE$5&amp;AD$5&amp;AF$5,AD31&amp;AE31&amp;AF31=AE$5&amp;AF$5&amp;AD$5,AD31&amp;AE31&amp;AF31=AF$5&amp;AD$5&amp;AE$5,AD31&amp;AE31&amp;AF31=AF$5&amp;AE$5&amp;AD$5),2,0),IF(AND(AD31=AD$5,AE$6&gt;=$D$129),1,0),IF(AND(AE31=AD$5,AE$6&gt;=$D$129),1,0),IF(AND(AF31=AD$5,AE$6&gt;=$D$129),1,0),IF(AD31&amp;AG31=AG$5,4,0),IF(AND(AD31=AD$5,AE$6&lt;=$D$104),-0.5,0),IF(AND(AE31=AD$5,AE$6&lt;=$D$104),-0.5,0),IF(AND(AF31=AD$5,AE$6&lt;=$D$104),-0.5,0))</f>
        <v/>
      </c>
      <c r="AI31" s="145" t="n">
        <v>4</v>
      </c>
      <c r="AJ31" s="146" t="n">
        <v>7</v>
      </c>
      <c r="AK31" s="146" t="n">
        <v>1</v>
      </c>
      <c r="AL31" s="146" t="n"/>
      <c r="AM31" s="602">
        <f>SUM(IF(AI31=AI$5,4,0),IF(AI31&amp;AJ31=AI$5&amp;AJ$5,1,0),
IF(AND(AI31=AI$5,AJ$6&gt;=$D$115),1,0),
IF(AND(AJ31=AI$5,AJ$6&gt;=$D$115),1,0),
IF(AND(AK31=AI$5,AJ$6&gt;=$D$115),1,0),
IF(AI31&amp;AL31=AM$5,1,0),
IF(AJ31=AI$5,2,0),
IF(AK31=AI$5,1,0),
IF(OR(AI31&amp;AJ31&amp;AK31=AI$5&amp;AJ$5&amp;AK$5,AI31&amp;AJ31&amp;AK31=AI$5&amp;AK$5&amp;AJ$5,AI31&amp;AJ31&amp;AK31=AJ$5&amp;AI$5&amp;AK$5,AI31&amp;AJ31&amp;AK31=AJ$5&amp;AK$5&amp;AI$5,AI31&amp;AJ31&amp;AK31=AK$5&amp;AI$5&amp;AJ$5,AI31&amp;AJ31&amp;AK31=AK$5&amp;AJ$5&amp;AI$5),2,0),IF(AND(AI31=AI$5,AJ$6&gt;=$D$129),1,0),IF(AND(AJ31=AI$5,AJ$6&gt;=$D$129),1,0),IF(AND(AK31=AI$5,AJ$6&gt;=$D$129),1,0),IF(AI31&amp;AL31=AL$5,4,0),IF(AND(AI31=AI$5,AJ$6&lt;=$D$104),-0.5,0),IF(AND(AJ31=AI$5,AJ$6&lt;=$D$104),-0.5,0),IF(AND(AK31=AI$5,AJ$6&lt;=$D$104),-0.5,0))</f>
        <v/>
      </c>
      <c r="AN31" s="145" t="n">
        <v>8</v>
      </c>
      <c r="AO31" s="146" t="n">
        <v>9</v>
      </c>
      <c r="AP31" s="146" t="n">
        <v>5</v>
      </c>
      <c r="AQ31" s="146" t="n"/>
      <c r="AR31" s="602">
        <f>SUM(IF(AN31=AN$5,4,0),IF(AN31&amp;AO31=AN$5&amp;AO$5,1,0),
IF(AND(AN31=AN$5,AO$6&gt;=$D$115),1,0),
IF(AND(AO31=AN$5,AO$6&gt;=$D$115),1,0),
IF(AND(AP31=AN$5,AO$6&gt;=$D$115),1,0),
IF(AN31&amp;AQ31=AR$5,1,0),
IF(AO31=AN$5,2,0),
IF(AP31=AN$5,1,0),
IF(OR(AN31&amp;AO31&amp;AP31=AN$5&amp;AO$5&amp;AP$5,AN31&amp;AO31&amp;AP31=AN$5&amp;AP$5&amp;AO$5,AN31&amp;AO31&amp;AP31=AO$5&amp;AN$5&amp;AP$5,AN31&amp;AO31&amp;AP31=AO$5&amp;AP$5&amp;AN$5,AN31&amp;AO31&amp;AP31=AP$5&amp;AN$5&amp;AO$5,AN31&amp;AO31&amp;AP31=AP$5&amp;AO$5&amp;AN$5),2,0),IF(AND(AN31=AN$5,AO$6&gt;=$D$129),1,0),IF(AND(AO31=AN$5,AO$6&gt;=$D$129),1,0),IF(AND(AP31=AN$5,AO$6&gt;=$D$129),1,0),IF(AN31&amp;AQ31=AQ$5,4,0),IF(AND(AN31=AN$5,AO$6&lt;=$D$104),-0.5,0),IF(AND(AO31=AN$5,AO$6&lt;=$D$104),-0.5,0),IF(AND(AP31=AN$5,AO$6&lt;=$D$104),-0.5,0))</f>
        <v/>
      </c>
      <c r="AS31" s="145" t="n">
        <v>1</v>
      </c>
      <c r="AT31" s="146" t="n">
        <v>7</v>
      </c>
      <c r="AU31" s="146" t="n">
        <v>3</v>
      </c>
      <c r="AV31" s="146" t="inlineStr">
        <is>
          <t>F</t>
        </is>
      </c>
      <c r="AW31" s="602">
        <f>SUM(IF(AS31=AS$5,4,0),IF(AS31&amp;AT31=AS$5&amp;AT$5,1,0),
IF(AND(AS31=AS$5,AT$6&gt;=$D$115),1,0),
IF(AND(AT31=AS$5,AT$6&gt;=$D$115),1,0),
IF(AND(AU31=AS$5,AT$6&gt;=$D$115),1,0),
IF(AS31&amp;AV31=AW$5,1,0),
IF(AT31=AS$5,2,0),
IF(AU31=AS$5,1,0),
IF(OR(AS31&amp;AT31&amp;AU31=AS$5&amp;AT$5&amp;AU$5,AS31&amp;AT31&amp;AU31=AS$5&amp;AU$5&amp;AT$5,AS31&amp;AT31&amp;AU31=AT$5&amp;AS$5&amp;AU$5,AS31&amp;AT31&amp;AU31=AT$5&amp;AU$5&amp;AS$5,AS31&amp;AT31&amp;AU31=AU$5&amp;AS$5&amp;AT$5,AS31&amp;AT31&amp;AU31=AU$5&amp;AT$5&amp;AS$5),2,0),IF(AND(AS31=AS$5,AT$6&gt;=$D$129),1,0),IF(AND(AT31=AS$5,AT$6&gt;=$D$129),1,0),IF(AND(AU31=AS$5,AT$6&gt;=$D$129),1,0),IF(AS31&amp;AV31=AV$5,4,0),IF(AND(AS31=AS$5,AT$6&lt;=$D$104),-0.5,0),IF(AND(AT31=AS$5,AT$6&lt;=$D$104),-0.5,0),IF(AND(AU31=AS$5,AT$6&lt;=$D$104),-0.5,0))</f>
        <v/>
      </c>
      <c r="AX31" s="145" t="n">
        <v>3</v>
      </c>
      <c r="AY31" s="146" t="n">
        <v>1</v>
      </c>
      <c r="AZ31" s="146" t="n">
        <v>9</v>
      </c>
      <c r="BA31" s="146" t="n"/>
      <c r="BB31" s="602">
        <f>SUM(IF(AX31=AX$5,4,0),IF(AX31&amp;AY31=AX$5&amp;AY$5,1,0),
IF(AND(AX31=AX$5,AY$6&gt;=$D$115),1,0),
IF(AND(AY31=AX$5,AY$6&gt;=$D$115),1,0),
IF(AND(AZ31=AX$5,AY$6&gt;=$D$115),1,0),
IF(AX31&amp;BA31=BB$5,1,0),
IF(AY31=AX$5,2,0),
IF(AZ31=AX$5,1,0),
IF(OR(AX31&amp;AY31&amp;AZ31=AX$5&amp;AY$5&amp;AZ$5,AX31&amp;AY31&amp;AZ31=AX$5&amp;AZ$5&amp;AY$5,AX31&amp;AY31&amp;AZ31=AY$5&amp;AX$5&amp;AZ$5,AX31&amp;AY31&amp;AZ31=AY$5&amp;AZ$5&amp;AX$5,AX31&amp;AY31&amp;AZ31=AZ$5&amp;AX$5&amp;AY$5,AX31&amp;AY31&amp;AZ31=AZ$5&amp;AY$5&amp;AX$5),2,0),IF(AND(AX31=AX$5,AY$6&gt;=$D$129),1,0),IF(AND(AY31=AX$5,AY$6&gt;=$D$129),1,0),IF(AND(AZ31=AX$5,AY$6&gt;=$D$129),1,0),IF(AX31&amp;BA31=BA$5,4,0),IF(AND(AX31=AX$5,AY$6&lt;=$D$104),-0.5,0),IF(AND(AY31=AX$5,AY$6&lt;=$D$104),-0.5,0),IF(AND(AZ31=AX$5,AY$6&lt;=$D$104),-0.5,0))</f>
        <v/>
      </c>
      <c r="BC31" s="145" t="n">
        <v>2</v>
      </c>
      <c r="BD31" s="146" t="n">
        <v>4</v>
      </c>
      <c r="BE31" s="146" t="n">
        <v>6</v>
      </c>
      <c r="BF31" s="146" t="n"/>
      <c r="BG31" s="602">
        <f>SUM(IF(BC31=BC$5,4,0),IF(BC31&amp;BD31=BC$5&amp;BD$5,1,0),
IF(AND(BC31=BC$5,BD$6&gt;=$D$115),1,0),
IF(AND(BD31=BC$5,BD$6&gt;=$D$115),1,0),
IF(AND(BE31=BC$5,BD$6&gt;=$D$115),1,0),
IF(BC31&amp;BF31=BG$5,1,0),
IF(BD31=BC$5,2,0),
IF(BE31=BC$5,1,0),
IF(OR(BC31&amp;BD31&amp;BE31=BC$5&amp;BD$5&amp;BE$5,BC31&amp;BD31&amp;BE31=BC$5&amp;BE$5&amp;BD$5,BC31&amp;BD31&amp;BE31=BD$5&amp;BC$5&amp;BE$5,BC31&amp;BD31&amp;BE31=BD$5&amp;BE$5&amp;BC$5,BC31&amp;BD31&amp;BE31=BE$5&amp;BC$5&amp;BD$5,BC31&amp;BD31&amp;BE31=BE$5&amp;BD$5&amp;BC$5),2,0),IF(AND(BC31=BC$5,BD$6&gt;=$D$129),1,0),IF(AND(BD31=BC$5,BD$6&gt;=$D$129),1,0),IF(AND(BE31=BC$5,BD$6&gt;=$D$129),1,0),IF(BC31&amp;BF31=BF$5,4,0),IF(AND(BC31=BC$5,BD$6&lt;=$D$104),-0.5,0),IF(AND(BD31=BC$5,BD$6&lt;=$D$104),-0.5,0),IF(AND(BE31=BC$5,BD$6&lt;=$D$104),-0.5,0))</f>
        <v/>
      </c>
      <c r="BH31" s="145" t="n">
        <v>1</v>
      </c>
      <c r="BI31" s="146" t="n">
        <v>5</v>
      </c>
      <c r="BJ31" s="146" t="n">
        <v>6</v>
      </c>
      <c r="BK31" s="146" t="n"/>
      <c r="BL31" s="602">
        <f>SUM(IF(BH31=BH$5,4,0),IF(BH31&amp;BI31=BH$5&amp;BI$5,1,0),
IF(AND(BH31=BH$5,BI$6&gt;=$D$115),1,0),
IF(AND(BI31=BH$5,BI$6&gt;=$D$115),1,0),
IF(AND(BJ31=BH$5,BI$6&gt;=$D$115),1,0),
IF(BH31&amp;BK31=BL$5,1,0),
IF(BI31=BH$5,2,0),
IF(BJ31=BH$5,1,0),
IF(OR(BH31&amp;BI31&amp;BJ31=BH$5&amp;BI$5&amp;BJ$5,BH31&amp;BI31&amp;BJ31=BH$5&amp;BJ$5&amp;BI$5,BH31&amp;BI31&amp;BJ31=BI$5&amp;BH$5&amp;BJ$5,BH31&amp;BI31&amp;BJ31=BI$5&amp;BJ$5&amp;BH$5,BH31&amp;BI31&amp;BJ31=BJ$5&amp;BH$5&amp;BI$5,BH31&amp;BI31&amp;BJ31=BJ$5&amp;BI$5&amp;BH$5),2,0),IF(AND(BH31=BH$5,BI$6&gt;=$D$129),1,0),IF(AND(BI31=BH$5,BI$6&gt;=$D$129),1,0),IF(AND(BJ31=BH$5,BI$6&gt;=$D$129),1,0),IF(BH31&amp;BK31=BK$5,4,0),IF(AND(BH31=BH$5,BI$6&lt;=$D$104),-0.5,0),IF(AND(BI31=BH$5,BI$6&lt;=$D$104),-0.5,0),IF(AND(BJ31=BH$5,BI$6&lt;=$D$104),-0.5,0))</f>
        <v/>
      </c>
      <c r="BM31" s="145" t="n">
        <v>1</v>
      </c>
      <c r="BN31" s="146" t="n">
        <v>2</v>
      </c>
      <c r="BO31" s="146" t="n">
        <v>12</v>
      </c>
      <c r="BP31" s="146" t="n"/>
      <c r="BQ31" s="602">
        <f>SUM(IF(BM31=BM$5,4,0),IF(BM31&amp;BN31=BM$5&amp;BN$5,1,0),
IF(AND(BM31=BM$5,BN$6&gt;=$D$115),1,0),
IF(AND(BN31=BM$5,BN$6&gt;=$D$115),1,0),
IF(AND(BO31=BM$5,BN$6&gt;=$D$115),1,0),
IF(BM31&amp;BP31=BQ$5,1,0),
IF(BN31=BM$5,2,0),
IF(BO31=BM$5,1,0),
IF(OR(BM31&amp;BN31&amp;BO31=BM$5&amp;BN$5&amp;BO$5,BM31&amp;BN31&amp;BO31=BM$5&amp;BO$5&amp;BN$5,BM31&amp;BN31&amp;BO31=BN$5&amp;BM$5&amp;BO$5,BM31&amp;BN31&amp;BO31=BN$5&amp;BO$5&amp;BM$5,BM31&amp;BN31&amp;BO31=BO$5&amp;BM$5&amp;BN$5,BM31&amp;BN31&amp;BO31=BO$5&amp;BN$5&amp;BM$5),2,0),IF(AND(BM31=BM$5,BN$6&gt;=$D$129),1,0),IF(AND(BN31=BM$5,BN$6&gt;=$D$129),1,0),IF(AND(BO31=BM$5,BN$6&gt;=$D$129),1,0),IF(BM31&amp;BP31=BP$5,4,0),IF(AND(BM31=BM$5,BN$6&lt;=$D$104),-0.5,0),IF(AND(BN31=BM$5,BN$6&lt;=$D$104),-0.5,0),IF(AND(BO31=BM$5,BN$6&lt;=$D$104),-0.5,0))</f>
        <v/>
      </c>
      <c r="BR31" s="145" t="n"/>
      <c r="BS31" s="146" t="n"/>
      <c r="BT31" s="146" t="n"/>
      <c r="BU31" s="146" t="n"/>
      <c r="BV31" s="602">
        <f>SUM(IF(BR31=BR$5,4,0),IF(BR31&amp;BS31=BR$5&amp;BS$5,1,0),
IF(AND(BR31=BR$5,BS$6&gt;=$D$115),1,0),
IF(AND(BS31=BR$5,BS$6&gt;=$D$115),1,0),
IF(AND(BT31=BR$5,BS$6&gt;=$D$115),1,0),
IF(BR31&amp;BU31=BV$5,1,0),
IF(BS31=BR$5,2,0),
IF(BT31=BR$5,1,0),
IF(OR(BR31&amp;BS31&amp;BT31=BR$5&amp;BS$5&amp;BT$5,BR31&amp;BS31&amp;BT31=BR$5&amp;BT$5&amp;BS$5,BR31&amp;BS31&amp;BT31=BS$5&amp;BR$5&amp;BT$5,BR31&amp;BS31&amp;BT31=BS$5&amp;BT$5&amp;BR$5,BR31&amp;BS31&amp;BT31=BT$5&amp;BR$5&amp;BS$5,BR31&amp;BS31&amp;BT31=BT$5&amp;BS$5&amp;BR$5),2,0),IF(AND(BR31=BR$5,BS$6&gt;=$D$129),1,0),IF(AND(BS31=BR$5,BS$6&gt;=$D$129),1,0),IF(AND(BT31=BR$5,BS$6&gt;=$D$129),1,0),IF(BR31&amp;BU31=BU$5,4,0),IF(AND(BR31=BR$5,BS$6&lt;=$D$104),-0.5,0),IF(AND(BS31=BR$5,BS$6&lt;=$D$104),-0.5,0),IF(AND(BT31=BR$5,BS$6&lt;=$D$104),-0.5,0))</f>
        <v/>
      </c>
      <c r="BW31" s="145" t="n"/>
      <c r="BX31" s="146" t="n"/>
      <c r="BY31" s="146" t="n"/>
      <c r="BZ31" s="146" t="n"/>
      <c r="CA31" s="602">
        <f>SUM(IF(BW31=BW$5,4,0),IF(BW31&amp;BX31=BW$5&amp;BX$5,1,0),
IF(AND(BW31=BW$5,BX$6&gt;=$D$115),1,0),
IF(AND(BX31=BW$5,BX$6&gt;=$D$115),1,0),
IF(AND(BY31=BW$5,BX$6&gt;=$D$115),1,0),
IF(BW31&amp;BZ31=CA$5,1,0),
IF(BX31=BW$5,2,0),
IF(BY31=BW$5,1,0),
IF(OR(BW31&amp;BX31&amp;BY31=BW$5&amp;BX$5&amp;BY$5,BW31&amp;BX31&amp;BY31=BW$5&amp;BY$5&amp;BX$5,BW31&amp;BX31&amp;BY31=BX$5&amp;BW$5&amp;BY$5,BW31&amp;BX31&amp;BY31=BX$5&amp;BY$5&amp;BW$5,BW31&amp;BX31&amp;BY31=BY$5&amp;BW$5&amp;BX$5,BW31&amp;BX31&amp;BY31=BY$5&amp;BX$5&amp;BW$5),2,0),IF(AND(BW31=BW$5,BX$6&gt;=$D$129),1,0),IF(AND(BX31=BW$5,BX$6&gt;=$D$129),1,0),IF(AND(BY31=BW$5,BX$6&gt;=$D$129),1,0),IF(BW31&amp;BZ31=BZ$5,4,0),IF(AND(BW31=BW$5,BX$6&lt;=$D$104),-0.5,0),IF(AND(BX31=BW$5,BX$6&lt;=$D$104),-0.5,0),IF(AND(BY31=BW$5,BX$6&lt;=$D$104),-0.5,0))</f>
        <v/>
      </c>
      <c r="CB31" s="145" t="n"/>
      <c r="CC31" s="146" t="n"/>
      <c r="CD31" s="146" t="n"/>
      <c r="CE31" s="146" t="n"/>
      <c r="CF31" s="602">
        <f>SUM(IF(CB31=CB$5,4,0),IF(CB31&amp;CC31=CB$5&amp;CC$5,1,0),
IF(AND(CB31=CB$5,CC$6&gt;=$D$115),1,0),
IF(AND(CC31=CB$5,CC$6&gt;=$D$115),1,0),
IF(AND(CD31=CB$5,CC$6&gt;=$D$115),1,0),
IF(CB31&amp;CE31=CF$5,1,0),
IF(CC31=CB$5,2,0),
IF(CD31=CB$5,1,0),
IF(OR(CB31&amp;CC31&amp;CD31=CB$5&amp;CC$5&amp;CD$5,CB31&amp;CC31&amp;CD31=CB$5&amp;CD$5&amp;CC$5,CB31&amp;CC31&amp;CD31=CC$5&amp;CB$5&amp;CD$5,CB31&amp;CC31&amp;CD31=CC$5&amp;CD$5&amp;CB$5,CB31&amp;CC31&amp;CD31=CD$5&amp;CB$5&amp;CC$5,CB31&amp;CC31&amp;CD31=CD$5&amp;CC$5&amp;CB$5),2,0),IF(AND(CB31=CB$5,CC$6&gt;=$D$129),1,0),IF(AND(CC31=CB$5,CC$6&gt;=$D$129),1,0),IF(AND(CD31=CB$5,CC$6&gt;=$D$129),1,0),IF(CB31&amp;CE31=CE$5,4,0),IF(AND(CB31=CB$5,CC$6&lt;=$D$104),-0.5,0),IF(AND(CC31=CB$5,CC$6&lt;=$D$104),-0.5,0),IF(AND(CD31=CB$5,CC$6&lt;=$D$104),-0.5,0))</f>
        <v/>
      </c>
      <c r="CG31" s="164">
        <f>IF(BASE01[[#This Row],[1]]="",0,$B$4)</f>
        <v/>
      </c>
      <c r="CH31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1" s="166">
        <f>IF(BASE01[[#This Row],[Columna14]]=0,0,(CH31/CG31))</f>
        <v/>
      </c>
      <c r="CJ31" s="165">
        <f>IF(BASE01[[#This Row],[1]]="",0,$B$4)</f>
        <v/>
      </c>
      <c r="CK31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1" s="166">
        <f>IF(BASE01[[#This Row],[Columna14]]=0,0,(CK31/CJ31))</f>
        <v/>
      </c>
      <c r="CM31" s="164">
        <f>IF(BASE01[[#This Row],[1]]="",0,$B$4)</f>
        <v/>
      </c>
      <c r="CN31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1" s="166">
        <f>IF(BASE01[[#This Row],[Columna14]]=0,0,(CN31/CM31))</f>
        <v/>
      </c>
      <c r="CP31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1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Row],[Columna25]],$AX$5,BA31,"SF")+COUNTIFS(BASE01[[#This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1" s="166">
        <f>IF(BASE01[[#This Row],[Columna14]]=0,0,(CQ31/CP31))</f>
        <v/>
      </c>
      <c r="CS31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1" s="95" t="n"/>
      <c r="CU31" s="604">
        <f>SUM(CS31,CT31)</f>
        <v/>
      </c>
      <c r="CV31" s="96">
        <f>IF(BASE01[[#This Row],[TIPO]]="PREMIO",$O$3,"0,00")</f>
        <v/>
      </c>
      <c r="CW31" s="576" t="n"/>
      <c r="CY31" s="606">
        <f>IF(CZ31="","",$CZ$25)</f>
        <v/>
      </c>
      <c r="CZ31" s="392" t="n"/>
      <c r="DA31" s="392">
        <f t="array" ref="DA31">IF(CZ31="", "", IF((INDEX(E$8:CE$57, MATCH(CZ31, C$8:C$57, 0), ($CZ$25-1)*5 + 1) &amp; "") = (INDEX(E$5:CE$5, 1, ($CZ$25-1)*5 + 1) &amp; ""), 1, IF((INDEX(E$8:CE$57, MATCH(CZ31, C$8:C$57, 0), ($CZ$25-1)*5 + 2) &amp; "") = (INDEX(E$5:CE$5, 1, ($CZ$25-1)*5 + 1) &amp; ""), 2, IF((INDEX(E$8:CE$57, MATCH(CZ31, C$8:C$57, 0), ($CZ$25-1)*5 + 3) &amp; "") = (INDEX(E$5:CE$5, 1, ($CZ$25-1)*5 + 1) &amp; ""), 3, ""))))</f>
        <v/>
      </c>
      <c r="DB31" s="605">
        <f>BASE01[[#This Row],[COD]]</f>
        <v/>
      </c>
      <c r="DC31" s="395">
        <f t="array" ref="DC31">IFERROR(IF(AND(INDEX($E$8:$CE$57, MATCH($C31, $C$8:$C$57, 0), (COLUMNS($DC31:DC31)-1)*5 + 1) = INDEX($E$5:$CE$5, 1, (COLUMNS($DC31:DC31)-1)*5 + 1), INDEX($E$8:$CE$57, MATCH($C31, $C$8:$C$57, 0), (COLUMNS($DC31:DC31)-1)*5 + 4) = "F"), INDEX($CZ$8:$CZ$23, COLUMNS($DC31:DC31)), "0"), "")</f>
        <v/>
      </c>
      <c r="DD31" s="395">
        <f t="array" ref="DD31">IFERROR(IF(AND(INDEX($E$8:$CE$57, MATCH($C31, $C$8:$C$57, 0), (COLUMNS($DC31:DD31)-1)*5 + 1) = INDEX($E$5:$CE$5, 1, (COLUMNS($DC31:DD31)-1)*5 + 1), INDEX($E$8:$CE$57, MATCH($C31, $C$8:$C$57, 0), (COLUMNS($DC31:DD31)-1)*5 + 4) = "F"), INDEX($CZ$8:$CZ$23, COLUMNS($DC31:DD31)), "0"), "")</f>
        <v/>
      </c>
      <c r="DE31" s="395">
        <f t="array" ref="DE31">IFERROR(IF(AND(INDEX($E$8:$CE$57, MATCH($C31, $C$8:$C$57, 0), (COLUMNS($DC31:DE31)-1)*5 + 1) = INDEX($E$5:$CE$5, 1, (COLUMNS($DC31:DE31)-1)*5 + 1), INDEX($E$8:$CE$57, MATCH($C31, $C$8:$C$57, 0), (COLUMNS($DC31:DE31)-1)*5 + 4) = "F"), INDEX($CZ$8:$CZ$23, COLUMNS($DC31:DE31)), "0"), "")</f>
        <v/>
      </c>
      <c r="DF31" s="395">
        <f t="array" ref="DF31">IFERROR(IF(AND(INDEX($E$8:$CE$57, MATCH($C31, $C$8:$C$57, 0), (COLUMNS($DC31:DF31)-1)*5 + 1) = INDEX($E$5:$CE$5, 1, (COLUMNS($DC31:DF31)-1)*5 + 1), INDEX($E$8:$CE$57, MATCH($C31, $C$8:$C$57, 0), (COLUMNS($DC31:DF31)-1)*5 + 4) = "F"), INDEX($CZ$8:$CZ$23, COLUMNS($DC31:DF31)), "0"), "")</f>
        <v/>
      </c>
      <c r="DG31" s="395">
        <f t="array" ref="DG31">IFERROR(IF(AND(INDEX($E$8:$CE$57, MATCH($C31, $C$8:$C$57, 0), (COLUMNS($DC31:DG31)-1)*5 + 1) = INDEX($E$5:$CE$5, 1, (COLUMNS($DC31:DG31)-1)*5 + 1), INDEX($E$8:$CE$57, MATCH($C31, $C$8:$C$57, 0), (COLUMNS($DC31:DG31)-1)*5 + 4) = "F"), INDEX($CZ$8:$CZ$23, COLUMNS($DC31:DG31)), "0"), "")</f>
        <v/>
      </c>
      <c r="DH31" s="395">
        <f t="array" ref="DH31">IFERROR(IF(AND(INDEX($E$8:$CE$57, MATCH($C31, $C$8:$C$57, 0), (COLUMNS($DC31:DH31)-1)*5 + 1) = INDEX($E$5:$CE$5, 1, (COLUMNS($DC31:DH31)-1)*5 + 1), INDEX($E$8:$CE$57, MATCH($C31, $C$8:$C$57, 0), (COLUMNS($DC31:DH31)-1)*5 + 4) = "F"), INDEX($CZ$8:$CZ$23, COLUMNS($DC31:DH31)), "0"), "")</f>
        <v/>
      </c>
      <c r="DI31" s="395">
        <f t="array" ref="DI31">IFERROR(IF(AND(INDEX($E$8:$CE$57, MATCH($C31, $C$8:$C$57, 0), (COLUMNS($DC31:DI31)-1)*5 + 1) = INDEX($E$5:$CE$5, 1, (COLUMNS($DC31:DI31)-1)*5 + 1), INDEX($E$8:$CE$57, MATCH($C31, $C$8:$C$57, 0), (COLUMNS($DC31:DI31)-1)*5 + 4) = "F"), INDEX($CZ$8:$CZ$23, COLUMNS($DC31:DI31)), "0"), "")</f>
        <v/>
      </c>
      <c r="DJ31" s="395">
        <f t="array" ref="DJ31">IFERROR(IF(AND(INDEX($E$8:$CE$57, MATCH($C31, $C$8:$C$57, 0), (COLUMNS($DC31:DJ31)-1)*5 + 1) = INDEX($E$5:$CE$5, 1, (COLUMNS($DC31:DJ31)-1)*5 + 1), INDEX($E$8:$CE$57, MATCH($C31, $C$8:$C$57, 0), (COLUMNS($DC31:DJ31)-1)*5 + 4) = "F"), INDEX($CZ$8:$CZ$23, COLUMNS($DC31:DJ31)), "0"), "")</f>
        <v/>
      </c>
      <c r="DK31" s="395">
        <f t="array" ref="DK31">IFERROR(IF(AND(INDEX($E$8:$CE$57, MATCH($C31, $C$8:$C$57, 0), (COLUMNS($DC31:DK31)-1)*5 + 1) = INDEX($E$5:$CE$5, 1, (COLUMNS($DC31:DK31)-1)*5 + 1), INDEX($E$8:$CE$57, MATCH($C31, $C$8:$C$57, 0), (COLUMNS($DC31:DK31)-1)*5 + 4) = "F"), INDEX($CZ$8:$CZ$23, COLUMNS($DC31:DK31)), "0"), "")</f>
        <v/>
      </c>
      <c r="DL31" s="395">
        <f t="array" ref="DL31">IFERROR(IF(AND(INDEX($E$8:$CE$57, MATCH($C31, $C$8:$C$57, 0), (COLUMNS($DC31:DL31)-1)*5 + 1) = INDEX($E$5:$CE$5, 1, (COLUMNS($DC31:DL31)-1)*5 + 1), INDEX($E$8:$CE$57, MATCH($C31, $C$8:$C$57, 0), (COLUMNS($DC31:DL31)-1)*5 + 4) = "F"), INDEX($CZ$8:$CZ$23, COLUMNS($DC31:DL31)), "0"), "")</f>
        <v/>
      </c>
      <c r="DM31" s="395">
        <f t="array" ref="DM31">IFERROR(IF(AND(INDEX($E$8:$CE$57, MATCH($C31, $C$8:$C$57, 0), (COLUMNS($DC31:DM31)-1)*5 + 1) = INDEX($E$5:$CE$5, 1, (COLUMNS($DC31:DM31)-1)*5 + 1), INDEX($E$8:$CE$57, MATCH($C31, $C$8:$C$57, 0), (COLUMNS($DC31:DM31)-1)*5 + 4) = "F"), INDEX($CZ$8:$CZ$23, COLUMNS($DC31:DM31)), "0"), "")</f>
        <v/>
      </c>
      <c r="DN31" s="395">
        <f t="array" ref="DN31">IFERROR(IF(AND(INDEX($E$8:$CE$57, MATCH($C31, $C$8:$C$57, 0), (COLUMNS($DC31:DN31)-1)*5 + 1) = INDEX($E$5:$CE$5, 1, (COLUMNS($DC31:DN31)-1)*5 + 1), INDEX($E$8:$CE$57, MATCH($C31, $C$8:$C$57, 0), (COLUMNS($DC31:DN31)-1)*5 + 4) = "F"), INDEX($CZ$8:$CZ$23, COLUMNS($DC31:DN31)), "0"), "")</f>
        <v/>
      </c>
      <c r="DO31" s="395">
        <f t="array" ref="DO31">IFERROR(IF(AND(INDEX($E$8:$CE$57, MATCH($C31, $C$8:$C$57, 0), (COLUMNS($DC31:DO31)-1)*5 + 1) = INDEX($E$5:$CE$5, 1, (COLUMNS($DC31:DO31)-1)*5 + 1), INDEX($E$8:$CE$57, MATCH($C31, $C$8:$C$57, 0), (COLUMNS($DC31:DO31)-1)*5 + 4) = "F"), INDEX($CZ$8:$CZ$23, COLUMNS($DC31:DO31)), "0"), "")</f>
        <v/>
      </c>
      <c r="DP31" s="395">
        <f t="array" ref="DP31">IFERROR(IF(AND(INDEX($E$8:$CE$57, MATCH($C31, $C$8:$C$57, 0), (COLUMNS($DC31:DP31)-1)*5 + 1) = INDEX($E$5:$CE$5, 1, (COLUMNS($DC31:DP31)-1)*5 + 1), INDEX($E$8:$CE$57, MATCH($C31, $C$8:$C$57, 0), (COLUMNS($DC31:DP31)-1)*5 + 4) = "F"), INDEX($CZ$8:$CZ$23, COLUMNS($DC31:DP31)), "0"), "")</f>
        <v/>
      </c>
      <c r="DQ31" s="395">
        <f t="array" ref="DQ31">IFERROR(IF(AND(INDEX($E$8:$CE$57, MATCH($C31, $C$8:$C$57, 0), (COLUMNS($DC31:DQ31)-1)*5 + 1) = INDEX($E$5:$CE$5, 1, (COLUMNS($DC31:DQ31)-1)*5 + 1), INDEX($E$8:$CE$57, MATCH($C31, $C$8:$C$57, 0), (COLUMNS($DC31:DQ31)-1)*5 + 4) = "F"), INDEX($CZ$8:$CZ$23, COLUMNS($DC31:DQ31)), "0"), "")</f>
        <v/>
      </c>
      <c r="DR31" s="395">
        <f t="array" ref="DR31">IFERROR(IF(AND(INDEX($E$8:$CE$57, MATCH($C31, $C$8:$C$57, 0), (COLUMNS($DC31:DR31)-1)*5 + 1) = INDEX($E$5:$CE$5, 1, (COLUMNS($DC31:DR31)-1)*5 + 1), INDEX($E$8:$CE$57, MATCH($C31, $C$8:$C$57, 0), (COLUMNS($DC31:DR31)-1)*5 + 4) = "F"), INDEX($CZ$8:$CZ$23, COLUMNS($DC31:DR31)), "0"), "")</f>
        <v/>
      </c>
      <c r="DT31" s="605">
        <f>BASE01[[#This Row],[COD]]</f>
        <v/>
      </c>
      <c r="DU31" s="395">
        <f t="array" ref="DU31">IFERROR(IF(AND(INDEX($E$8:$CE$57, MATCH($C31, $C$8:$C$57, 0), (COLUMNS($DU31:DU31)-1)*5 + 1) = INDEX($E$5:$CE$5, 1, (COLUMNS($DU31:DU31)-1)*5 + 1), INDEX($E$8:$CE$57, MATCH($C31, $C$8:$C$57, 0), (COLUMNS($DU31:DU31)-1)*5 + 4) = "SF"), INDEX($CZ$8:$CZ$23, COLUMNS($DU31:DU31)), "0"), "")</f>
        <v/>
      </c>
      <c r="DV31" s="395">
        <f t="array" ref="DV31">IFERROR(IF(AND(INDEX($E$8:$CE$57, MATCH($C31, $C$8:$C$57, 0), (COLUMNS($DU31:DV31)-1)*5 + 1) = INDEX($E$5:$CE$5, 1, (COLUMNS($DU31:DV31)-1)*5 + 1), INDEX($E$8:$CE$57, MATCH($C31, $C$8:$C$57, 0), (COLUMNS($DU31:DV31)-1)*5 + 4) = "SF"), INDEX($CZ$8:$CZ$23, COLUMNS($DU31:DV31)), "0"), "")</f>
        <v/>
      </c>
      <c r="DW31" s="395">
        <f t="array" ref="DW31">IFERROR(IF(AND(INDEX($E$8:$CE$57, MATCH($C31, $C$8:$C$57, 0), (COLUMNS($DU31:DW31)-1)*5 + 1) = INDEX($E$5:$CE$5, 1, (COLUMNS($DU31:DW31)-1)*5 + 1), INDEX($E$8:$CE$57, MATCH($C31, $C$8:$C$57, 0), (COLUMNS($DU31:DW31)-1)*5 + 4) = "SF"), INDEX($CZ$8:$CZ$23, COLUMNS($DU31:DW31)), "0"), "")</f>
        <v/>
      </c>
      <c r="DX31" s="395">
        <f t="array" ref="DX31">IFERROR(IF(AND(INDEX($E$8:$CE$57, MATCH($C31, $C$8:$C$57, 0), (COLUMNS($DU31:DX31)-1)*5 + 1) = INDEX($E$5:$CE$5, 1, (COLUMNS($DU31:DX31)-1)*5 + 1), INDEX($E$8:$CE$57, MATCH($C31, $C$8:$C$57, 0), (COLUMNS($DU31:DX31)-1)*5 + 4) = "SF"), INDEX($CZ$8:$CZ$23, COLUMNS($DU31:DX31)), "0"), "")</f>
        <v/>
      </c>
      <c r="DY31" s="395">
        <f t="array" ref="DY31">IFERROR(IF(AND(INDEX($E$8:$CE$57, MATCH($C31, $C$8:$C$57, 0), (COLUMNS($DU31:DY31)-1)*5 + 1) = INDEX($E$5:$CE$5, 1, (COLUMNS($DU31:DY31)-1)*5 + 1), INDEX($E$8:$CE$57, MATCH($C31, $C$8:$C$57, 0), (COLUMNS($DU31:DY31)-1)*5 + 4) = "SF"), INDEX($CZ$8:$CZ$23, COLUMNS($DU31:DY31)), "0"), "")</f>
        <v/>
      </c>
      <c r="DZ31" s="395">
        <f t="array" ref="DZ31">IFERROR(IF(AND(INDEX($E$8:$CE$57, MATCH($C31, $C$8:$C$57, 0), (COLUMNS($DU31:DZ31)-1)*5 + 1) = INDEX($E$5:$CE$5, 1, (COLUMNS($DU31:DZ31)-1)*5 + 1), INDEX($E$8:$CE$57, MATCH($C31, $C$8:$C$57, 0), (COLUMNS($DU31:DZ31)-1)*5 + 4) = "SF"), INDEX($CZ$8:$CZ$23, COLUMNS($DU31:DZ31)), "0"), "")</f>
        <v/>
      </c>
      <c r="EA31" s="395">
        <f t="array" ref="EA31">IFERROR(IF(AND(INDEX($E$8:$CE$57, MATCH($C31, $C$8:$C$57, 0), (COLUMNS($DU31:EA31)-1)*5 + 1) = INDEX($E$5:$CE$5, 1, (COLUMNS($DU31:EA31)-1)*5 + 1), INDEX($E$8:$CE$57, MATCH($C31, $C$8:$C$57, 0), (COLUMNS($DU31:EA31)-1)*5 + 4) = "SF"), INDEX($CZ$8:$CZ$23, COLUMNS($DU31:EA31)), "0"), "")</f>
        <v/>
      </c>
      <c r="EB31" s="395">
        <f t="array" ref="EB31">IFERROR(IF(AND(INDEX($E$8:$CE$57, MATCH($C31, $C$8:$C$57, 0), (COLUMNS($DU31:EB31)-1)*5 + 1) = INDEX($E$5:$CE$5, 1, (COLUMNS($DU31:EB31)-1)*5 + 1), INDEX($E$8:$CE$57, MATCH($C31, $C$8:$C$57, 0), (COLUMNS($DU31:EB31)-1)*5 + 4) = "SF"), INDEX($CZ$8:$CZ$23, COLUMNS($DU31:EB31)), "0"), "")</f>
        <v/>
      </c>
      <c r="EC31" s="395">
        <f t="array" ref="EC31">IFERROR(IF(AND(INDEX($E$8:$CE$57, MATCH($C31, $C$8:$C$57, 0), (COLUMNS($DU31:EC31)-1)*5 + 1) = INDEX($E$5:$CE$5, 1, (COLUMNS($DU31:EC31)-1)*5 + 1), INDEX($E$8:$CE$57, MATCH($C31, $C$8:$C$57, 0), (COLUMNS($DU31:EC31)-1)*5 + 4) = "SF"), INDEX($CZ$8:$CZ$23, COLUMNS($DU31:EC31)), "0"), "")</f>
        <v/>
      </c>
      <c r="ED31" s="395">
        <f t="array" ref="ED31">IFERROR(IF(AND(INDEX($E$8:$CE$57, MATCH($C31, $C$8:$C$57, 0), (COLUMNS($DU31:ED31)-1)*5 + 1) = INDEX($E$5:$CE$5, 1, (COLUMNS($DU31:ED31)-1)*5 + 1), INDEX($E$8:$CE$57, MATCH($C31, $C$8:$C$57, 0), (COLUMNS($DU31:ED31)-1)*5 + 4) = "SF"), INDEX($CZ$8:$CZ$23, COLUMNS($DU31:ED31)), "0"), "")</f>
        <v/>
      </c>
      <c r="EE31" s="395">
        <f t="array" ref="EE31">IFERROR(IF(AND(INDEX($E$8:$CE$57, MATCH($C31, $C$8:$C$57, 0), (COLUMNS($DU31:EE31)-1)*5 + 1) = INDEX($E$5:$CE$5, 1, (COLUMNS($DU31:EE31)-1)*5 + 1), INDEX($E$8:$CE$57, MATCH($C31, $C$8:$C$57, 0), (COLUMNS($DU31:EE31)-1)*5 + 4) = "SF"), INDEX($CZ$8:$CZ$23, COLUMNS($DU31:EE31)), "0"), "")</f>
        <v/>
      </c>
      <c r="EF31" s="395">
        <f t="array" ref="EF31">IFERROR(IF(AND(INDEX($E$8:$CE$57, MATCH($C31, $C$8:$C$57, 0), (COLUMNS($DU31:EF31)-1)*5 + 1) = INDEX($E$5:$CE$5, 1, (COLUMNS($DU31:EF31)-1)*5 + 1), INDEX($E$8:$CE$57, MATCH($C31, $C$8:$C$57, 0), (COLUMNS($DU31:EF31)-1)*5 + 4) = "SF"), INDEX($CZ$8:$CZ$23, COLUMNS($DU31:EF31)), "0"), "")</f>
        <v/>
      </c>
      <c r="EG31" s="395">
        <f t="array" ref="EG31">IFERROR(IF(AND(INDEX($E$8:$CE$57, MATCH($C31, $C$8:$C$57, 0), (COLUMNS($DU31:EG31)-1)*5 + 1) = INDEX($E$5:$CE$5, 1, (COLUMNS($DU31:EG31)-1)*5 + 1), INDEX($E$8:$CE$57, MATCH($C31, $C$8:$C$57, 0), (COLUMNS($DU31:EG31)-1)*5 + 4) = "SF"), INDEX($CZ$8:$CZ$23, COLUMNS($DU31:EG31)), "0"), "")</f>
        <v/>
      </c>
      <c r="EH31" s="395">
        <f t="array" ref="EH31">IFERROR(IF(AND(INDEX($E$8:$CE$57, MATCH($C31, $C$8:$C$57, 0), (COLUMNS($DU31:EH31)-1)*5 + 1) = INDEX($E$5:$CE$5, 1, (COLUMNS($DU31:EH31)-1)*5 + 1), INDEX($E$8:$CE$57, MATCH($C31, $C$8:$C$57, 0), (COLUMNS($DU31:EH31)-1)*5 + 4) = "SF"), INDEX($CZ$8:$CZ$23, COLUMNS($DU31:EH31)), "0"), "")</f>
        <v/>
      </c>
      <c r="EI31" s="395">
        <f t="array" ref="EI31">IFERROR(IF(AND(INDEX($E$8:$CE$57, MATCH($C31, $C$8:$C$57, 0), (COLUMNS($DU31:EI31)-1)*5 + 1) = INDEX($E$5:$CE$5, 1, (COLUMNS($DU31:EI31)-1)*5 + 1), INDEX($E$8:$CE$57, MATCH($C31, $C$8:$C$57, 0), (COLUMNS($DU31:EI31)-1)*5 + 4) = "SF"), INDEX($CZ$8:$CZ$23, COLUMNS($DU31:EI31)), "0"), "")</f>
        <v/>
      </c>
      <c r="EJ31" s="395">
        <f t="array" ref="EJ31">IFERROR(IF(AND(INDEX($E$8:$CE$57, MATCH($C31, $C$8:$C$57, 0), (COLUMNS($DU31:EJ31)-1)*5 + 1) = INDEX($E$5:$CE$5, 1, (COLUMNS($DU31:EJ31)-1)*5 + 1), INDEX($E$8:$CE$57, MATCH($C31, $C$8:$C$57, 0), (COLUMNS($DU31:EJ31)-1)*5 + 4) = "SF"), INDEX($CZ$8:$CZ$23, COLUMNS($DU31:EJ31)), "0"), "")</f>
        <v/>
      </c>
    </row>
    <row r="32" ht="19.5" customHeight="1" s="568">
      <c r="A32" s="576" t="n"/>
      <c r="B32" s="92">
        <f>IF(BASE01[[#This Row],[COD]]&lt;&gt;"",B31+1,"")</f>
        <v/>
      </c>
      <c r="C32" s="601" t="inlineStr">
        <is>
          <t>COD 25</t>
        </is>
      </c>
      <c r="D32" s="93">
        <f t="array" ref="D32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2" s="145" t="n">
        <v>8</v>
      </c>
      <c r="F32" s="146" t="n">
        <v>6</v>
      </c>
      <c r="G32" s="146" t="n">
        <v>1</v>
      </c>
      <c r="H32" s="146" t="n"/>
      <c r="I32" s="602">
        <f>SUM(IF(E32=E$5,4,0),IF(E32&amp;F32=E$5&amp;F$5,1,0),
IF(AND(E32=E$5,F$6&gt;=$D$115),1,0),
IF(AND(F32=E$5,F$6&gt;=$D$115),1,0),
IF(AND(G32=E$5,F$6&gt;=$D$115),1,0),
IF(E32&amp;H32=I$5,1,0),
IF(F32=E$5,2,0),
IF(G32=E$5,1,0),
IF(OR(E32&amp;F32&amp;G32=E$5&amp;F$5&amp;G$5,E32&amp;F32&amp;G32=E$5&amp;G$5&amp;F$5,E32&amp;F32&amp;G32=F$5&amp;E$5&amp;G$5,E32&amp;F32&amp;G32=F$5&amp;G$5&amp;E$5,E32&amp;F32&amp;G32=G$5&amp;E$5&amp;F$5,E32&amp;F32&amp;G32=G$5&amp;F$5&amp;E$5),2,0),IF(AND(E32=E$5,F$6&gt;=$D$129),1,0),IF(AND(F32=E$5,F$6&gt;=$D$129),1,0),IF(AND(G32=E$5,F$6&gt;=$D$129),1,0),IF(E32&amp;H32=H$5,4,0),IF(AND(E32=E$5,F$6&lt;=$D$104),-0.5,0),IF(AND(F32=E$5,F$6&lt;=$D$104),-0.5,0),IF(AND(G32=E$5,F$6&lt;=$D$104),-0.5,0))</f>
        <v/>
      </c>
      <c r="J32" s="145" t="n">
        <v>8</v>
      </c>
      <c r="K32" s="146" t="n">
        <v>3</v>
      </c>
      <c r="L32" s="146" t="n">
        <v>5</v>
      </c>
      <c r="M32" s="146" t="n"/>
      <c r="N32" s="602">
        <f>SUM(IF(J32=J$5,4,0),IF(J32&amp;K32=J$5&amp;K$5,1,0),
IF(AND(J32=J$5,K$6&gt;=$D$115),1,0),
IF(AND(K32=J$5,K$6&gt;=$D$115),1,0),
IF(AND(L32=J$5,K$6&gt;=$D$115),1,0),
IF(J32&amp;M32=N$5,1,0),
IF(K32=J$5,2,0),
IF(L32=J$5,1,0),
IF(OR(J32&amp;K32&amp;L32=J$5&amp;K$5&amp;L$5,J32&amp;K32&amp;L32=J$5&amp;L$5&amp;K$5,J32&amp;K32&amp;L32=K$5&amp;J$5&amp;L$5,J32&amp;K32&amp;L32=K$5&amp;L$5&amp;J$5,J32&amp;K32&amp;L32=L$5&amp;J$5&amp;K$5,J32&amp;K32&amp;L32=L$5&amp;K$5&amp;J$5),2,0),IF(AND(J32=J$5,K$6&gt;=$D$129),1,0),IF(AND(K32=J$5,K$6&gt;=$D$129),1,0),IF(AND(L32=J$5,K$6&gt;=$D$129),1,0),IF(J32&amp;M32=M$5,4,0),IF(AND(J32=J$5,K$6&lt;=$D$104),-0.5,0),IF(AND(K32=J$5,K$6&lt;=$D$104),-0.5,0),IF(AND(L32=J$5,K$6&lt;=$D$104),-0.5,0))</f>
        <v/>
      </c>
      <c r="O32" s="145" t="n">
        <v>2</v>
      </c>
      <c r="P32" s="146" t="n">
        <v>8</v>
      </c>
      <c r="Q32" s="146" t="n">
        <v>6</v>
      </c>
      <c r="R32" s="146" t="n"/>
      <c r="S32" s="602">
        <f>SUM(IF(O32=O$5,4,0),IF(O32&amp;P32=O$5&amp;P$5,1,0),
IF(AND(O32=O$5,P$6&gt;=$D$115),1,0),
IF(AND(P32=O$5,P$6&gt;=$D$115),1,0),
IF(AND(Q32=O$5,P$6&gt;=$D$115),1,0),
IF(O32&amp;R32=S$5,1,0),
IF(P32=O$5,2,0),
IF(Q32=O$5,1,0),
IF(OR(O32&amp;P32&amp;Q32=O$5&amp;P$5&amp;Q$5,O32&amp;P32&amp;Q32=O$5&amp;Q$5&amp;P$5,O32&amp;P32&amp;Q32=P$5&amp;O$5&amp;Q$5,O32&amp;P32&amp;Q32=P$5&amp;Q$5&amp;O$5,O32&amp;P32&amp;Q32=Q$5&amp;O$5&amp;P$5,O32&amp;P32&amp;Q32=Q$5&amp;P$5&amp;O$5),2,0),IF(AND(O32=O$5,P$6&gt;=$D$129),1,0),IF(AND(P32=O$5,P$6&gt;=$D$129),1,0),IF(AND(Q32=O$5,P$6&gt;=$D$129),1,0),IF(O32&amp;R32=R$5,4,0),IF(AND(O32=O$5,P$6&lt;=$D$104),-0.5,0),IF(AND(P32=O$5,P$6&lt;=$D$104),-0.5,0),IF(AND(Q32=O$5,P$6&lt;=$D$104),-0.5,0))</f>
        <v/>
      </c>
      <c r="T32" s="145" t="n">
        <v>6</v>
      </c>
      <c r="U32" s="146" t="n"/>
      <c r="V32" s="146" t="n"/>
      <c r="W32" s="146" t="inlineStr">
        <is>
          <t>SF</t>
        </is>
      </c>
      <c r="X32" s="602">
        <f>SUM(IF(T32=T$5,4,0),IF(T32&amp;U32=T$5&amp;U$5,1,0),
IF(AND(T32=T$5,U$6&gt;=$D$115),1,0),
IF(AND(U32=T$5,U$6&gt;=$D$115),1,0),
IF(AND(V32=T$5,U$6&gt;=$D$115),1,0),
IF(T32&amp;W32=X$5,1,0),
IF(U32=T$5,2,0),
IF(V32=T$5,1,0),
IF(OR(T32&amp;U32&amp;V32=T$5&amp;U$5&amp;V$5,T32&amp;U32&amp;V32=T$5&amp;V$5&amp;U$5,T32&amp;U32&amp;V32=U$5&amp;T$5&amp;V$5,T32&amp;U32&amp;V32=U$5&amp;V$5&amp;T$5,T32&amp;U32&amp;V32=V$5&amp;T$5&amp;U$5,T32&amp;U32&amp;V32=V$5&amp;U$5&amp;T$5),2,0),IF(AND(T32=T$5,U$6&gt;=$D$129),1,0),IF(AND(U32=T$5,U$6&gt;=$D$129),1,0),IF(AND(V32=T$5,U$6&gt;=$D$129),1,0),IF(T32&amp;W32=W$5,4,0),IF(AND(T32=T$5,U$6&lt;=$D$104),-0.5,0),IF(AND(U32=T$5,U$6&lt;=$D$104),-0.5,0),IF(AND(V32=T$5,U$6&lt;=$D$104),-0.5,0))</f>
        <v/>
      </c>
      <c r="Y32" s="145" t="n">
        <v>5</v>
      </c>
      <c r="Z32" s="146" t="n">
        <v>3</v>
      </c>
      <c r="AA32" s="146" t="n">
        <v>10</v>
      </c>
      <c r="AB32" s="146" t="inlineStr">
        <is>
          <t>F</t>
        </is>
      </c>
      <c r="AC32" s="602">
        <f>SUM(IF(Y32=Y$5,4,0),IF(Y32&amp;Z32=Y$5&amp;Z$5,1,0),
IF(AND(Y32=Y$5,Z$6&gt;=$D$115),1,0),
IF(AND(Z32=Y$5,Z$6&gt;=$D$115),1,0),
IF(AND(AA32=Y$5,Z$6&gt;=$D$115),1,0),
IF(Y32&amp;AB32=AC$5,1,0),
IF(Z32=Y$5,2,0),
IF(AA32=Y$5,1,0),
IF(OR(Y32&amp;Z32&amp;AA32=Y$5&amp;Z$5&amp;AA$5,Y32&amp;Z32&amp;AA32=Y$5&amp;AA$5&amp;Z$5,Y32&amp;Z32&amp;AA32=Z$5&amp;Y$5&amp;AA$5,Y32&amp;Z32&amp;AA32=Z$5&amp;AA$5&amp;Y$5,Y32&amp;Z32&amp;AA32=AA$5&amp;Y$5&amp;Z$5,Y32&amp;Z32&amp;AA32=AA$5&amp;Z$5&amp;Y$5),2,0),IF(AND(Y32=Y$5,Z$6&gt;=$D$129),1,0),IF(AND(Z32=Y$5,Z$6&gt;=$D$129),1,0),IF(AND(AA32=Y$5,Z$6&gt;=$D$129),1,0),IF(Y32&amp;AB32=AB$5,4,0),IF(AND(Y32=Y$5,Z$6&lt;=$D$104),-0.5,0),IF(AND(Z32=Y$5,Z$6&lt;=$D$104),-0.5,0),IF(AND(AA32=Y$5,Z$6&lt;=$D$104),-0.5,0))</f>
        <v/>
      </c>
      <c r="AD32" s="145" t="n">
        <v>2</v>
      </c>
      <c r="AE32" s="146" t="n">
        <v>5</v>
      </c>
      <c r="AF32" s="146" t="n">
        <v>7</v>
      </c>
      <c r="AG32" s="146" t="n"/>
      <c r="AH32" s="602">
        <f>SUM(IF(AD32=AD$5,4,0),IF(AD32&amp;AE32=AD$5&amp;AE$5,1,0),
IF(AND(AD32=AD$5,AE$6&gt;=$D$115),1,0),
IF(AND(AE32=AD$5,AE$6&gt;=$D$115),1,0),
IF(AND(AF32=AD$5,AE$6&gt;=$D$115),1,0),
IF(AD32&amp;AG32=AH$5,1,0),
IF(AE32=AD$5,2,0),
IF(AF32=AD$5,1,0),
IF(OR(AD32&amp;AE32&amp;AF32=AD$5&amp;AE$5&amp;AF$5,AD32&amp;AE32&amp;AF32=AD$5&amp;AF$5&amp;AE$5,AD32&amp;AE32&amp;AF32=AE$5&amp;AD$5&amp;AF$5,AD32&amp;AE32&amp;AF32=AE$5&amp;AF$5&amp;AD$5,AD32&amp;AE32&amp;AF32=AF$5&amp;AD$5&amp;AE$5,AD32&amp;AE32&amp;AF32=AF$5&amp;AE$5&amp;AD$5),2,0),IF(AND(AD32=AD$5,AE$6&gt;=$D$129),1,0),IF(AND(AE32=AD$5,AE$6&gt;=$D$129),1,0),IF(AND(AF32=AD$5,AE$6&gt;=$D$129),1,0),IF(AD32&amp;AG32=AG$5,4,0),IF(AND(AD32=AD$5,AE$6&lt;=$D$104),-0.5,0),IF(AND(AE32=AD$5,AE$6&lt;=$D$104),-0.5,0),IF(AND(AF32=AD$5,AE$6&lt;=$D$104),-0.5,0))</f>
        <v/>
      </c>
      <c r="AI32" s="145" t="n">
        <v>4</v>
      </c>
      <c r="AJ32" s="146" t="n">
        <v>3</v>
      </c>
      <c r="AK32" s="146" t="n">
        <v>7</v>
      </c>
      <c r="AL32" s="146" t="n"/>
      <c r="AM32" s="602">
        <f>SUM(IF(AI32=AI$5,4,0),IF(AI32&amp;AJ32=AI$5&amp;AJ$5,1,0),
IF(AND(AI32=AI$5,AJ$6&gt;=$D$115),1,0),
IF(AND(AJ32=AI$5,AJ$6&gt;=$D$115),1,0),
IF(AND(AK32=AI$5,AJ$6&gt;=$D$115),1,0),
IF(AI32&amp;AL32=AM$5,1,0),
IF(AJ32=AI$5,2,0),
IF(AK32=AI$5,1,0),
IF(OR(AI32&amp;AJ32&amp;AK32=AI$5&amp;AJ$5&amp;AK$5,AI32&amp;AJ32&amp;AK32=AI$5&amp;AK$5&amp;AJ$5,AI32&amp;AJ32&amp;AK32=AJ$5&amp;AI$5&amp;AK$5,AI32&amp;AJ32&amp;AK32=AJ$5&amp;AK$5&amp;AI$5,AI32&amp;AJ32&amp;AK32=AK$5&amp;AI$5&amp;AJ$5,AI32&amp;AJ32&amp;AK32=AK$5&amp;AJ$5&amp;AI$5),2,0),IF(AND(AI32=AI$5,AJ$6&gt;=$D$129),1,0),IF(AND(AJ32=AI$5,AJ$6&gt;=$D$129),1,0),IF(AND(AK32=AI$5,AJ$6&gt;=$D$129),1,0),IF(AI32&amp;AL32=AL$5,4,0),IF(AND(AI32=AI$5,AJ$6&lt;=$D$104),-0.5,0),IF(AND(AJ32=AI$5,AJ$6&lt;=$D$104),-0.5,0),IF(AND(AK32=AI$5,AJ$6&lt;=$D$104),-0.5,0))</f>
        <v/>
      </c>
      <c r="AN32" s="145" t="n">
        <v>11</v>
      </c>
      <c r="AO32" s="146" t="n">
        <v>9</v>
      </c>
      <c r="AP32" s="146" t="n">
        <v>6</v>
      </c>
      <c r="AQ32" s="146" t="n"/>
      <c r="AR32" s="602">
        <f>SUM(IF(AN32=AN$5,4,0),IF(AN32&amp;AO32=AN$5&amp;AO$5,1,0),
IF(AND(AN32=AN$5,AO$6&gt;=$D$115),1,0),
IF(AND(AO32=AN$5,AO$6&gt;=$D$115),1,0),
IF(AND(AP32=AN$5,AO$6&gt;=$D$115),1,0),
IF(AN32&amp;AQ32=AR$5,1,0),
IF(AO32=AN$5,2,0),
IF(AP32=AN$5,1,0),
IF(OR(AN32&amp;AO32&amp;AP32=AN$5&amp;AO$5&amp;AP$5,AN32&amp;AO32&amp;AP32=AN$5&amp;AP$5&amp;AO$5,AN32&amp;AO32&amp;AP32=AO$5&amp;AN$5&amp;AP$5,AN32&amp;AO32&amp;AP32=AO$5&amp;AP$5&amp;AN$5,AN32&amp;AO32&amp;AP32=AP$5&amp;AN$5&amp;AO$5,AN32&amp;AO32&amp;AP32=AP$5&amp;AO$5&amp;AN$5),2,0),IF(AND(AN32=AN$5,AO$6&gt;=$D$129),1,0),IF(AND(AO32=AN$5,AO$6&gt;=$D$129),1,0),IF(AND(AP32=AN$5,AO$6&gt;=$D$129),1,0),IF(AN32&amp;AQ32=AQ$5,4,0),IF(AND(AN32=AN$5,AO$6&lt;=$D$104),-0.5,0),IF(AND(AO32=AN$5,AO$6&lt;=$D$104),-0.5,0),IF(AND(AP32=AN$5,AO$6&lt;=$D$104),-0.5,0))</f>
        <v/>
      </c>
      <c r="AS32" s="145" t="n">
        <v>1</v>
      </c>
      <c r="AT32" s="146" t="n">
        <v>7</v>
      </c>
      <c r="AU32" s="146" t="n">
        <v>2</v>
      </c>
      <c r="AV32" s="146" t="n"/>
      <c r="AW32" s="602">
        <f>SUM(IF(AS32=AS$5,4,0),IF(AS32&amp;AT32=AS$5&amp;AT$5,1,0),
IF(AND(AS32=AS$5,AT$6&gt;=$D$115),1,0),
IF(AND(AT32=AS$5,AT$6&gt;=$D$115),1,0),
IF(AND(AU32=AS$5,AT$6&gt;=$D$115),1,0),
IF(AS32&amp;AV32=AW$5,1,0),
IF(AT32=AS$5,2,0),
IF(AU32=AS$5,1,0),
IF(OR(AS32&amp;AT32&amp;AU32=AS$5&amp;AT$5&amp;AU$5,AS32&amp;AT32&amp;AU32=AS$5&amp;AU$5&amp;AT$5,AS32&amp;AT32&amp;AU32=AT$5&amp;AS$5&amp;AU$5,AS32&amp;AT32&amp;AU32=AT$5&amp;AU$5&amp;AS$5,AS32&amp;AT32&amp;AU32=AU$5&amp;AS$5&amp;AT$5,AS32&amp;AT32&amp;AU32=AU$5&amp;AT$5&amp;AS$5),2,0),IF(AND(AS32=AS$5,AT$6&gt;=$D$129),1,0),IF(AND(AT32=AS$5,AT$6&gt;=$D$129),1,0),IF(AND(AU32=AS$5,AT$6&gt;=$D$129),1,0),IF(AS32&amp;AV32=AV$5,4,0),IF(AND(AS32=AS$5,AT$6&lt;=$D$104),-0.5,0),IF(AND(AT32=AS$5,AT$6&lt;=$D$104),-0.5,0),IF(AND(AU32=AS$5,AT$6&lt;=$D$104),-0.5,0))</f>
        <v/>
      </c>
      <c r="AX32" s="145" t="n">
        <v>1</v>
      </c>
      <c r="AY32" s="146" t="n">
        <v>9</v>
      </c>
      <c r="AZ32" s="146" t="n">
        <v>2</v>
      </c>
      <c r="BA32" s="146" t="n"/>
      <c r="BB32" s="602">
        <f>SUM(IF(AX32=AX$5,4,0),IF(AX32&amp;AY32=AX$5&amp;AY$5,1,0),
IF(AND(AX32=AX$5,AY$6&gt;=$D$115),1,0),
IF(AND(AY32=AX$5,AY$6&gt;=$D$115),1,0),
IF(AND(AZ32=AX$5,AY$6&gt;=$D$115),1,0),
IF(AX32&amp;BA32=BB$5,1,0),
IF(AY32=AX$5,2,0),
IF(AZ32=AX$5,1,0),
IF(OR(AX32&amp;AY32&amp;AZ32=AX$5&amp;AY$5&amp;AZ$5,AX32&amp;AY32&amp;AZ32=AX$5&amp;AZ$5&amp;AY$5,AX32&amp;AY32&amp;AZ32=AY$5&amp;AX$5&amp;AZ$5,AX32&amp;AY32&amp;AZ32=AY$5&amp;AZ$5&amp;AX$5,AX32&amp;AY32&amp;AZ32=AZ$5&amp;AX$5&amp;AY$5,AX32&amp;AY32&amp;AZ32=AZ$5&amp;AY$5&amp;AX$5),2,0),IF(AND(AX32=AX$5,AY$6&gt;=$D$129),1,0),IF(AND(AY32=AX$5,AY$6&gt;=$D$129),1,0),IF(AND(AZ32=AX$5,AY$6&gt;=$D$129),1,0),IF(AX32&amp;BA32=BA$5,4,0),IF(AND(AX32=AX$5,AY$6&lt;=$D$104),-0.5,0),IF(AND(AY32=AX$5,AY$6&lt;=$D$104),-0.5,0),IF(AND(AZ32=AX$5,AY$6&lt;=$D$104),-0.5,0))</f>
        <v/>
      </c>
      <c r="BC32" s="145" t="n">
        <v>4</v>
      </c>
      <c r="BD32" s="146" t="n">
        <v>3</v>
      </c>
      <c r="BE32" s="146" t="n">
        <v>7</v>
      </c>
      <c r="BF32" s="146" t="inlineStr">
        <is>
          <t>F</t>
        </is>
      </c>
      <c r="BG32" s="602">
        <f>SUM(IF(BC32=BC$5,4,0),IF(BC32&amp;BD32=BC$5&amp;BD$5,1,0),
IF(AND(BC32=BC$5,BD$6&gt;=$D$115),1,0),
IF(AND(BD32=BC$5,BD$6&gt;=$D$115),1,0),
IF(AND(BE32=BC$5,BD$6&gt;=$D$115),1,0),
IF(BC32&amp;BF32=BG$5,1,0),
IF(BD32=BC$5,2,0),
IF(BE32=BC$5,1,0),
IF(OR(BC32&amp;BD32&amp;BE32=BC$5&amp;BD$5&amp;BE$5,BC32&amp;BD32&amp;BE32=BC$5&amp;BE$5&amp;BD$5,BC32&amp;BD32&amp;BE32=BD$5&amp;BC$5&amp;BE$5,BC32&amp;BD32&amp;BE32=BD$5&amp;BE$5&amp;BC$5,BC32&amp;BD32&amp;BE32=BE$5&amp;BC$5&amp;BD$5,BC32&amp;BD32&amp;BE32=BE$5&amp;BD$5&amp;BC$5),2,0),IF(AND(BC32=BC$5,BD$6&gt;=$D$129),1,0),IF(AND(BD32=BC$5,BD$6&gt;=$D$129),1,0),IF(AND(BE32=BC$5,BD$6&gt;=$D$129),1,0),IF(BC32&amp;BF32=BF$5,4,0),IF(AND(BC32=BC$5,BD$6&lt;=$D$104),-0.5,0),IF(AND(BD32=BC$5,BD$6&lt;=$D$104),-0.5,0),IF(AND(BE32=BC$5,BD$6&lt;=$D$104),-0.5,0))</f>
        <v/>
      </c>
      <c r="BH32" s="145" t="n">
        <v>1</v>
      </c>
      <c r="BI32" s="146" t="n">
        <v>2</v>
      </c>
      <c r="BJ32" s="146" t="n">
        <v>5</v>
      </c>
      <c r="BK32" s="146" t="n"/>
      <c r="BL32" s="602">
        <f>SUM(IF(BH32=BH$5,4,0),IF(BH32&amp;BI32=BH$5&amp;BI$5,1,0),
IF(AND(BH32=BH$5,BI$6&gt;=$D$115),1,0),
IF(AND(BI32=BH$5,BI$6&gt;=$D$115),1,0),
IF(AND(BJ32=BH$5,BI$6&gt;=$D$115),1,0),
IF(BH32&amp;BK32=BL$5,1,0),
IF(BI32=BH$5,2,0),
IF(BJ32=BH$5,1,0),
IF(OR(BH32&amp;BI32&amp;BJ32=BH$5&amp;BI$5&amp;BJ$5,BH32&amp;BI32&amp;BJ32=BH$5&amp;BJ$5&amp;BI$5,BH32&amp;BI32&amp;BJ32=BI$5&amp;BH$5&amp;BJ$5,BH32&amp;BI32&amp;BJ32=BI$5&amp;BJ$5&amp;BH$5,BH32&amp;BI32&amp;BJ32=BJ$5&amp;BH$5&amp;BI$5,BH32&amp;BI32&amp;BJ32=BJ$5&amp;BI$5&amp;BH$5),2,0),IF(AND(BH32=BH$5,BI$6&gt;=$D$129),1,0),IF(AND(BI32=BH$5,BI$6&gt;=$D$129),1,0),IF(AND(BJ32=BH$5,BI$6&gt;=$D$129),1,0),IF(BH32&amp;BK32=BK$5,4,0),IF(AND(BH32=BH$5,BI$6&lt;=$D$104),-0.5,0),IF(AND(BI32=BH$5,BI$6&lt;=$D$104),-0.5,0),IF(AND(BJ32=BH$5,BI$6&lt;=$D$104),-0.5,0))</f>
        <v/>
      </c>
      <c r="BM32" s="145" t="n">
        <v>12</v>
      </c>
      <c r="BN32" s="146" t="n">
        <v>1</v>
      </c>
      <c r="BO32" s="146" t="n">
        <v>3</v>
      </c>
      <c r="BP32" s="146" t="n"/>
      <c r="BQ32" s="602">
        <f>SUM(IF(BM32=BM$5,4,0),IF(BM32&amp;BN32=BM$5&amp;BN$5,1,0),
IF(AND(BM32=BM$5,BN$6&gt;=$D$115),1,0),
IF(AND(BN32=BM$5,BN$6&gt;=$D$115),1,0),
IF(AND(BO32=BM$5,BN$6&gt;=$D$115),1,0),
IF(BM32&amp;BP32=BQ$5,1,0),
IF(BN32=BM$5,2,0),
IF(BO32=BM$5,1,0),
IF(OR(BM32&amp;BN32&amp;BO32=BM$5&amp;BN$5&amp;BO$5,BM32&amp;BN32&amp;BO32=BM$5&amp;BO$5&amp;BN$5,BM32&amp;BN32&amp;BO32=BN$5&amp;BM$5&amp;BO$5,BM32&amp;BN32&amp;BO32=BN$5&amp;BO$5&amp;BM$5,BM32&amp;BN32&amp;BO32=BO$5&amp;BM$5&amp;BN$5,BM32&amp;BN32&amp;BO32=BO$5&amp;BN$5&amp;BM$5),2,0),IF(AND(BM32=BM$5,BN$6&gt;=$D$129),1,0),IF(AND(BN32=BM$5,BN$6&gt;=$D$129),1,0),IF(AND(BO32=BM$5,BN$6&gt;=$D$129),1,0),IF(BM32&amp;BP32=BP$5,4,0),IF(AND(BM32=BM$5,BN$6&lt;=$D$104),-0.5,0),IF(AND(BN32=BM$5,BN$6&lt;=$D$104),-0.5,0),IF(AND(BO32=BM$5,BN$6&lt;=$D$104),-0.5,0))</f>
        <v/>
      </c>
      <c r="BR32" s="145" t="n"/>
      <c r="BS32" s="146" t="n"/>
      <c r="BT32" s="146" t="n"/>
      <c r="BU32" s="146" t="n"/>
      <c r="BV32" s="602">
        <f>SUM(IF(BR32=BR$5,4,0),IF(BR32&amp;BS32=BR$5&amp;BS$5,1,0),
IF(AND(BR32=BR$5,BS$6&gt;=$D$115),1,0),
IF(AND(BS32=BR$5,BS$6&gt;=$D$115),1,0),
IF(AND(BT32=BR$5,BS$6&gt;=$D$115),1,0),
IF(BR32&amp;BU32=BV$5,1,0),
IF(BS32=BR$5,2,0),
IF(BT32=BR$5,1,0),
IF(OR(BR32&amp;BS32&amp;BT32=BR$5&amp;BS$5&amp;BT$5,BR32&amp;BS32&amp;BT32=BR$5&amp;BT$5&amp;BS$5,BR32&amp;BS32&amp;BT32=BS$5&amp;BR$5&amp;BT$5,BR32&amp;BS32&amp;BT32=BS$5&amp;BT$5&amp;BR$5,BR32&amp;BS32&amp;BT32=BT$5&amp;BR$5&amp;BS$5,BR32&amp;BS32&amp;BT32=BT$5&amp;BS$5&amp;BR$5),2,0),IF(AND(BR32=BR$5,BS$6&gt;=$D$129),1,0),IF(AND(BS32=BR$5,BS$6&gt;=$D$129),1,0),IF(AND(BT32=BR$5,BS$6&gt;=$D$129),1,0),IF(BR32&amp;BU32=BU$5,4,0),IF(AND(BR32=BR$5,BS$6&lt;=$D$104),-0.5,0),IF(AND(BS32=BR$5,BS$6&lt;=$D$104),-0.5,0),IF(AND(BT32=BR$5,BS$6&lt;=$D$104),-0.5,0))</f>
        <v/>
      </c>
      <c r="BW32" s="145" t="n"/>
      <c r="BX32" s="146" t="n"/>
      <c r="BY32" s="146" t="n"/>
      <c r="BZ32" s="146" t="n"/>
      <c r="CA32" s="602">
        <f>SUM(IF(BW32=BW$5,4,0),IF(BW32&amp;BX32=BW$5&amp;BX$5,1,0),
IF(AND(BW32=BW$5,BX$6&gt;=$D$115),1,0),
IF(AND(BX32=BW$5,BX$6&gt;=$D$115),1,0),
IF(AND(BY32=BW$5,BX$6&gt;=$D$115),1,0),
IF(BW32&amp;BZ32=CA$5,1,0),
IF(BX32=BW$5,2,0),
IF(BY32=BW$5,1,0),
IF(OR(BW32&amp;BX32&amp;BY32=BW$5&amp;BX$5&amp;BY$5,BW32&amp;BX32&amp;BY32=BW$5&amp;BY$5&amp;BX$5,BW32&amp;BX32&amp;BY32=BX$5&amp;BW$5&amp;BY$5,BW32&amp;BX32&amp;BY32=BX$5&amp;BY$5&amp;BW$5,BW32&amp;BX32&amp;BY32=BY$5&amp;BW$5&amp;BX$5,BW32&amp;BX32&amp;BY32=BY$5&amp;BX$5&amp;BW$5),2,0),IF(AND(BW32=BW$5,BX$6&gt;=$D$129),1,0),IF(AND(BX32=BW$5,BX$6&gt;=$D$129),1,0),IF(AND(BY32=BW$5,BX$6&gt;=$D$129),1,0),IF(BW32&amp;BZ32=BZ$5,4,0),IF(AND(BW32=BW$5,BX$6&lt;=$D$104),-0.5,0),IF(AND(BX32=BW$5,BX$6&lt;=$D$104),-0.5,0),IF(AND(BY32=BW$5,BX$6&lt;=$D$104),-0.5,0))</f>
        <v/>
      </c>
      <c r="CB32" s="145" t="n"/>
      <c r="CC32" s="146" t="n"/>
      <c r="CD32" s="146" t="n"/>
      <c r="CE32" s="146" t="n"/>
      <c r="CF32" s="602">
        <f>SUM(IF(CB32=CB$5,4,0),IF(CB32&amp;CC32=CB$5&amp;CC$5,1,0),
IF(AND(CB32=CB$5,CC$6&gt;=$D$115),1,0),
IF(AND(CC32=CB$5,CC$6&gt;=$D$115),1,0),
IF(AND(CD32=CB$5,CC$6&gt;=$D$115),1,0),
IF(CB32&amp;CE32=CF$5,1,0),
IF(CC32=CB$5,2,0),
IF(CD32=CB$5,1,0),
IF(OR(CB32&amp;CC32&amp;CD32=CB$5&amp;CC$5&amp;CD$5,CB32&amp;CC32&amp;CD32=CB$5&amp;CD$5&amp;CC$5,CB32&amp;CC32&amp;CD32=CC$5&amp;CB$5&amp;CD$5,CB32&amp;CC32&amp;CD32=CC$5&amp;CD$5&amp;CB$5,CB32&amp;CC32&amp;CD32=CD$5&amp;CB$5&amp;CC$5,CB32&amp;CC32&amp;CD32=CD$5&amp;CC$5&amp;CB$5),2,0),IF(AND(CB32=CB$5,CC$6&gt;=$D$129),1,0),IF(AND(CC32=CB$5,CC$6&gt;=$D$129),1,0),IF(AND(CD32=CB$5,CC$6&gt;=$D$129),1,0),IF(CB32&amp;CE32=CE$5,4,0),IF(AND(CB32=CB$5,CC$6&lt;=$D$104),-0.5,0),IF(AND(CC32=CB$5,CC$6&lt;=$D$104),-0.5,0),IF(AND(CD32=CB$5,CC$6&lt;=$D$104),-0.5,0))</f>
        <v/>
      </c>
      <c r="CG32" s="164">
        <f>IF(BASE01[[#This Row],[1]]="",0,$B$4)</f>
        <v/>
      </c>
      <c r="CH32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2" s="166">
        <f>IF(BASE01[[#This Row],[Columna14]]=0,0,(CH32/CG32))</f>
        <v/>
      </c>
      <c r="CJ32" s="165">
        <f>IF(BASE01[[#This Row],[1]]="",0,$B$4)</f>
        <v/>
      </c>
      <c r="CK32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2" s="166">
        <f>IF(BASE01[[#This Row],[Columna14]]=0,0,(CK32/CJ32))</f>
        <v/>
      </c>
      <c r="CM32" s="164">
        <f>IF(BASE01[[#This Row],[1]]="",0,$B$4)</f>
        <v/>
      </c>
      <c r="CN32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2" s="166">
        <f>IF(BASE01[[#This Row],[Columna14]]=0,0,(CN32/CM32))</f>
        <v/>
      </c>
      <c r="CP32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2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Row],[Columna25]],$AX$5,BA32,"SF")+COUNTIFS(BASE01[[#This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2" s="166">
        <f>IF(BASE01[[#This Row],[Columna14]]=0,0,(CQ32/CP32))</f>
        <v/>
      </c>
      <c r="CS32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2" s="95" t="n"/>
      <c r="CU32" s="604">
        <f>SUM(CS32,CT32)</f>
        <v/>
      </c>
      <c r="CV32" s="96">
        <f>IF(BASE01[[#This Row],[TIPO]]="PREMIO",$O$3,"0,00")</f>
        <v/>
      </c>
      <c r="CW32" s="576" t="n"/>
      <c r="CY32" s="606">
        <f>IF(CZ32="","",$CZ$25)</f>
        <v/>
      </c>
      <c r="CZ32" s="392" t="n"/>
      <c r="DA32" s="392">
        <f t="array" ref="DA32">IF(CZ32="", "", IF((INDEX(E$8:CE$57, MATCH(CZ32, C$8:C$57, 0), ($CZ$25-1)*5 + 1) &amp; "") = (INDEX(E$5:CE$5, 1, ($CZ$25-1)*5 + 1) &amp; ""), 1, IF((INDEX(E$8:CE$57, MATCH(CZ32, C$8:C$57, 0), ($CZ$25-1)*5 + 2) &amp; "") = (INDEX(E$5:CE$5, 1, ($CZ$25-1)*5 + 1) &amp; ""), 2, IF((INDEX(E$8:CE$57, MATCH(CZ32, C$8:C$57, 0), ($CZ$25-1)*5 + 3) &amp; "") = (INDEX(E$5:CE$5, 1, ($CZ$25-1)*5 + 1) &amp; ""), 3, ""))))</f>
        <v/>
      </c>
      <c r="DB32" s="605">
        <f>BASE01[[#This Row],[COD]]</f>
        <v/>
      </c>
      <c r="DC32" s="395">
        <f t="array" ref="DC32">IFERROR(IF(AND(INDEX($E$8:$CE$57, MATCH($C32, $C$8:$C$57, 0), (COLUMNS($DC32:DC32)-1)*5 + 1) = INDEX($E$5:$CE$5, 1, (COLUMNS($DC32:DC32)-1)*5 + 1), INDEX($E$8:$CE$57, MATCH($C32, $C$8:$C$57, 0), (COLUMNS($DC32:DC32)-1)*5 + 4) = "F"), INDEX($CZ$8:$CZ$23, COLUMNS($DC32:DC32)), "0"), "")</f>
        <v/>
      </c>
      <c r="DD32" s="395">
        <f t="array" ref="DD32">IFERROR(IF(AND(INDEX($E$8:$CE$57, MATCH($C32, $C$8:$C$57, 0), (COLUMNS($DC32:DD32)-1)*5 + 1) = INDEX($E$5:$CE$5, 1, (COLUMNS($DC32:DD32)-1)*5 + 1), INDEX($E$8:$CE$57, MATCH($C32, $C$8:$C$57, 0), (COLUMNS($DC32:DD32)-1)*5 + 4) = "F"), INDEX($CZ$8:$CZ$23, COLUMNS($DC32:DD32)), "0"), "")</f>
        <v/>
      </c>
      <c r="DE32" s="395">
        <f t="array" ref="DE32">IFERROR(IF(AND(INDEX($E$8:$CE$57, MATCH($C32, $C$8:$C$57, 0), (COLUMNS($DC32:DE32)-1)*5 + 1) = INDEX($E$5:$CE$5, 1, (COLUMNS($DC32:DE32)-1)*5 + 1), INDEX($E$8:$CE$57, MATCH($C32, $C$8:$C$57, 0), (COLUMNS($DC32:DE32)-1)*5 + 4) = "F"), INDEX($CZ$8:$CZ$23, COLUMNS($DC32:DE32)), "0"), "")</f>
        <v/>
      </c>
      <c r="DF32" s="395">
        <f t="array" ref="DF32">IFERROR(IF(AND(INDEX($E$8:$CE$57, MATCH($C32, $C$8:$C$57, 0), (COLUMNS($DC32:DF32)-1)*5 + 1) = INDEX($E$5:$CE$5, 1, (COLUMNS($DC32:DF32)-1)*5 + 1), INDEX($E$8:$CE$57, MATCH($C32, $C$8:$C$57, 0), (COLUMNS($DC32:DF32)-1)*5 + 4) = "F"), INDEX($CZ$8:$CZ$23, COLUMNS($DC32:DF32)), "0"), "")</f>
        <v/>
      </c>
      <c r="DG32" s="395">
        <f t="array" ref="DG32">IFERROR(IF(AND(INDEX($E$8:$CE$57, MATCH($C32, $C$8:$C$57, 0), (COLUMNS($DC32:DG32)-1)*5 + 1) = INDEX($E$5:$CE$5, 1, (COLUMNS($DC32:DG32)-1)*5 + 1), INDEX($E$8:$CE$57, MATCH($C32, $C$8:$C$57, 0), (COLUMNS($DC32:DG32)-1)*5 + 4) = "F"), INDEX($CZ$8:$CZ$23, COLUMNS($DC32:DG32)), "0"), "")</f>
        <v/>
      </c>
      <c r="DH32" s="395">
        <f t="array" ref="DH32">IFERROR(IF(AND(INDEX($E$8:$CE$57, MATCH($C32, $C$8:$C$57, 0), (COLUMNS($DC32:DH32)-1)*5 + 1) = INDEX($E$5:$CE$5, 1, (COLUMNS($DC32:DH32)-1)*5 + 1), INDEX($E$8:$CE$57, MATCH($C32, $C$8:$C$57, 0), (COLUMNS($DC32:DH32)-1)*5 + 4) = "F"), INDEX($CZ$8:$CZ$23, COLUMNS($DC32:DH32)), "0"), "")</f>
        <v/>
      </c>
      <c r="DI32" s="395">
        <f t="array" ref="DI32">IFERROR(IF(AND(INDEX($E$8:$CE$57, MATCH($C32, $C$8:$C$57, 0), (COLUMNS($DC32:DI32)-1)*5 + 1) = INDEX($E$5:$CE$5, 1, (COLUMNS($DC32:DI32)-1)*5 + 1), INDEX($E$8:$CE$57, MATCH($C32, $C$8:$C$57, 0), (COLUMNS($DC32:DI32)-1)*5 + 4) = "F"), INDEX($CZ$8:$CZ$23, COLUMNS($DC32:DI32)), "0"), "")</f>
        <v/>
      </c>
      <c r="DJ32" s="395">
        <f t="array" ref="DJ32">IFERROR(IF(AND(INDEX($E$8:$CE$57, MATCH($C32, $C$8:$C$57, 0), (COLUMNS($DC32:DJ32)-1)*5 + 1) = INDEX($E$5:$CE$5, 1, (COLUMNS($DC32:DJ32)-1)*5 + 1), INDEX($E$8:$CE$57, MATCH($C32, $C$8:$C$57, 0), (COLUMNS($DC32:DJ32)-1)*5 + 4) = "F"), INDEX($CZ$8:$CZ$23, COLUMNS($DC32:DJ32)), "0"), "")</f>
        <v/>
      </c>
      <c r="DK32" s="395">
        <f t="array" ref="DK32">IFERROR(IF(AND(INDEX($E$8:$CE$57, MATCH($C32, $C$8:$C$57, 0), (COLUMNS($DC32:DK32)-1)*5 + 1) = INDEX($E$5:$CE$5, 1, (COLUMNS($DC32:DK32)-1)*5 + 1), INDEX($E$8:$CE$57, MATCH($C32, $C$8:$C$57, 0), (COLUMNS($DC32:DK32)-1)*5 + 4) = "F"), INDEX($CZ$8:$CZ$23, COLUMNS($DC32:DK32)), "0"), "")</f>
        <v/>
      </c>
      <c r="DL32" s="395">
        <f t="array" ref="DL32">IFERROR(IF(AND(INDEX($E$8:$CE$57, MATCH($C32, $C$8:$C$57, 0), (COLUMNS($DC32:DL32)-1)*5 + 1) = INDEX($E$5:$CE$5, 1, (COLUMNS($DC32:DL32)-1)*5 + 1), INDEX($E$8:$CE$57, MATCH($C32, $C$8:$C$57, 0), (COLUMNS($DC32:DL32)-1)*5 + 4) = "F"), INDEX($CZ$8:$CZ$23, COLUMNS($DC32:DL32)), "0"), "")</f>
        <v/>
      </c>
      <c r="DM32" s="395">
        <f t="array" ref="DM32">IFERROR(IF(AND(INDEX($E$8:$CE$57, MATCH($C32, $C$8:$C$57, 0), (COLUMNS($DC32:DM32)-1)*5 + 1) = INDEX($E$5:$CE$5, 1, (COLUMNS($DC32:DM32)-1)*5 + 1), INDEX($E$8:$CE$57, MATCH($C32, $C$8:$C$57, 0), (COLUMNS($DC32:DM32)-1)*5 + 4) = "F"), INDEX($CZ$8:$CZ$23, COLUMNS($DC32:DM32)), "0"), "")</f>
        <v/>
      </c>
      <c r="DN32" s="395">
        <f t="array" ref="DN32">IFERROR(IF(AND(INDEX($E$8:$CE$57, MATCH($C32, $C$8:$C$57, 0), (COLUMNS($DC32:DN32)-1)*5 + 1) = INDEX($E$5:$CE$5, 1, (COLUMNS($DC32:DN32)-1)*5 + 1), INDEX($E$8:$CE$57, MATCH($C32, $C$8:$C$57, 0), (COLUMNS($DC32:DN32)-1)*5 + 4) = "F"), INDEX($CZ$8:$CZ$23, COLUMNS($DC32:DN32)), "0"), "")</f>
        <v/>
      </c>
      <c r="DO32" s="395">
        <f t="array" ref="DO32">IFERROR(IF(AND(INDEX($E$8:$CE$57, MATCH($C32, $C$8:$C$57, 0), (COLUMNS($DC32:DO32)-1)*5 + 1) = INDEX($E$5:$CE$5, 1, (COLUMNS($DC32:DO32)-1)*5 + 1), INDEX($E$8:$CE$57, MATCH($C32, $C$8:$C$57, 0), (COLUMNS($DC32:DO32)-1)*5 + 4) = "F"), INDEX($CZ$8:$CZ$23, COLUMNS($DC32:DO32)), "0"), "")</f>
        <v/>
      </c>
      <c r="DP32" s="395">
        <f t="array" ref="DP32">IFERROR(IF(AND(INDEX($E$8:$CE$57, MATCH($C32, $C$8:$C$57, 0), (COLUMNS($DC32:DP32)-1)*5 + 1) = INDEX($E$5:$CE$5, 1, (COLUMNS($DC32:DP32)-1)*5 + 1), INDEX($E$8:$CE$57, MATCH($C32, $C$8:$C$57, 0), (COLUMNS($DC32:DP32)-1)*5 + 4) = "F"), INDEX($CZ$8:$CZ$23, COLUMNS($DC32:DP32)), "0"), "")</f>
        <v/>
      </c>
      <c r="DQ32" s="395">
        <f t="array" ref="DQ32">IFERROR(IF(AND(INDEX($E$8:$CE$57, MATCH($C32, $C$8:$C$57, 0), (COLUMNS($DC32:DQ32)-1)*5 + 1) = INDEX($E$5:$CE$5, 1, (COLUMNS($DC32:DQ32)-1)*5 + 1), INDEX($E$8:$CE$57, MATCH($C32, $C$8:$C$57, 0), (COLUMNS($DC32:DQ32)-1)*5 + 4) = "F"), INDEX($CZ$8:$CZ$23, COLUMNS($DC32:DQ32)), "0"), "")</f>
        <v/>
      </c>
      <c r="DR32" s="395">
        <f t="array" ref="DR32">IFERROR(IF(AND(INDEX($E$8:$CE$57, MATCH($C32, $C$8:$C$57, 0), (COLUMNS($DC32:DR32)-1)*5 + 1) = INDEX($E$5:$CE$5, 1, (COLUMNS($DC32:DR32)-1)*5 + 1), INDEX($E$8:$CE$57, MATCH($C32, $C$8:$C$57, 0), (COLUMNS($DC32:DR32)-1)*5 + 4) = "F"), INDEX($CZ$8:$CZ$23, COLUMNS($DC32:DR32)), "0"), "")</f>
        <v/>
      </c>
      <c r="DT32" s="605">
        <f>BASE01[[#This Row],[COD]]</f>
        <v/>
      </c>
      <c r="DU32" s="395">
        <f t="array" ref="DU32">IFERROR(IF(AND(INDEX($E$8:$CE$57, MATCH($C32, $C$8:$C$57, 0), (COLUMNS($DU32:DU32)-1)*5 + 1) = INDEX($E$5:$CE$5, 1, (COLUMNS($DU32:DU32)-1)*5 + 1), INDEX($E$8:$CE$57, MATCH($C32, $C$8:$C$57, 0), (COLUMNS($DU32:DU32)-1)*5 + 4) = "SF"), INDEX($CZ$8:$CZ$23, COLUMNS($DU32:DU32)), "0"), "")</f>
        <v/>
      </c>
      <c r="DV32" s="395">
        <f t="array" ref="DV32">IFERROR(IF(AND(INDEX($E$8:$CE$57, MATCH($C32, $C$8:$C$57, 0), (COLUMNS($DU32:DV32)-1)*5 + 1) = INDEX($E$5:$CE$5, 1, (COLUMNS($DU32:DV32)-1)*5 + 1), INDEX($E$8:$CE$57, MATCH($C32, $C$8:$C$57, 0), (COLUMNS($DU32:DV32)-1)*5 + 4) = "SF"), INDEX($CZ$8:$CZ$23, COLUMNS($DU32:DV32)), "0"), "")</f>
        <v/>
      </c>
      <c r="DW32" s="395">
        <f t="array" ref="DW32">IFERROR(IF(AND(INDEX($E$8:$CE$57, MATCH($C32, $C$8:$C$57, 0), (COLUMNS($DU32:DW32)-1)*5 + 1) = INDEX($E$5:$CE$5, 1, (COLUMNS($DU32:DW32)-1)*5 + 1), INDEX($E$8:$CE$57, MATCH($C32, $C$8:$C$57, 0), (COLUMNS($DU32:DW32)-1)*5 + 4) = "SF"), INDEX($CZ$8:$CZ$23, COLUMNS($DU32:DW32)), "0"), "")</f>
        <v/>
      </c>
      <c r="DX32" s="395">
        <f t="array" ref="DX32">IFERROR(IF(AND(INDEX($E$8:$CE$57, MATCH($C32, $C$8:$C$57, 0), (COLUMNS($DU32:DX32)-1)*5 + 1) = INDEX($E$5:$CE$5, 1, (COLUMNS($DU32:DX32)-1)*5 + 1), INDEX($E$8:$CE$57, MATCH($C32, $C$8:$C$57, 0), (COLUMNS($DU32:DX32)-1)*5 + 4) = "SF"), INDEX($CZ$8:$CZ$23, COLUMNS($DU32:DX32)), "0"), "")</f>
        <v/>
      </c>
      <c r="DY32" s="395">
        <f t="array" ref="DY32">IFERROR(IF(AND(INDEX($E$8:$CE$57, MATCH($C32, $C$8:$C$57, 0), (COLUMNS($DU32:DY32)-1)*5 + 1) = INDEX($E$5:$CE$5, 1, (COLUMNS($DU32:DY32)-1)*5 + 1), INDEX($E$8:$CE$57, MATCH($C32, $C$8:$C$57, 0), (COLUMNS($DU32:DY32)-1)*5 + 4) = "SF"), INDEX($CZ$8:$CZ$23, COLUMNS($DU32:DY32)), "0"), "")</f>
        <v/>
      </c>
      <c r="DZ32" s="395">
        <f t="array" ref="DZ32">IFERROR(IF(AND(INDEX($E$8:$CE$57, MATCH($C32, $C$8:$C$57, 0), (COLUMNS($DU32:DZ32)-1)*5 + 1) = INDEX($E$5:$CE$5, 1, (COLUMNS($DU32:DZ32)-1)*5 + 1), INDEX($E$8:$CE$57, MATCH($C32, $C$8:$C$57, 0), (COLUMNS($DU32:DZ32)-1)*5 + 4) = "SF"), INDEX($CZ$8:$CZ$23, COLUMNS($DU32:DZ32)), "0"), "")</f>
        <v/>
      </c>
      <c r="EA32" s="395">
        <f t="array" ref="EA32">IFERROR(IF(AND(INDEX($E$8:$CE$57, MATCH($C32, $C$8:$C$57, 0), (COLUMNS($DU32:EA32)-1)*5 + 1) = INDEX($E$5:$CE$5, 1, (COLUMNS($DU32:EA32)-1)*5 + 1), INDEX($E$8:$CE$57, MATCH($C32, $C$8:$C$57, 0), (COLUMNS($DU32:EA32)-1)*5 + 4) = "SF"), INDEX($CZ$8:$CZ$23, COLUMNS($DU32:EA32)), "0"), "")</f>
        <v/>
      </c>
      <c r="EB32" s="395">
        <f t="array" ref="EB32">IFERROR(IF(AND(INDEX($E$8:$CE$57, MATCH($C32, $C$8:$C$57, 0), (COLUMNS($DU32:EB32)-1)*5 + 1) = INDEX($E$5:$CE$5, 1, (COLUMNS($DU32:EB32)-1)*5 + 1), INDEX($E$8:$CE$57, MATCH($C32, $C$8:$C$57, 0), (COLUMNS($DU32:EB32)-1)*5 + 4) = "SF"), INDEX($CZ$8:$CZ$23, COLUMNS($DU32:EB32)), "0"), "")</f>
        <v/>
      </c>
      <c r="EC32" s="395">
        <f t="array" ref="EC32">IFERROR(IF(AND(INDEX($E$8:$CE$57, MATCH($C32, $C$8:$C$57, 0), (COLUMNS($DU32:EC32)-1)*5 + 1) = INDEX($E$5:$CE$5, 1, (COLUMNS($DU32:EC32)-1)*5 + 1), INDEX($E$8:$CE$57, MATCH($C32, $C$8:$C$57, 0), (COLUMNS($DU32:EC32)-1)*5 + 4) = "SF"), INDEX($CZ$8:$CZ$23, COLUMNS($DU32:EC32)), "0"), "")</f>
        <v/>
      </c>
      <c r="ED32" s="395">
        <f t="array" ref="ED32">IFERROR(IF(AND(INDEX($E$8:$CE$57, MATCH($C32, $C$8:$C$57, 0), (COLUMNS($DU32:ED32)-1)*5 + 1) = INDEX($E$5:$CE$5, 1, (COLUMNS($DU32:ED32)-1)*5 + 1), INDEX($E$8:$CE$57, MATCH($C32, $C$8:$C$57, 0), (COLUMNS($DU32:ED32)-1)*5 + 4) = "SF"), INDEX($CZ$8:$CZ$23, COLUMNS($DU32:ED32)), "0"), "")</f>
        <v/>
      </c>
      <c r="EE32" s="395">
        <f t="array" ref="EE32">IFERROR(IF(AND(INDEX($E$8:$CE$57, MATCH($C32, $C$8:$C$57, 0), (COLUMNS($DU32:EE32)-1)*5 + 1) = INDEX($E$5:$CE$5, 1, (COLUMNS($DU32:EE32)-1)*5 + 1), INDEX($E$8:$CE$57, MATCH($C32, $C$8:$C$57, 0), (COLUMNS($DU32:EE32)-1)*5 + 4) = "SF"), INDEX($CZ$8:$CZ$23, COLUMNS($DU32:EE32)), "0"), "")</f>
        <v/>
      </c>
      <c r="EF32" s="395">
        <f t="array" ref="EF32">IFERROR(IF(AND(INDEX($E$8:$CE$57, MATCH($C32, $C$8:$C$57, 0), (COLUMNS($DU32:EF32)-1)*5 + 1) = INDEX($E$5:$CE$5, 1, (COLUMNS($DU32:EF32)-1)*5 + 1), INDEX($E$8:$CE$57, MATCH($C32, $C$8:$C$57, 0), (COLUMNS($DU32:EF32)-1)*5 + 4) = "SF"), INDEX($CZ$8:$CZ$23, COLUMNS($DU32:EF32)), "0"), "")</f>
        <v/>
      </c>
      <c r="EG32" s="395">
        <f t="array" ref="EG32">IFERROR(IF(AND(INDEX($E$8:$CE$57, MATCH($C32, $C$8:$C$57, 0), (COLUMNS($DU32:EG32)-1)*5 + 1) = INDEX($E$5:$CE$5, 1, (COLUMNS($DU32:EG32)-1)*5 + 1), INDEX($E$8:$CE$57, MATCH($C32, $C$8:$C$57, 0), (COLUMNS($DU32:EG32)-1)*5 + 4) = "SF"), INDEX($CZ$8:$CZ$23, COLUMNS($DU32:EG32)), "0"), "")</f>
        <v/>
      </c>
      <c r="EH32" s="395">
        <f t="array" ref="EH32">IFERROR(IF(AND(INDEX($E$8:$CE$57, MATCH($C32, $C$8:$C$57, 0), (COLUMNS($DU32:EH32)-1)*5 + 1) = INDEX($E$5:$CE$5, 1, (COLUMNS($DU32:EH32)-1)*5 + 1), INDEX($E$8:$CE$57, MATCH($C32, $C$8:$C$57, 0), (COLUMNS($DU32:EH32)-1)*5 + 4) = "SF"), INDEX($CZ$8:$CZ$23, COLUMNS($DU32:EH32)), "0"), "")</f>
        <v/>
      </c>
      <c r="EI32" s="395">
        <f t="array" ref="EI32">IFERROR(IF(AND(INDEX($E$8:$CE$57, MATCH($C32, $C$8:$C$57, 0), (COLUMNS($DU32:EI32)-1)*5 + 1) = INDEX($E$5:$CE$5, 1, (COLUMNS($DU32:EI32)-1)*5 + 1), INDEX($E$8:$CE$57, MATCH($C32, $C$8:$C$57, 0), (COLUMNS($DU32:EI32)-1)*5 + 4) = "SF"), INDEX($CZ$8:$CZ$23, COLUMNS($DU32:EI32)), "0"), "")</f>
        <v/>
      </c>
      <c r="EJ32" s="395">
        <f t="array" ref="EJ32">IFERROR(IF(AND(INDEX($E$8:$CE$57, MATCH($C32, $C$8:$C$57, 0), (COLUMNS($DU32:EJ32)-1)*5 + 1) = INDEX($E$5:$CE$5, 1, (COLUMNS($DU32:EJ32)-1)*5 + 1), INDEX($E$8:$CE$57, MATCH($C32, $C$8:$C$57, 0), (COLUMNS($DU32:EJ32)-1)*5 + 4) = "SF"), INDEX($CZ$8:$CZ$23, COLUMNS($DU32:EJ32)), "0"), "")</f>
        <v/>
      </c>
    </row>
    <row r="33" ht="19.5" customHeight="1" s="568">
      <c r="A33" s="576" t="n"/>
      <c r="B33" s="92">
        <f>IF(BASE01[[#This Row],[COD]]&lt;&gt;"",B32+1,"")</f>
        <v/>
      </c>
      <c r="C33" s="601" t="inlineStr">
        <is>
          <t>COD 26</t>
        </is>
      </c>
      <c r="D33" s="93">
        <f t="array" ref="D33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3" s="145" t="n">
        <v>6</v>
      </c>
      <c r="F33" s="146" t="n">
        <v>1</v>
      </c>
      <c r="G33" s="146" t="n">
        <v>8</v>
      </c>
      <c r="H33" s="146" t="n"/>
      <c r="I33" s="602">
        <f>SUM(IF(E33=E$5,4,0),IF(E33&amp;F33=E$5&amp;F$5,1,0),
IF(AND(E33=E$5,F$6&gt;=$D$115),1,0),
IF(AND(F33=E$5,F$6&gt;=$D$115),1,0),
IF(AND(G33=E$5,F$6&gt;=$D$115),1,0),
IF(E33&amp;H33=I$5,1,0),
IF(F33=E$5,2,0),
IF(G33=E$5,1,0),
IF(OR(E33&amp;F33&amp;G33=E$5&amp;F$5&amp;G$5,E33&amp;F33&amp;G33=E$5&amp;G$5&amp;F$5,E33&amp;F33&amp;G33=F$5&amp;E$5&amp;G$5,E33&amp;F33&amp;G33=F$5&amp;G$5&amp;E$5,E33&amp;F33&amp;G33=G$5&amp;E$5&amp;F$5,E33&amp;F33&amp;G33=G$5&amp;F$5&amp;E$5),2,0),IF(AND(E33=E$5,F$6&gt;=$D$129),1,0),IF(AND(F33=E$5,F$6&gt;=$D$129),1,0),IF(AND(G33=E$5,F$6&gt;=$D$129),1,0),IF(E33&amp;H33=H$5,4,0),IF(AND(E33=E$5,F$6&lt;=$D$104),-0.5,0),IF(AND(F33=E$5,F$6&lt;=$D$104),-0.5,0),IF(AND(G33=E$5,F$6&lt;=$D$104),-0.5,0))</f>
        <v/>
      </c>
      <c r="J33" s="145" t="n">
        <v>8</v>
      </c>
      <c r="K33" s="146" t="n">
        <v>3</v>
      </c>
      <c r="L33" s="146" t="n">
        <v>1</v>
      </c>
      <c r="M33" s="146" t="n"/>
      <c r="N33" s="602">
        <f>SUM(IF(J33=J$5,4,0),IF(J33&amp;K33=J$5&amp;K$5,1,0),
IF(AND(J33=J$5,K$6&gt;=$D$115),1,0),
IF(AND(K33=J$5,K$6&gt;=$D$115),1,0),
IF(AND(L33=J$5,K$6&gt;=$D$115),1,0),
IF(J33&amp;M33=N$5,1,0),
IF(K33=J$5,2,0),
IF(L33=J$5,1,0),
IF(OR(J33&amp;K33&amp;L33=J$5&amp;K$5&amp;L$5,J33&amp;K33&amp;L33=J$5&amp;L$5&amp;K$5,J33&amp;K33&amp;L33=K$5&amp;J$5&amp;L$5,J33&amp;K33&amp;L33=K$5&amp;L$5&amp;J$5,J33&amp;K33&amp;L33=L$5&amp;J$5&amp;K$5,J33&amp;K33&amp;L33=L$5&amp;K$5&amp;J$5),2,0),IF(AND(J33=J$5,K$6&gt;=$D$129),1,0),IF(AND(K33=J$5,K$6&gt;=$D$129),1,0),IF(AND(L33=J$5,K$6&gt;=$D$129),1,0),IF(J33&amp;M33=M$5,4,0),IF(AND(J33=J$5,K$6&lt;=$D$104),-0.5,0),IF(AND(K33=J$5,K$6&lt;=$D$104),-0.5,0),IF(AND(L33=J$5,K$6&lt;=$D$104),-0.5,0))</f>
        <v/>
      </c>
      <c r="O33" s="145" t="n">
        <v>3</v>
      </c>
      <c r="P33" s="146" t="n">
        <v>6</v>
      </c>
      <c r="Q33" s="146" t="n">
        <v>8</v>
      </c>
      <c r="R33" s="146" t="n"/>
      <c r="S33" s="602">
        <f>SUM(IF(O33=O$5,4,0),IF(O33&amp;P33=O$5&amp;P$5,1,0),
IF(AND(O33=O$5,P$6&gt;=$D$115),1,0),
IF(AND(P33=O$5,P$6&gt;=$D$115),1,0),
IF(AND(Q33=O$5,P$6&gt;=$D$115),1,0),
IF(O33&amp;R33=S$5,1,0),
IF(P33=O$5,2,0),
IF(Q33=O$5,1,0),
IF(OR(O33&amp;P33&amp;Q33=O$5&amp;P$5&amp;Q$5,O33&amp;P33&amp;Q33=O$5&amp;Q$5&amp;P$5,O33&amp;P33&amp;Q33=P$5&amp;O$5&amp;Q$5,O33&amp;P33&amp;Q33=P$5&amp;Q$5&amp;O$5,O33&amp;P33&amp;Q33=Q$5&amp;O$5&amp;P$5,O33&amp;P33&amp;Q33=Q$5&amp;P$5&amp;O$5),2,0),IF(AND(O33=O$5,P$6&gt;=$D$129),1,0),IF(AND(P33=O$5,P$6&gt;=$D$129),1,0),IF(AND(Q33=O$5,P$6&gt;=$D$129),1,0),IF(O33&amp;R33=R$5,4,0),IF(AND(O33=O$5,P$6&lt;=$D$104),-0.5,0),IF(AND(P33=O$5,P$6&lt;=$D$104),-0.5,0),IF(AND(Q33=O$5,P$6&lt;=$D$104),-0.5,0))</f>
        <v/>
      </c>
      <c r="T33" s="145" t="n">
        <v>6</v>
      </c>
      <c r="U33" s="146" t="n">
        <v>9</v>
      </c>
      <c r="V33" s="146" t="n">
        <v>8</v>
      </c>
      <c r="W33" s="146" t="inlineStr">
        <is>
          <t>F</t>
        </is>
      </c>
      <c r="X33" s="602">
        <f>SUM(IF(T33=T$5,4,0),IF(T33&amp;U33=T$5&amp;U$5,1,0),
IF(AND(T33=T$5,U$6&gt;=$D$115),1,0),
IF(AND(U33=T$5,U$6&gt;=$D$115),1,0),
IF(AND(V33=T$5,U$6&gt;=$D$115),1,0),
IF(T33&amp;W33=X$5,1,0),
IF(U33=T$5,2,0),
IF(V33=T$5,1,0),
IF(OR(T33&amp;U33&amp;V33=T$5&amp;U$5&amp;V$5,T33&amp;U33&amp;V33=T$5&amp;V$5&amp;U$5,T33&amp;U33&amp;V33=U$5&amp;T$5&amp;V$5,T33&amp;U33&amp;V33=U$5&amp;V$5&amp;T$5,T33&amp;U33&amp;V33=V$5&amp;T$5&amp;U$5,T33&amp;U33&amp;V33=V$5&amp;U$5&amp;T$5),2,0),IF(AND(T33=T$5,U$6&gt;=$D$129),1,0),IF(AND(U33=T$5,U$6&gt;=$D$129),1,0),IF(AND(V33=T$5,U$6&gt;=$D$129),1,0),IF(T33&amp;W33=W$5,4,0),IF(AND(T33=T$5,U$6&lt;=$D$104),-0.5,0),IF(AND(U33=T$5,U$6&lt;=$D$104),-0.5,0),IF(AND(V33=T$5,U$6&lt;=$D$104),-0.5,0))</f>
        <v/>
      </c>
      <c r="Y33" s="145" t="n">
        <v>5</v>
      </c>
      <c r="Z33" s="146" t="n"/>
      <c r="AA33" s="146" t="n"/>
      <c r="AB33" s="146" t="inlineStr">
        <is>
          <t>SF</t>
        </is>
      </c>
      <c r="AC33" s="602">
        <f>SUM(IF(Y33=Y$5,4,0),IF(Y33&amp;Z33=Y$5&amp;Z$5,1,0),
IF(AND(Y33=Y$5,Z$6&gt;=$D$115),1,0),
IF(AND(Z33=Y$5,Z$6&gt;=$D$115),1,0),
IF(AND(AA33=Y$5,Z$6&gt;=$D$115),1,0),
IF(Y33&amp;AB33=AC$5,1,0),
IF(Z33=Y$5,2,0),
IF(AA33=Y$5,1,0),
IF(OR(Y33&amp;Z33&amp;AA33=Y$5&amp;Z$5&amp;AA$5,Y33&amp;Z33&amp;AA33=Y$5&amp;AA$5&amp;Z$5,Y33&amp;Z33&amp;AA33=Z$5&amp;Y$5&amp;AA$5,Y33&amp;Z33&amp;AA33=Z$5&amp;AA$5&amp;Y$5,Y33&amp;Z33&amp;AA33=AA$5&amp;Y$5&amp;Z$5,Y33&amp;Z33&amp;AA33=AA$5&amp;Z$5&amp;Y$5),2,0),IF(AND(Y33=Y$5,Z$6&gt;=$D$129),1,0),IF(AND(Z33=Y$5,Z$6&gt;=$D$129),1,0),IF(AND(AA33=Y$5,Z$6&gt;=$D$129),1,0),IF(Y33&amp;AB33=AB$5,4,0),IF(AND(Y33=Y$5,Z$6&lt;=$D$104),-0.5,0),IF(AND(Z33=Y$5,Z$6&lt;=$D$104),-0.5,0),IF(AND(AA33=Y$5,Z$6&lt;=$D$104),-0.5,0))</f>
        <v/>
      </c>
      <c r="AD33" s="145" t="n">
        <v>7</v>
      </c>
      <c r="AE33" s="146" t="n">
        <v>5</v>
      </c>
      <c r="AF33" s="146" t="n">
        <v>2</v>
      </c>
      <c r="AG33" s="146" t="n"/>
      <c r="AH33" s="602">
        <f>SUM(IF(AD33=AD$5,4,0),IF(AD33&amp;AE33=AD$5&amp;AE$5,1,0),
IF(AND(AD33=AD$5,AE$6&gt;=$D$115),1,0),
IF(AND(AE33=AD$5,AE$6&gt;=$D$115),1,0),
IF(AND(AF33=AD$5,AE$6&gt;=$D$115),1,0),
IF(AD33&amp;AG33=AH$5,1,0),
IF(AE33=AD$5,2,0),
IF(AF33=AD$5,1,0),
IF(OR(AD33&amp;AE33&amp;AF33=AD$5&amp;AE$5&amp;AF$5,AD33&amp;AE33&amp;AF33=AD$5&amp;AF$5&amp;AE$5,AD33&amp;AE33&amp;AF33=AE$5&amp;AD$5&amp;AF$5,AD33&amp;AE33&amp;AF33=AE$5&amp;AF$5&amp;AD$5,AD33&amp;AE33&amp;AF33=AF$5&amp;AD$5&amp;AE$5,AD33&amp;AE33&amp;AF33=AF$5&amp;AE$5&amp;AD$5),2,0),IF(AND(AD33=AD$5,AE$6&gt;=$D$129),1,0),IF(AND(AE33=AD$5,AE$6&gt;=$D$129),1,0),IF(AND(AF33=AD$5,AE$6&gt;=$D$129),1,0),IF(AD33&amp;AG33=AG$5,4,0),IF(AND(AD33=AD$5,AE$6&lt;=$D$104),-0.5,0),IF(AND(AE33=AD$5,AE$6&lt;=$D$104),-0.5,0),IF(AND(AF33=AD$5,AE$6&lt;=$D$104),-0.5,0))</f>
        <v/>
      </c>
      <c r="AI33" s="145" t="n">
        <v>7</v>
      </c>
      <c r="AJ33" s="146" t="n">
        <v>4</v>
      </c>
      <c r="AK33" s="146" t="n">
        <v>3</v>
      </c>
      <c r="AL33" s="146" t="n"/>
      <c r="AM33" s="602">
        <f>SUM(IF(AI33=AI$5,4,0),IF(AI33&amp;AJ33=AI$5&amp;AJ$5,1,0),
IF(AND(AI33=AI$5,AJ$6&gt;=$D$115),1,0),
IF(AND(AJ33=AI$5,AJ$6&gt;=$D$115),1,0),
IF(AND(AK33=AI$5,AJ$6&gt;=$D$115),1,0),
IF(AI33&amp;AL33=AM$5,1,0),
IF(AJ33=AI$5,2,0),
IF(AK33=AI$5,1,0),
IF(OR(AI33&amp;AJ33&amp;AK33=AI$5&amp;AJ$5&amp;AK$5,AI33&amp;AJ33&amp;AK33=AI$5&amp;AK$5&amp;AJ$5,AI33&amp;AJ33&amp;AK33=AJ$5&amp;AI$5&amp;AK$5,AI33&amp;AJ33&amp;AK33=AJ$5&amp;AK$5&amp;AI$5,AI33&amp;AJ33&amp;AK33=AK$5&amp;AI$5&amp;AJ$5,AI33&amp;AJ33&amp;AK33=AK$5&amp;AJ$5&amp;AI$5),2,0),IF(AND(AI33=AI$5,AJ$6&gt;=$D$129),1,0),IF(AND(AJ33=AI$5,AJ$6&gt;=$D$129),1,0),IF(AND(AK33=AI$5,AJ$6&gt;=$D$129),1,0),IF(AI33&amp;AL33=AL$5,4,0),IF(AND(AI33=AI$5,AJ$6&lt;=$D$104),-0.5,0),IF(AND(AJ33=AI$5,AJ$6&lt;=$D$104),-0.5,0),IF(AND(AK33=AI$5,AJ$6&lt;=$D$104),-0.5,0))</f>
        <v/>
      </c>
      <c r="AN33" s="145" t="n">
        <v>9</v>
      </c>
      <c r="AO33" s="146" t="n">
        <v>8</v>
      </c>
      <c r="AP33" s="146" t="n">
        <v>1</v>
      </c>
      <c r="AQ33" s="146" t="n"/>
      <c r="AR33" s="602">
        <f>SUM(IF(AN33=AN$5,4,0),IF(AN33&amp;AO33=AN$5&amp;AO$5,1,0),
IF(AND(AN33=AN$5,AO$6&gt;=$D$115),1,0),
IF(AND(AO33=AN$5,AO$6&gt;=$D$115),1,0),
IF(AND(AP33=AN$5,AO$6&gt;=$D$115),1,0),
IF(AN33&amp;AQ33=AR$5,1,0),
IF(AO33=AN$5,2,0),
IF(AP33=AN$5,1,0),
IF(OR(AN33&amp;AO33&amp;AP33=AN$5&amp;AO$5&amp;AP$5,AN33&amp;AO33&amp;AP33=AN$5&amp;AP$5&amp;AO$5,AN33&amp;AO33&amp;AP33=AO$5&amp;AN$5&amp;AP$5,AN33&amp;AO33&amp;AP33=AO$5&amp;AP$5&amp;AN$5,AN33&amp;AO33&amp;AP33=AP$5&amp;AN$5&amp;AO$5,AN33&amp;AO33&amp;AP33=AP$5&amp;AO$5&amp;AN$5),2,0),IF(AND(AN33=AN$5,AO$6&gt;=$D$129),1,0),IF(AND(AO33=AN$5,AO$6&gt;=$D$129),1,0),IF(AND(AP33=AN$5,AO$6&gt;=$D$129),1,0),IF(AN33&amp;AQ33=AQ$5,4,0),IF(AND(AN33=AN$5,AO$6&lt;=$D$104),-0.5,0),IF(AND(AO33=AN$5,AO$6&lt;=$D$104),-0.5,0),IF(AND(AP33=AN$5,AO$6&lt;=$D$104),-0.5,0))</f>
        <v/>
      </c>
      <c r="AS33" s="145" t="n">
        <v>1</v>
      </c>
      <c r="AT33" s="146" t="n">
        <v>7</v>
      </c>
      <c r="AU33" s="146" t="n">
        <v>2</v>
      </c>
      <c r="AV33" s="146" t="n"/>
      <c r="AW33" s="602">
        <f>SUM(IF(AS33=AS$5,4,0),IF(AS33&amp;AT33=AS$5&amp;AT$5,1,0),
IF(AND(AS33=AS$5,AT$6&gt;=$D$115),1,0),
IF(AND(AT33=AS$5,AT$6&gt;=$D$115),1,0),
IF(AND(AU33=AS$5,AT$6&gt;=$D$115),1,0),
IF(AS33&amp;AV33=AW$5,1,0),
IF(AT33=AS$5,2,0),
IF(AU33=AS$5,1,0),
IF(OR(AS33&amp;AT33&amp;AU33=AS$5&amp;AT$5&amp;AU$5,AS33&amp;AT33&amp;AU33=AS$5&amp;AU$5&amp;AT$5,AS33&amp;AT33&amp;AU33=AT$5&amp;AS$5&amp;AU$5,AS33&amp;AT33&amp;AU33=AT$5&amp;AU$5&amp;AS$5,AS33&amp;AT33&amp;AU33=AU$5&amp;AS$5&amp;AT$5,AS33&amp;AT33&amp;AU33=AU$5&amp;AT$5&amp;AS$5),2,0),IF(AND(AS33=AS$5,AT$6&gt;=$D$129),1,0),IF(AND(AT33=AS$5,AT$6&gt;=$D$129),1,0),IF(AND(AU33=AS$5,AT$6&gt;=$D$129),1,0),IF(AS33&amp;AV33=AV$5,4,0),IF(AND(AS33=AS$5,AT$6&lt;=$D$104),-0.5,0),IF(AND(AT33=AS$5,AT$6&lt;=$D$104),-0.5,0),IF(AND(AU33=AS$5,AT$6&lt;=$D$104),-0.5,0))</f>
        <v/>
      </c>
      <c r="AX33" s="145" t="n">
        <v>9</v>
      </c>
      <c r="AY33" s="146" t="n">
        <v>8</v>
      </c>
      <c r="AZ33" s="146" t="n">
        <v>1</v>
      </c>
      <c r="BA33" s="146" t="n"/>
      <c r="BB33" s="602">
        <f>SUM(IF(AX33=AX$5,4,0),IF(AX33&amp;AY33=AX$5&amp;AY$5,1,0),
IF(AND(AX33=AX$5,AY$6&gt;=$D$115),1,0),
IF(AND(AY33=AX$5,AY$6&gt;=$D$115),1,0),
IF(AND(AZ33=AX$5,AY$6&gt;=$D$115),1,0),
IF(AX33&amp;BA33=BB$5,1,0),
IF(AY33=AX$5,2,0),
IF(AZ33=AX$5,1,0),
IF(OR(AX33&amp;AY33&amp;AZ33=AX$5&amp;AY$5&amp;AZ$5,AX33&amp;AY33&amp;AZ33=AX$5&amp;AZ$5&amp;AY$5,AX33&amp;AY33&amp;AZ33=AY$5&amp;AX$5&amp;AZ$5,AX33&amp;AY33&amp;AZ33=AY$5&amp;AZ$5&amp;AX$5,AX33&amp;AY33&amp;AZ33=AZ$5&amp;AX$5&amp;AY$5,AX33&amp;AY33&amp;AZ33=AZ$5&amp;AY$5&amp;AX$5),2,0),IF(AND(AX33=AX$5,AY$6&gt;=$D$129),1,0),IF(AND(AY33=AX$5,AY$6&gt;=$D$129),1,0),IF(AND(AZ33=AX$5,AY$6&gt;=$D$129),1,0),IF(AX33&amp;BA33=BA$5,4,0),IF(AND(AX33=AX$5,AY$6&lt;=$D$104),-0.5,0),IF(AND(AY33=AX$5,AY$6&lt;=$D$104),-0.5,0),IF(AND(AZ33=AX$5,AY$6&lt;=$D$104),-0.5,0))</f>
        <v/>
      </c>
      <c r="BC33" s="145" t="n">
        <v>4</v>
      </c>
      <c r="BD33" s="146" t="n">
        <v>3</v>
      </c>
      <c r="BE33" s="146" t="n">
        <v>2</v>
      </c>
      <c r="BF33" s="146" t="n"/>
      <c r="BG33" s="602">
        <f>SUM(IF(BC33=BC$5,4,0),IF(BC33&amp;BD33=BC$5&amp;BD$5,1,0),
IF(AND(BC33=BC$5,BD$6&gt;=$D$115),1,0),
IF(AND(BD33=BC$5,BD$6&gt;=$D$115),1,0),
IF(AND(BE33=BC$5,BD$6&gt;=$D$115),1,0),
IF(BC33&amp;BF33=BG$5,1,0),
IF(BD33=BC$5,2,0),
IF(BE33=BC$5,1,0),
IF(OR(BC33&amp;BD33&amp;BE33=BC$5&amp;BD$5&amp;BE$5,BC33&amp;BD33&amp;BE33=BC$5&amp;BE$5&amp;BD$5,BC33&amp;BD33&amp;BE33=BD$5&amp;BC$5&amp;BE$5,BC33&amp;BD33&amp;BE33=BD$5&amp;BE$5&amp;BC$5,BC33&amp;BD33&amp;BE33=BE$5&amp;BC$5&amp;BD$5,BC33&amp;BD33&amp;BE33=BE$5&amp;BD$5&amp;BC$5),2,0),IF(AND(BC33=BC$5,BD$6&gt;=$D$129),1,0),IF(AND(BD33=BC$5,BD$6&gt;=$D$129),1,0),IF(AND(BE33=BC$5,BD$6&gt;=$D$129),1,0),IF(BC33&amp;BF33=BF$5,4,0),IF(AND(BC33=BC$5,BD$6&lt;=$D$104),-0.5,0),IF(AND(BD33=BC$5,BD$6&lt;=$D$104),-0.5,0),IF(AND(BE33=BC$5,BD$6&lt;=$D$104),-0.5,0))</f>
        <v/>
      </c>
      <c r="BH33" s="145" t="n">
        <v>5</v>
      </c>
      <c r="BI33" s="146" t="n">
        <v>1</v>
      </c>
      <c r="BJ33" s="146" t="n">
        <v>6</v>
      </c>
      <c r="BK33" s="146" t="inlineStr">
        <is>
          <t>F</t>
        </is>
      </c>
      <c r="BL33" s="602">
        <f>SUM(IF(BH33=BH$5,4,0),IF(BH33&amp;BI33=BH$5&amp;BI$5,1,0),
IF(AND(BH33=BH$5,BI$6&gt;=$D$115),1,0),
IF(AND(BI33=BH$5,BI$6&gt;=$D$115),1,0),
IF(AND(BJ33=BH$5,BI$6&gt;=$D$115),1,0),
IF(BH33&amp;BK33=BL$5,1,0),
IF(BI33=BH$5,2,0),
IF(BJ33=BH$5,1,0),
IF(OR(BH33&amp;BI33&amp;BJ33=BH$5&amp;BI$5&amp;BJ$5,BH33&amp;BI33&amp;BJ33=BH$5&amp;BJ$5&amp;BI$5,BH33&amp;BI33&amp;BJ33=BI$5&amp;BH$5&amp;BJ$5,BH33&amp;BI33&amp;BJ33=BI$5&amp;BJ$5&amp;BH$5,BH33&amp;BI33&amp;BJ33=BJ$5&amp;BH$5&amp;BI$5,BH33&amp;BI33&amp;BJ33=BJ$5&amp;BI$5&amp;BH$5),2,0),IF(AND(BH33=BH$5,BI$6&gt;=$D$129),1,0),IF(AND(BI33=BH$5,BI$6&gt;=$D$129),1,0),IF(AND(BJ33=BH$5,BI$6&gt;=$D$129),1,0),IF(BH33&amp;BK33=BK$5,4,0),IF(AND(BH33=BH$5,BI$6&lt;=$D$104),-0.5,0),IF(AND(BI33=BH$5,BI$6&lt;=$D$104),-0.5,0),IF(AND(BJ33=BH$5,BI$6&lt;=$D$104),-0.5,0))</f>
        <v/>
      </c>
      <c r="BM33" s="145" t="n">
        <v>3</v>
      </c>
      <c r="BN33" s="146" t="n">
        <v>1</v>
      </c>
      <c r="BO33" s="146" t="n">
        <v>12</v>
      </c>
      <c r="BP33" s="146" t="n"/>
      <c r="BQ33" s="602">
        <f>SUM(IF(BM33=BM$5,4,0),IF(BM33&amp;BN33=BM$5&amp;BN$5,1,0),
IF(AND(BM33=BM$5,BN$6&gt;=$D$115),1,0),
IF(AND(BN33=BM$5,BN$6&gt;=$D$115),1,0),
IF(AND(BO33=BM$5,BN$6&gt;=$D$115),1,0),
IF(BM33&amp;BP33=BQ$5,1,0),
IF(BN33=BM$5,2,0),
IF(BO33=BM$5,1,0),
IF(OR(BM33&amp;BN33&amp;BO33=BM$5&amp;BN$5&amp;BO$5,BM33&amp;BN33&amp;BO33=BM$5&amp;BO$5&amp;BN$5,BM33&amp;BN33&amp;BO33=BN$5&amp;BM$5&amp;BO$5,BM33&amp;BN33&amp;BO33=BN$5&amp;BO$5&amp;BM$5,BM33&amp;BN33&amp;BO33=BO$5&amp;BM$5&amp;BN$5,BM33&amp;BN33&amp;BO33=BO$5&amp;BN$5&amp;BM$5),2,0),IF(AND(BM33=BM$5,BN$6&gt;=$D$129),1,0),IF(AND(BN33=BM$5,BN$6&gt;=$D$129),1,0),IF(AND(BO33=BM$5,BN$6&gt;=$D$129),1,0),IF(BM33&amp;BP33=BP$5,4,0),IF(AND(BM33=BM$5,BN$6&lt;=$D$104),-0.5,0),IF(AND(BN33=BM$5,BN$6&lt;=$D$104),-0.5,0),IF(AND(BO33=BM$5,BN$6&lt;=$D$104),-0.5,0))</f>
        <v/>
      </c>
      <c r="BR33" s="145" t="n"/>
      <c r="BS33" s="146" t="n"/>
      <c r="BT33" s="146" t="n"/>
      <c r="BU33" s="146" t="n"/>
      <c r="BV33" s="602">
        <f>SUM(IF(BR33=BR$5,4,0),IF(BR33&amp;BS33=BR$5&amp;BS$5,1,0),
IF(AND(BR33=BR$5,BS$6&gt;=$D$115),1,0),
IF(AND(BS33=BR$5,BS$6&gt;=$D$115),1,0),
IF(AND(BT33=BR$5,BS$6&gt;=$D$115),1,0),
IF(BR33&amp;BU33=BV$5,1,0),
IF(BS33=BR$5,2,0),
IF(BT33=BR$5,1,0),
IF(OR(BR33&amp;BS33&amp;BT33=BR$5&amp;BS$5&amp;BT$5,BR33&amp;BS33&amp;BT33=BR$5&amp;BT$5&amp;BS$5,BR33&amp;BS33&amp;BT33=BS$5&amp;BR$5&amp;BT$5,BR33&amp;BS33&amp;BT33=BS$5&amp;BT$5&amp;BR$5,BR33&amp;BS33&amp;BT33=BT$5&amp;BR$5&amp;BS$5,BR33&amp;BS33&amp;BT33=BT$5&amp;BS$5&amp;BR$5),2,0),IF(AND(BR33=BR$5,BS$6&gt;=$D$129),1,0),IF(AND(BS33=BR$5,BS$6&gt;=$D$129),1,0),IF(AND(BT33=BR$5,BS$6&gt;=$D$129),1,0),IF(BR33&amp;BU33=BU$5,4,0),IF(AND(BR33=BR$5,BS$6&lt;=$D$104),-0.5,0),IF(AND(BS33=BR$5,BS$6&lt;=$D$104),-0.5,0),IF(AND(BT33=BR$5,BS$6&lt;=$D$104),-0.5,0))</f>
        <v/>
      </c>
      <c r="BW33" s="145" t="n"/>
      <c r="BX33" s="146" t="n"/>
      <c r="BY33" s="146" t="n"/>
      <c r="BZ33" s="146" t="n"/>
      <c r="CA33" s="602">
        <f>SUM(IF(BW33=BW$5,4,0),IF(BW33&amp;BX33=BW$5&amp;BX$5,1,0),
IF(AND(BW33=BW$5,BX$6&gt;=$D$115),1,0),
IF(AND(BX33=BW$5,BX$6&gt;=$D$115),1,0),
IF(AND(BY33=BW$5,BX$6&gt;=$D$115),1,0),
IF(BW33&amp;BZ33=CA$5,1,0),
IF(BX33=BW$5,2,0),
IF(BY33=BW$5,1,0),
IF(OR(BW33&amp;BX33&amp;BY33=BW$5&amp;BX$5&amp;BY$5,BW33&amp;BX33&amp;BY33=BW$5&amp;BY$5&amp;BX$5,BW33&amp;BX33&amp;BY33=BX$5&amp;BW$5&amp;BY$5,BW33&amp;BX33&amp;BY33=BX$5&amp;BY$5&amp;BW$5,BW33&amp;BX33&amp;BY33=BY$5&amp;BW$5&amp;BX$5,BW33&amp;BX33&amp;BY33=BY$5&amp;BX$5&amp;BW$5),2,0),IF(AND(BW33=BW$5,BX$6&gt;=$D$129),1,0),IF(AND(BX33=BW$5,BX$6&gt;=$D$129),1,0),IF(AND(BY33=BW$5,BX$6&gt;=$D$129),1,0),IF(BW33&amp;BZ33=BZ$5,4,0),IF(AND(BW33=BW$5,BX$6&lt;=$D$104),-0.5,0),IF(AND(BX33=BW$5,BX$6&lt;=$D$104),-0.5,0),IF(AND(BY33=BW$5,BX$6&lt;=$D$104),-0.5,0))</f>
        <v/>
      </c>
      <c r="CB33" s="145" t="n"/>
      <c r="CC33" s="146" t="n"/>
      <c r="CD33" s="146" t="n"/>
      <c r="CE33" s="146" t="n"/>
      <c r="CF33" s="602">
        <f>SUM(IF(CB33=CB$5,4,0),IF(CB33&amp;CC33=CB$5&amp;CC$5,1,0),
IF(AND(CB33=CB$5,CC$6&gt;=$D$115),1,0),
IF(AND(CC33=CB$5,CC$6&gt;=$D$115),1,0),
IF(AND(CD33=CB$5,CC$6&gt;=$D$115),1,0),
IF(CB33&amp;CE33=CF$5,1,0),
IF(CC33=CB$5,2,0),
IF(CD33=CB$5,1,0),
IF(OR(CB33&amp;CC33&amp;CD33=CB$5&amp;CC$5&amp;CD$5,CB33&amp;CC33&amp;CD33=CB$5&amp;CD$5&amp;CC$5,CB33&amp;CC33&amp;CD33=CC$5&amp;CB$5&amp;CD$5,CB33&amp;CC33&amp;CD33=CC$5&amp;CD$5&amp;CB$5,CB33&amp;CC33&amp;CD33=CD$5&amp;CB$5&amp;CC$5,CB33&amp;CC33&amp;CD33=CD$5&amp;CC$5&amp;CB$5),2,0),IF(AND(CB33=CB$5,CC$6&gt;=$D$129),1,0),IF(AND(CC33=CB$5,CC$6&gt;=$D$129),1,0),IF(AND(CD33=CB$5,CC$6&gt;=$D$129),1,0),IF(CB33&amp;CE33=CE$5,4,0),IF(AND(CB33=CB$5,CC$6&lt;=$D$104),-0.5,0),IF(AND(CC33=CB$5,CC$6&lt;=$D$104),-0.5,0),IF(AND(CD33=CB$5,CC$6&lt;=$D$104),-0.5,0))</f>
        <v/>
      </c>
      <c r="CG33" s="164">
        <f>IF(BASE01[[#This Row],[1]]="",0,$B$4)</f>
        <v/>
      </c>
      <c r="CH33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3" s="166">
        <f>IF(BASE01[[#This Row],[Columna14]]=0,0,(CH33/CG33))</f>
        <v/>
      </c>
      <c r="CJ33" s="165">
        <f>IF(BASE01[[#This Row],[1]]="",0,$B$4)</f>
        <v/>
      </c>
      <c r="CK33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3" s="166">
        <f>IF(BASE01[[#This Row],[Columna14]]=0,0,(CK33/CJ33))</f>
        <v/>
      </c>
      <c r="CM33" s="164">
        <f>IF(BASE01[[#This Row],[1]]="",0,$B$4)</f>
        <v/>
      </c>
      <c r="CN33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3" s="166">
        <f>IF(BASE01[[#This Row],[Columna14]]=0,0,(CN33/CM33))</f>
        <v/>
      </c>
      <c r="CP33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3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Row],[Columna25]],$AX$5,BA33,"SF")+COUNTIFS(BASE01[[#This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3" s="166">
        <f>IF(BASE01[[#This Row],[Columna14]]=0,0,(CQ33/CP33))</f>
        <v/>
      </c>
      <c r="CS33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3" s="95" t="n"/>
      <c r="CU33" s="604">
        <f>SUM(CS33,CT33)</f>
        <v/>
      </c>
      <c r="CV33" s="96">
        <f>IF(BASE01[[#This Row],[TIPO]]="PREMIO",$O$3,"0,00")</f>
        <v/>
      </c>
      <c r="CW33" s="576" t="n"/>
      <c r="CY33" s="606">
        <f>IF(CZ33="","",$CZ$25)</f>
        <v/>
      </c>
      <c r="CZ33" s="392" t="n"/>
      <c r="DA33" s="392">
        <f t="array" ref="DA33">IF(CZ33="", "", IF((INDEX(E$8:CE$57, MATCH(CZ33, C$8:C$57, 0), ($CZ$25-1)*5 + 1) &amp; "") = (INDEX(E$5:CE$5, 1, ($CZ$25-1)*5 + 1) &amp; ""), 1, IF((INDEX(E$8:CE$57, MATCH(CZ33, C$8:C$57, 0), ($CZ$25-1)*5 + 2) &amp; "") = (INDEX(E$5:CE$5, 1, ($CZ$25-1)*5 + 1) &amp; ""), 2, IF((INDEX(E$8:CE$57, MATCH(CZ33, C$8:C$57, 0), ($CZ$25-1)*5 + 3) &amp; "") = (INDEX(E$5:CE$5, 1, ($CZ$25-1)*5 + 1) &amp; ""), 3, ""))))</f>
        <v/>
      </c>
      <c r="DB33" s="605">
        <f>BASE01[[#This Row],[COD]]</f>
        <v/>
      </c>
      <c r="DC33" s="395">
        <f t="array" ref="DC33">IFERROR(IF(AND(INDEX($E$8:$CE$57, MATCH($C33, $C$8:$C$57, 0), (COLUMNS($DC33:DC33)-1)*5 + 1) = INDEX($E$5:$CE$5, 1, (COLUMNS($DC33:DC33)-1)*5 + 1), INDEX($E$8:$CE$57, MATCH($C33, $C$8:$C$57, 0), (COLUMNS($DC33:DC33)-1)*5 + 4) = "F"), INDEX($CZ$8:$CZ$23, COLUMNS($DC33:DC33)), "0"), "")</f>
        <v/>
      </c>
      <c r="DD33" s="395">
        <f t="array" ref="DD33">IFERROR(IF(AND(INDEX($E$8:$CE$57, MATCH($C33, $C$8:$C$57, 0), (COLUMNS($DC33:DD33)-1)*5 + 1) = INDEX($E$5:$CE$5, 1, (COLUMNS($DC33:DD33)-1)*5 + 1), INDEX($E$8:$CE$57, MATCH($C33, $C$8:$C$57, 0), (COLUMNS($DC33:DD33)-1)*5 + 4) = "F"), INDEX($CZ$8:$CZ$23, COLUMNS($DC33:DD33)), "0"), "")</f>
        <v/>
      </c>
      <c r="DE33" s="395">
        <f t="array" ref="DE33">IFERROR(IF(AND(INDEX($E$8:$CE$57, MATCH($C33, $C$8:$C$57, 0), (COLUMNS($DC33:DE33)-1)*5 + 1) = INDEX($E$5:$CE$5, 1, (COLUMNS($DC33:DE33)-1)*5 + 1), INDEX($E$8:$CE$57, MATCH($C33, $C$8:$C$57, 0), (COLUMNS($DC33:DE33)-1)*5 + 4) = "F"), INDEX($CZ$8:$CZ$23, COLUMNS($DC33:DE33)), "0"), "")</f>
        <v/>
      </c>
      <c r="DF33" s="395">
        <f t="array" ref="DF33">IFERROR(IF(AND(INDEX($E$8:$CE$57, MATCH($C33, $C$8:$C$57, 0), (COLUMNS($DC33:DF33)-1)*5 + 1) = INDEX($E$5:$CE$5, 1, (COLUMNS($DC33:DF33)-1)*5 + 1), INDEX($E$8:$CE$57, MATCH($C33, $C$8:$C$57, 0), (COLUMNS($DC33:DF33)-1)*5 + 4) = "F"), INDEX($CZ$8:$CZ$23, COLUMNS($DC33:DF33)), "0"), "")</f>
        <v/>
      </c>
      <c r="DG33" s="395">
        <f t="array" ref="DG33">IFERROR(IF(AND(INDEX($E$8:$CE$57, MATCH($C33, $C$8:$C$57, 0), (COLUMNS($DC33:DG33)-1)*5 + 1) = INDEX($E$5:$CE$5, 1, (COLUMNS($DC33:DG33)-1)*5 + 1), INDEX($E$8:$CE$57, MATCH($C33, $C$8:$C$57, 0), (COLUMNS($DC33:DG33)-1)*5 + 4) = "F"), INDEX($CZ$8:$CZ$23, COLUMNS($DC33:DG33)), "0"), "")</f>
        <v/>
      </c>
      <c r="DH33" s="395">
        <f t="array" ref="DH33">IFERROR(IF(AND(INDEX($E$8:$CE$57, MATCH($C33, $C$8:$C$57, 0), (COLUMNS($DC33:DH33)-1)*5 + 1) = INDEX($E$5:$CE$5, 1, (COLUMNS($DC33:DH33)-1)*5 + 1), INDEX($E$8:$CE$57, MATCH($C33, $C$8:$C$57, 0), (COLUMNS($DC33:DH33)-1)*5 + 4) = "F"), INDEX($CZ$8:$CZ$23, COLUMNS($DC33:DH33)), "0"), "")</f>
        <v/>
      </c>
      <c r="DI33" s="395">
        <f t="array" ref="DI33">IFERROR(IF(AND(INDEX($E$8:$CE$57, MATCH($C33, $C$8:$C$57, 0), (COLUMNS($DC33:DI33)-1)*5 + 1) = INDEX($E$5:$CE$5, 1, (COLUMNS($DC33:DI33)-1)*5 + 1), INDEX($E$8:$CE$57, MATCH($C33, $C$8:$C$57, 0), (COLUMNS($DC33:DI33)-1)*5 + 4) = "F"), INDEX($CZ$8:$CZ$23, COLUMNS($DC33:DI33)), "0"), "")</f>
        <v/>
      </c>
      <c r="DJ33" s="395">
        <f t="array" ref="DJ33">IFERROR(IF(AND(INDEX($E$8:$CE$57, MATCH($C33, $C$8:$C$57, 0), (COLUMNS($DC33:DJ33)-1)*5 + 1) = INDEX($E$5:$CE$5, 1, (COLUMNS($DC33:DJ33)-1)*5 + 1), INDEX($E$8:$CE$57, MATCH($C33, $C$8:$C$57, 0), (COLUMNS($DC33:DJ33)-1)*5 + 4) = "F"), INDEX($CZ$8:$CZ$23, COLUMNS($DC33:DJ33)), "0"), "")</f>
        <v/>
      </c>
      <c r="DK33" s="395">
        <f t="array" ref="DK33">IFERROR(IF(AND(INDEX($E$8:$CE$57, MATCH($C33, $C$8:$C$57, 0), (COLUMNS($DC33:DK33)-1)*5 + 1) = INDEX($E$5:$CE$5, 1, (COLUMNS($DC33:DK33)-1)*5 + 1), INDEX($E$8:$CE$57, MATCH($C33, $C$8:$C$57, 0), (COLUMNS($DC33:DK33)-1)*5 + 4) = "F"), INDEX($CZ$8:$CZ$23, COLUMNS($DC33:DK33)), "0"), "")</f>
        <v/>
      </c>
      <c r="DL33" s="395">
        <f t="array" ref="DL33">IFERROR(IF(AND(INDEX($E$8:$CE$57, MATCH($C33, $C$8:$C$57, 0), (COLUMNS($DC33:DL33)-1)*5 + 1) = INDEX($E$5:$CE$5, 1, (COLUMNS($DC33:DL33)-1)*5 + 1), INDEX($E$8:$CE$57, MATCH($C33, $C$8:$C$57, 0), (COLUMNS($DC33:DL33)-1)*5 + 4) = "F"), INDEX($CZ$8:$CZ$23, COLUMNS($DC33:DL33)), "0"), "")</f>
        <v/>
      </c>
      <c r="DM33" s="395">
        <f t="array" ref="DM33">IFERROR(IF(AND(INDEX($E$8:$CE$57, MATCH($C33, $C$8:$C$57, 0), (COLUMNS($DC33:DM33)-1)*5 + 1) = INDEX($E$5:$CE$5, 1, (COLUMNS($DC33:DM33)-1)*5 + 1), INDEX($E$8:$CE$57, MATCH($C33, $C$8:$C$57, 0), (COLUMNS($DC33:DM33)-1)*5 + 4) = "F"), INDEX($CZ$8:$CZ$23, COLUMNS($DC33:DM33)), "0"), "")</f>
        <v/>
      </c>
      <c r="DN33" s="395">
        <f t="array" ref="DN33">IFERROR(IF(AND(INDEX($E$8:$CE$57, MATCH($C33, $C$8:$C$57, 0), (COLUMNS($DC33:DN33)-1)*5 + 1) = INDEX($E$5:$CE$5, 1, (COLUMNS($DC33:DN33)-1)*5 + 1), INDEX($E$8:$CE$57, MATCH($C33, $C$8:$C$57, 0), (COLUMNS($DC33:DN33)-1)*5 + 4) = "F"), INDEX($CZ$8:$CZ$23, COLUMNS($DC33:DN33)), "0"), "")</f>
        <v/>
      </c>
      <c r="DO33" s="395">
        <f t="array" ref="DO33">IFERROR(IF(AND(INDEX($E$8:$CE$57, MATCH($C33, $C$8:$C$57, 0), (COLUMNS($DC33:DO33)-1)*5 + 1) = INDEX($E$5:$CE$5, 1, (COLUMNS($DC33:DO33)-1)*5 + 1), INDEX($E$8:$CE$57, MATCH($C33, $C$8:$C$57, 0), (COLUMNS($DC33:DO33)-1)*5 + 4) = "F"), INDEX($CZ$8:$CZ$23, COLUMNS($DC33:DO33)), "0"), "")</f>
        <v/>
      </c>
      <c r="DP33" s="395">
        <f t="array" ref="DP33">IFERROR(IF(AND(INDEX($E$8:$CE$57, MATCH($C33, $C$8:$C$57, 0), (COLUMNS($DC33:DP33)-1)*5 + 1) = INDEX($E$5:$CE$5, 1, (COLUMNS($DC33:DP33)-1)*5 + 1), INDEX($E$8:$CE$57, MATCH($C33, $C$8:$C$57, 0), (COLUMNS($DC33:DP33)-1)*5 + 4) = "F"), INDEX($CZ$8:$CZ$23, COLUMNS($DC33:DP33)), "0"), "")</f>
        <v/>
      </c>
      <c r="DQ33" s="395">
        <f t="array" ref="DQ33">IFERROR(IF(AND(INDEX($E$8:$CE$57, MATCH($C33, $C$8:$C$57, 0), (COLUMNS($DC33:DQ33)-1)*5 + 1) = INDEX($E$5:$CE$5, 1, (COLUMNS($DC33:DQ33)-1)*5 + 1), INDEX($E$8:$CE$57, MATCH($C33, $C$8:$C$57, 0), (COLUMNS($DC33:DQ33)-1)*5 + 4) = "F"), INDEX($CZ$8:$CZ$23, COLUMNS($DC33:DQ33)), "0"), "")</f>
        <v/>
      </c>
      <c r="DR33" s="395">
        <f t="array" ref="DR33">IFERROR(IF(AND(INDEX($E$8:$CE$57, MATCH($C33, $C$8:$C$57, 0), (COLUMNS($DC33:DR33)-1)*5 + 1) = INDEX($E$5:$CE$5, 1, (COLUMNS($DC33:DR33)-1)*5 + 1), INDEX($E$8:$CE$57, MATCH($C33, $C$8:$C$57, 0), (COLUMNS($DC33:DR33)-1)*5 + 4) = "F"), INDEX($CZ$8:$CZ$23, COLUMNS($DC33:DR33)), "0"), "")</f>
        <v/>
      </c>
      <c r="DT33" s="605">
        <f>BASE01[[#This Row],[COD]]</f>
        <v/>
      </c>
      <c r="DU33" s="395">
        <f t="array" ref="DU33">IFERROR(IF(AND(INDEX($E$8:$CE$57, MATCH($C33, $C$8:$C$57, 0), (COLUMNS($DU33:DU33)-1)*5 + 1) = INDEX($E$5:$CE$5, 1, (COLUMNS($DU33:DU33)-1)*5 + 1), INDEX($E$8:$CE$57, MATCH($C33, $C$8:$C$57, 0), (COLUMNS($DU33:DU33)-1)*5 + 4) = "SF"), INDEX($CZ$8:$CZ$23, COLUMNS($DU33:DU33)), "0"), "")</f>
        <v/>
      </c>
      <c r="DV33" s="395">
        <f t="array" ref="DV33">IFERROR(IF(AND(INDEX($E$8:$CE$57, MATCH($C33, $C$8:$C$57, 0), (COLUMNS($DU33:DV33)-1)*5 + 1) = INDEX($E$5:$CE$5, 1, (COLUMNS($DU33:DV33)-1)*5 + 1), INDEX($E$8:$CE$57, MATCH($C33, $C$8:$C$57, 0), (COLUMNS($DU33:DV33)-1)*5 + 4) = "SF"), INDEX($CZ$8:$CZ$23, COLUMNS($DU33:DV33)), "0"), "")</f>
        <v/>
      </c>
      <c r="DW33" s="395">
        <f t="array" ref="DW33">IFERROR(IF(AND(INDEX($E$8:$CE$57, MATCH($C33, $C$8:$C$57, 0), (COLUMNS($DU33:DW33)-1)*5 + 1) = INDEX($E$5:$CE$5, 1, (COLUMNS($DU33:DW33)-1)*5 + 1), INDEX($E$8:$CE$57, MATCH($C33, $C$8:$C$57, 0), (COLUMNS($DU33:DW33)-1)*5 + 4) = "SF"), INDEX($CZ$8:$CZ$23, COLUMNS($DU33:DW33)), "0"), "")</f>
        <v/>
      </c>
      <c r="DX33" s="395">
        <f t="array" ref="DX33">IFERROR(IF(AND(INDEX($E$8:$CE$57, MATCH($C33, $C$8:$C$57, 0), (COLUMNS($DU33:DX33)-1)*5 + 1) = INDEX($E$5:$CE$5, 1, (COLUMNS($DU33:DX33)-1)*5 + 1), INDEX($E$8:$CE$57, MATCH($C33, $C$8:$C$57, 0), (COLUMNS($DU33:DX33)-1)*5 + 4) = "SF"), INDEX($CZ$8:$CZ$23, COLUMNS($DU33:DX33)), "0"), "")</f>
        <v/>
      </c>
      <c r="DY33" s="395">
        <f t="array" ref="DY33">IFERROR(IF(AND(INDEX($E$8:$CE$57, MATCH($C33, $C$8:$C$57, 0), (COLUMNS($DU33:DY33)-1)*5 + 1) = INDEX($E$5:$CE$5, 1, (COLUMNS($DU33:DY33)-1)*5 + 1), INDEX($E$8:$CE$57, MATCH($C33, $C$8:$C$57, 0), (COLUMNS($DU33:DY33)-1)*5 + 4) = "SF"), INDEX($CZ$8:$CZ$23, COLUMNS($DU33:DY33)), "0"), "")</f>
        <v/>
      </c>
      <c r="DZ33" s="395">
        <f t="array" ref="DZ33">IFERROR(IF(AND(INDEX($E$8:$CE$57, MATCH($C33, $C$8:$C$57, 0), (COLUMNS($DU33:DZ33)-1)*5 + 1) = INDEX($E$5:$CE$5, 1, (COLUMNS($DU33:DZ33)-1)*5 + 1), INDEX($E$8:$CE$57, MATCH($C33, $C$8:$C$57, 0), (COLUMNS($DU33:DZ33)-1)*5 + 4) = "SF"), INDEX($CZ$8:$CZ$23, COLUMNS($DU33:DZ33)), "0"), "")</f>
        <v/>
      </c>
      <c r="EA33" s="395">
        <f t="array" ref="EA33">IFERROR(IF(AND(INDEX($E$8:$CE$57, MATCH($C33, $C$8:$C$57, 0), (COLUMNS($DU33:EA33)-1)*5 + 1) = INDEX($E$5:$CE$5, 1, (COLUMNS($DU33:EA33)-1)*5 + 1), INDEX($E$8:$CE$57, MATCH($C33, $C$8:$C$57, 0), (COLUMNS($DU33:EA33)-1)*5 + 4) = "SF"), INDEX($CZ$8:$CZ$23, COLUMNS($DU33:EA33)), "0"), "")</f>
        <v/>
      </c>
      <c r="EB33" s="395">
        <f t="array" ref="EB33">IFERROR(IF(AND(INDEX($E$8:$CE$57, MATCH($C33, $C$8:$C$57, 0), (COLUMNS($DU33:EB33)-1)*5 + 1) = INDEX($E$5:$CE$5, 1, (COLUMNS($DU33:EB33)-1)*5 + 1), INDEX($E$8:$CE$57, MATCH($C33, $C$8:$C$57, 0), (COLUMNS($DU33:EB33)-1)*5 + 4) = "SF"), INDEX($CZ$8:$CZ$23, COLUMNS($DU33:EB33)), "0"), "")</f>
        <v/>
      </c>
      <c r="EC33" s="395">
        <f t="array" ref="EC33">IFERROR(IF(AND(INDEX($E$8:$CE$57, MATCH($C33, $C$8:$C$57, 0), (COLUMNS($DU33:EC33)-1)*5 + 1) = INDEX($E$5:$CE$5, 1, (COLUMNS($DU33:EC33)-1)*5 + 1), INDEX($E$8:$CE$57, MATCH($C33, $C$8:$C$57, 0), (COLUMNS($DU33:EC33)-1)*5 + 4) = "SF"), INDEX($CZ$8:$CZ$23, COLUMNS($DU33:EC33)), "0"), "")</f>
        <v/>
      </c>
      <c r="ED33" s="395">
        <f t="array" ref="ED33">IFERROR(IF(AND(INDEX($E$8:$CE$57, MATCH($C33, $C$8:$C$57, 0), (COLUMNS($DU33:ED33)-1)*5 + 1) = INDEX($E$5:$CE$5, 1, (COLUMNS($DU33:ED33)-1)*5 + 1), INDEX($E$8:$CE$57, MATCH($C33, $C$8:$C$57, 0), (COLUMNS($DU33:ED33)-1)*5 + 4) = "SF"), INDEX($CZ$8:$CZ$23, COLUMNS($DU33:ED33)), "0"), "")</f>
        <v/>
      </c>
      <c r="EE33" s="395">
        <f t="array" ref="EE33">IFERROR(IF(AND(INDEX($E$8:$CE$57, MATCH($C33, $C$8:$C$57, 0), (COLUMNS($DU33:EE33)-1)*5 + 1) = INDEX($E$5:$CE$5, 1, (COLUMNS($DU33:EE33)-1)*5 + 1), INDEX($E$8:$CE$57, MATCH($C33, $C$8:$C$57, 0), (COLUMNS($DU33:EE33)-1)*5 + 4) = "SF"), INDEX($CZ$8:$CZ$23, COLUMNS($DU33:EE33)), "0"), "")</f>
        <v/>
      </c>
      <c r="EF33" s="395">
        <f t="array" ref="EF33">IFERROR(IF(AND(INDEX($E$8:$CE$57, MATCH($C33, $C$8:$C$57, 0), (COLUMNS($DU33:EF33)-1)*5 + 1) = INDEX($E$5:$CE$5, 1, (COLUMNS($DU33:EF33)-1)*5 + 1), INDEX($E$8:$CE$57, MATCH($C33, $C$8:$C$57, 0), (COLUMNS($DU33:EF33)-1)*5 + 4) = "SF"), INDEX($CZ$8:$CZ$23, COLUMNS($DU33:EF33)), "0"), "")</f>
        <v/>
      </c>
      <c r="EG33" s="395">
        <f t="array" ref="EG33">IFERROR(IF(AND(INDEX($E$8:$CE$57, MATCH($C33, $C$8:$C$57, 0), (COLUMNS($DU33:EG33)-1)*5 + 1) = INDEX($E$5:$CE$5, 1, (COLUMNS($DU33:EG33)-1)*5 + 1), INDEX($E$8:$CE$57, MATCH($C33, $C$8:$C$57, 0), (COLUMNS($DU33:EG33)-1)*5 + 4) = "SF"), INDEX($CZ$8:$CZ$23, COLUMNS($DU33:EG33)), "0"), "")</f>
        <v/>
      </c>
      <c r="EH33" s="395">
        <f t="array" ref="EH33">IFERROR(IF(AND(INDEX($E$8:$CE$57, MATCH($C33, $C$8:$C$57, 0), (COLUMNS($DU33:EH33)-1)*5 + 1) = INDEX($E$5:$CE$5, 1, (COLUMNS($DU33:EH33)-1)*5 + 1), INDEX($E$8:$CE$57, MATCH($C33, $C$8:$C$57, 0), (COLUMNS($DU33:EH33)-1)*5 + 4) = "SF"), INDEX($CZ$8:$CZ$23, COLUMNS($DU33:EH33)), "0"), "")</f>
        <v/>
      </c>
      <c r="EI33" s="395">
        <f t="array" ref="EI33">IFERROR(IF(AND(INDEX($E$8:$CE$57, MATCH($C33, $C$8:$C$57, 0), (COLUMNS($DU33:EI33)-1)*5 + 1) = INDEX($E$5:$CE$5, 1, (COLUMNS($DU33:EI33)-1)*5 + 1), INDEX($E$8:$CE$57, MATCH($C33, $C$8:$C$57, 0), (COLUMNS($DU33:EI33)-1)*5 + 4) = "SF"), INDEX($CZ$8:$CZ$23, COLUMNS($DU33:EI33)), "0"), "")</f>
        <v/>
      </c>
      <c r="EJ33" s="395">
        <f t="array" ref="EJ33">IFERROR(IF(AND(INDEX($E$8:$CE$57, MATCH($C33, $C$8:$C$57, 0), (COLUMNS($DU33:EJ33)-1)*5 + 1) = INDEX($E$5:$CE$5, 1, (COLUMNS($DU33:EJ33)-1)*5 + 1), INDEX($E$8:$CE$57, MATCH($C33, $C$8:$C$57, 0), (COLUMNS($DU33:EJ33)-1)*5 + 4) = "SF"), INDEX($CZ$8:$CZ$23, COLUMNS($DU33:EJ33)), "0"), "")</f>
        <v/>
      </c>
    </row>
    <row r="34" ht="19.5" customHeight="1" s="568">
      <c r="A34" s="576" t="n"/>
      <c r="B34" s="92">
        <f>IF(BASE01[[#This Row],[COD]]&lt;&gt;"",B33+1,"")</f>
        <v/>
      </c>
      <c r="C34" s="601" t="inlineStr">
        <is>
          <t>COD 27</t>
        </is>
      </c>
      <c r="D34" s="93">
        <f t="array" ref="D34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4" s="145" t="n">
        <v>8</v>
      </c>
      <c r="F34" s="146" t="n">
        <v>1</v>
      </c>
      <c r="G34" s="146" t="n">
        <v>6</v>
      </c>
      <c r="H34" s="146" t="n"/>
      <c r="I34" s="602">
        <f>SUM(IF(E34=E$5,4,0),IF(E34&amp;F34=E$5&amp;F$5,1,0),
IF(AND(E34=E$5,F$6&gt;=$D$115),1,0),
IF(AND(F34=E$5,F$6&gt;=$D$115),1,0),
IF(AND(G34=E$5,F$6&gt;=$D$115),1,0),
IF(E34&amp;H34=I$5,1,0),
IF(F34=E$5,2,0),
IF(G34=E$5,1,0),
IF(OR(E34&amp;F34&amp;G34=E$5&amp;F$5&amp;G$5,E34&amp;F34&amp;G34=E$5&amp;G$5&amp;F$5,E34&amp;F34&amp;G34=F$5&amp;E$5&amp;G$5,E34&amp;F34&amp;G34=F$5&amp;G$5&amp;E$5,E34&amp;F34&amp;G34=G$5&amp;E$5&amp;F$5,E34&amp;F34&amp;G34=G$5&amp;F$5&amp;E$5),2,0),IF(AND(E34=E$5,F$6&gt;=$D$129),1,0),IF(AND(F34=E$5,F$6&gt;=$D$129),1,0),IF(AND(G34=E$5,F$6&gt;=$D$129),1,0),IF(E34&amp;H34=H$5,4,0),IF(AND(E34=E$5,F$6&lt;=$D$104),-0.5,0),IF(AND(F34=E$5,F$6&lt;=$D$104),-0.5,0),IF(AND(G34=E$5,F$6&lt;=$D$104),-0.5,0))</f>
        <v/>
      </c>
      <c r="J34" s="145" t="n">
        <v>3</v>
      </c>
      <c r="K34" s="146" t="n">
        <v>8</v>
      </c>
      <c r="L34" s="146" t="n">
        <v>2</v>
      </c>
      <c r="M34" s="146" t="n"/>
      <c r="N34" s="602">
        <f>SUM(IF(J34=J$5,4,0),IF(J34&amp;K34=J$5&amp;K$5,1,0),
IF(AND(J34=J$5,K$6&gt;=$D$115),1,0),
IF(AND(K34=J$5,K$6&gt;=$D$115),1,0),
IF(AND(L34=J$5,K$6&gt;=$D$115),1,0),
IF(J34&amp;M34=N$5,1,0),
IF(K34=J$5,2,0),
IF(L34=J$5,1,0),
IF(OR(J34&amp;K34&amp;L34=J$5&amp;K$5&amp;L$5,J34&amp;K34&amp;L34=J$5&amp;L$5&amp;K$5,J34&amp;K34&amp;L34=K$5&amp;J$5&amp;L$5,J34&amp;K34&amp;L34=K$5&amp;L$5&amp;J$5,J34&amp;K34&amp;L34=L$5&amp;J$5&amp;K$5,J34&amp;K34&amp;L34=L$5&amp;K$5&amp;J$5),2,0),IF(AND(J34=J$5,K$6&gt;=$D$129),1,0),IF(AND(K34=J$5,K$6&gt;=$D$129),1,0),IF(AND(L34=J$5,K$6&gt;=$D$129),1,0),IF(J34&amp;M34=M$5,4,0),IF(AND(J34=J$5,K$6&lt;=$D$104),-0.5,0),IF(AND(K34=J$5,K$6&lt;=$D$104),-0.5,0),IF(AND(L34=J$5,K$6&lt;=$D$104),-0.5,0))</f>
        <v/>
      </c>
      <c r="O34" s="145" t="n">
        <v>3</v>
      </c>
      <c r="P34" s="146" t="n">
        <v>6</v>
      </c>
      <c r="Q34" s="146" t="n">
        <v>1</v>
      </c>
      <c r="R34" s="146" t="n"/>
      <c r="S34" s="602">
        <f>SUM(IF(O34=O$5,4,0),IF(O34&amp;P34=O$5&amp;P$5,1,0),
IF(AND(O34=O$5,P$6&gt;=$D$115),1,0),
IF(AND(P34=O$5,P$6&gt;=$D$115),1,0),
IF(AND(Q34=O$5,P$6&gt;=$D$115),1,0),
IF(O34&amp;R34=S$5,1,0),
IF(P34=O$5,2,0),
IF(Q34=O$5,1,0),
IF(OR(O34&amp;P34&amp;Q34=O$5&amp;P$5&amp;Q$5,O34&amp;P34&amp;Q34=O$5&amp;Q$5&amp;P$5,O34&amp;P34&amp;Q34=P$5&amp;O$5&amp;Q$5,O34&amp;P34&amp;Q34=P$5&amp;Q$5&amp;O$5,O34&amp;P34&amp;Q34=Q$5&amp;O$5&amp;P$5,O34&amp;P34&amp;Q34=Q$5&amp;P$5&amp;O$5),2,0),IF(AND(O34=O$5,P$6&gt;=$D$129),1,0),IF(AND(P34=O$5,P$6&gt;=$D$129),1,0),IF(AND(Q34=O$5,P$6&gt;=$D$129),1,0),IF(O34&amp;R34=R$5,4,0),IF(AND(O34=O$5,P$6&lt;=$D$104),-0.5,0),IF(AND(P34=O$5,P$6&lt;=$D$104),-0.5,0),IF(AND(Q34=O$5,P$6&lt;=$D$104),-0.5,0))</f>
        <v/>
      </c>
      <c r="T34" s="145" t="n">
        <v>6</v>
      </c>
      <c r="U34" s="146" t="n">
        <v>8</v>
      </c>
      <c r="V34" s="146" t="n">
        <v>9</v>
      </c>
      <c r="W34" s="146" t="n"/>
      <c r="X34" s="602">
        <f>SUM(IF(T34=T$5,4,0),IF(T34&amp;U34=T$5&amp;U$5,1,0),
IF(AND(T34=T$5,U$6&gt;=$D$115),1,0),
IF(AND(U34=T$5,U$6&gt;=$D$115),1,0),
IF(AND(V34=T$5,U$6&gt;=$D$115),1,0),
IF(T34&amp;W34=X$5,1,0),
IF(U34=T$5,2,0),
IF(V34=T$5,1,0),
IF(OR(T34&amp;U34&amp;V34=T$5&amp;U$5&amp;V$5,T34&amp;U34&amp;V34=T$5&amp;V$5&amp;U$5,T34&amp;U34&amp;V34=U$5&amp;T$5&amp;V$5,T34&amp;U34&amp;V34=U$5&amp;V$5&amp;T$5,T34&amp;U34&amp;V34=V$5&amp;T$5&amp;U$5,T34&amp;U34&amp;V34=V$5&amp;U$5&amp;T$5),2,0),IF(AND(T34=T$5,U$6&gt;=$D$129),1,0),IF(AND(U34=T$5,U$6&gt;=$D$129),1,0),IF(AND(V34=T$5,U$6&gt;=$D$129),1,0),IF(T34&amp;W34=W$5,4,0),IF(AND(T34=T$5,U$6&lt;=$D$104),-0.5,0),IF(AND(U34=T$5,U$6&lt;=$D$104),-0.5,0),IF(AND(V34=T$5,U$6&lt;=$D$104),-0.5,0))</f>
        <v/>
      </c>
      <c r="Y34" s="145" t="n">
        <v>5</v>
      </c>
      <c r="Z34" s="146" t="n"/>
      <c r="AA34" s="146" t="n"/>
      <c r="AB34" s="146" t="inlineStr">
        <is>
          <t>SF</t>
        </is>
      </c>
      <c r="AC34" s="602">
        <f>SUM(IF(Y34=Y$5,4,0),IF(Y34&amp;Z34=Y$5&amp;Z$5,1,0),
IF(AND(Y34=Y$5,Z$6&gt;=$D$115),1,0),
IF(AND(Z34=Y$5,Z$6&gt;=$D$115),1,0),
IF(AND(AA34=Y$5,Z$6&gt;=$D$115),1,0),
IF(Y34&amp;AB34=AC$5,1,0),
IF(Z34=Y$5,2,0),
IF(AA34=Y$5,1,0),
IF(OR(Y34&amp;Z34&amp;AA34=Y$5&amp;Z$5&amp;AA$5,Y34&amp;Z34&amp;AA34=Y$5&amp;AA$5&amp;Z$5,Y34&amp;Z34&amp;AA34=Z$5&amp;Y$5&amp;AA$5,Y34&amp;Z34&amp;AA34=Z$5&amp;AA$5&amp;Y$5,Y34&amp;Z34&amp;AA34=AA$5&amp;Y$5&amp;Z$5,Y34&amp;Z34&amp;AA34=AA$5&amp;Z$5&amp;Y$5),2,0),IF(AND(Y34=Y$5,Z$6&gt;=$D$129),1,0),IF(AND(Z34=Y$5,Z$6&gt;=$D$129),1,0),IF(AND(AA34=Y$5,Z$6&gt;=$D$129),1,0),IF(Y34&amp;AB34=AB$5,4,0),IF(AND(Y34=Y$5,Z$6&lt;=$D$104),-0.5,0),IF(AND(Z34=Y$5,Z$6&lt;=$D$104),-0.5,0),IF(AND(AA34=Y$5,Z$6&lt;=$D$104),-0.5,0))</f>
        <v/>
      </c>
      <c r="AD34" s="145" t="n">
        <v>2</v>
      </c>
      <c r="AE34" s="146" t="n">
        <v>7</v>
      </c>
      <c r="AF34" s="146" t="n">
        <v>5</v>
      </c>
      <c r="AG34" s="146" t="inlineStr">
        <is>
          <t>F</t>
        </is>
      </c>
      <c r="AH34" s="602">
        <f>SUM(IF(AD34=AD$5,4,0),IF(AD34&amp;AE34=AD$5&amp;AE$5,1,0),
IF(AND(AD34=AD$5,AE$6&gt;=$D$115),1,0),
IF(AND(AE34=AD$5,AE$6&gt;=$D$115),1,0),
IF(AND(AF34=AD$5,AE$6&gt;=$D$115),1,0),
IF(AD34&amp;AG34=AH$5,1,0),
IF(AE34=AD$5,2,0),
IF(AF34=AD$5,1,0),
IF(OR(AD34&amp;AE34&amp;AF34=AD$5&amp;AE$5&amp;AF$5,AD34&amp;AE34&amp;AF34=AD$5&amp;AF$5&amp;AE$5,AD34&amp;AE34&amp;AF34=AE$5&amp;AD$5&amp;AF$5,AD34&amp;AE34&amp;AF34=AE$5&amp;AF$5&amp;AD$5,AD34&amp;AE34&amp;AF34=AF$5&amp;AD$5&amp;AE$5,AD34&amp;AE34&amp;AF34=AF$5&amp;AE$5&amp;AD$5),2,0),IF(AND(AD34=AD$5,AE$6&gt;=$D$129),1,0),IF(AND(AE34=AD$5,AE$6&gt;=$D$129),1,0),IF(AND(AF34=AD$5,AE$6&gt;=$D$129),1,0),IF(AD34&amp;AG34=AG$5,4,0),IF(AND(AD34=AD$5,AE$6&lt;=$D$104),-0.5,0),IF(AND(AE34=AD$5,AE$6&lt;=$D$104),-0.5,0),IF(AND(AF34=AD$5,AE$6&lt;=$D$104),-0.5,0))</f>
        <v/>
      </c>
      <c r="AI34" s="145" t="n">
        <v>4</v>
      </c>
      <c r="AJ34" s="146" t="n">
        <v>7</v>
      </c>
      <c r="AK34" s="146" t="n">
        <v>2</v>
      </c>
      <c r="AL34" s="146" t="n"/>
      <c r="AM34" s="602">
        <f>SUM(IF(AI34=AI$5,4,0),IF(AI34&amp;AJ34=AI$5&amp;AJ$5,1,0),
IF(AND(AI34=AI$5,AJ$6&gt;=$D$115),1,0),
IF(AND(AJ34=AI$5,AJ$6&gt;=$D$115),1,0),
IF(AND(AK34=AI$5,AJ$6&gt;=$D$115),1,0),
IF(AI34&amp;AL34=AM$5,1,0),
IF(AJ34=AI$5,2,0),
IF(AK34=AI$5,1,0),
IF(OR(AI34&amp;AJ34&amp;AK34=AI$5&amp;AJ$5&amp;AK$5,AI34&amp;AJ34&amp;AK34=AI$5&amp;AK$5&amp;AJ$5,AI34&amp;AJ34&amp;AK34=AJ$5&amp;AI$5&amp;AK$5,AI34&amp;AJ34&amp;AK34=AJ$5&amp;AK$5&amp;AI$5,AI34&amp;AJ34&amp;AK34=AK$5&amp;AI$5&amp;AJ$5,AI34&amp;AJ34&amp;AK34=AK$5&amp;AJ$5&amp;AI$5),2,0),IF(AND(AI34=AI$5,AJ$6&gt;=$D$129),1,0),IF(AND(AJ34=AI$5,AJ$6&gt;=$D$129),1,0),IF(AND(AK34=AI$5,AJ$6&gt;=$D$129),1,0),IF(AI34&amp;AL34=AL$5,4,0),IF(AND(AI34=AI$5,AJ$6&lt;=$D$104),-0.5,0),IF(AND(AJ34=AI$5,AJ$6&lt;=$D$104),-0.5,0),IF(AND(AK34=AI$5,AJ$6&lt;=$D$104),-0.5,0))</f>
        <v/>
      </c>
      <c r="AN34" s="145" t="n">
        <v>7</v>
      </c>
      <c r="AO34" s="146" t="n">
        <v>9</v>
      </c>
      <c r="AP34" s="146" t="n">
        <v>8</v>
      </c>
      <c r="AQ34" s="146" t="n"/>
      <c r="AR34" s="602">
        <f>SUM(IF(AN34=AN$5,4,0),IF(AN34&amp;AO34=AN$5&amp;AO$5,1,0),
IF(AND(AN34=AN$5,AO$6&gt;=$D$115),1,0),
IF(AND(AO34=AN$5,AO$6&gt;=$D$115),1,0),
IF(AND(AP34=AN$5,AO$6&gt;=$D$115),1,0),
IF(AN34&amp;AQ34=AR$5,1,0),
IF(AO34=AN$5,2,0),
IF(AP34=AN$5,1,0),
IF(OR(AN34&amp;AO34&amp;AP34=AN$5&amp;AO$5&amp;AP$5,AN34&amp;AO34&amp;AP34=AN$5&amp;AP$5&amp;AO$5,AN34&amp;AO34&amp;AP34=AO$5&amp;AN$5&amp;AP$5,AN34&amp;AO34&amp;AP34=AO$5&amp;AP$5&amp;AN$5,AN34&amp;AO34&amp;AP34=AP$5&amp;AN$5&amp;AO$5,AN34&amp;AO34&amp;AP34=AP$5&amp;AO$5&amp;AN$5),2,0),IF(AND(AN34=AN$5,AO$6&gt;=$D$129),1,0),IF(AND(AO34=AN$5,AO$6&gt;=$D$129),1,0),IF(AND(AP34=AN$5,AO$6&gt;=$D$129),1,0),IF(AN34&amp;AQ34=AQ$5,4,0),IF(AND(AN34=AN$5,AO$6&lt;=$D$104),-0.5,0),IF(AND(AO34=AN$5,AO$6&lt;=$D$104),-0.5,0),IF(AND(AP34=AN$5,AO$6&lt;=$D$104),-0.5,0))</f>
        <v/>
      </c>
      <c r="AS34" s="145" t="n">
        <v>1</v>
      </c>
      <c r="AT34" s="146" t="n">
        <v>7</v>
      </c>
      <c r="AU34" s="146" t="n">
        <v>5</v>
      </c>
      <c r="AV34" s="146" t="inlineStr">
        <is>
          <t>F</t>
        </is>
      </c>
      <c r="AW34" s="602">
        <f>SUM(IF(AS34=AS$5,4,0),IF(AS34&amp;AT34=AS$5&amp;AT$5,1,0),
IF(AND(AS34=AS$5,AT$6&gt;=$D$115),1,0),
IF(AND(AT34=AS$5,AT$6&gt;=$D$115),1,0),
IF(AND(AU34=AS$5,AT$6&gt;=$D$115),1,0),
IF(AS34&amp;AV34=AW$5,1,0),
IF(AT34=AS$5,2,0),
IF(AU34=AS$5,1,0),
IF(OR(AS34&amp;AT34&amp;AU34=AS$5&amp;AT$5&amp;AU$5,AS34&amp;AT34&amp;AU34=AS$5&amp;AU$5&amp;AT$5,AS34&amp;AT34&amp;AU34=AT$5&amp;AS$5&amp;AU$5,AS34&amp;AT34&amp;AU34=AT$5&amp;AU$5&amp;AS$5,AS34&amp;AT34&amp;AU34=AU$5&amp;AS$5&amp;AT$5,AS34&amp;AT34&amp;AU34=AU$5&amp;AT$5&amp;AS$5),2,0),IF(AND(AS34=AS$5,AT$6&gt;=$D$129),1,0),IF(AND(AT34=AS$5,AT$6&gt;=$D$129),1,0),IF(AND(AU34=AS$5,AT$6&gt;=$D$129),1,0),IF(AS34&amp;AV34=AV$5,4,0),IF(AND(AS34=AS$5,AT$6&lt;=$D$104),-0.5,0),IF(AND(AT34=AS$5,AT$6&lt;=$D$104),-0.5,0),IF(AND(AU34=AS$5,AT$6&lt;=$D$104),-0.5,0))</f>
        <v/>
      </c>
      <c r="AX34" s="145" t="n">
        <v>9</v>
      </c>
      <c r="AY34" s="146" t="n">
        <v>1</v>
      </c>
      <c r="AZ34" s="146" t="n">
        <v>8</v>
      </c>
      <c r="BA34" s="146" t="n"/>
      <c r="BB34" s="602">
        <f>SUM(IF(AX34=AX$5,4,0),IF(AX34&amp;AY34=AX$5&amp;AY$5,1,0),
IF(AND(AX34=AX$5,AY$6&gt;=$D$115),1,0),
IF(AND(AY34=AX$5,AY$6&gt;=$D$115),1,0),
IF(AND(AZ34=AX$5,AY$6&gt;=$D$115),1,0),
IF(AX34&amp;BA34=BB$5,1,0),
IF(AY34=AX$5,2,0),
IF(AZ34=AX$5,1,0),
IF(OR(AX34&amp;AY34&amp;AZ34=AX$5&amp;AY$5&amp;AZ$5,AX34&amp;AY34&amp;AZ34=AX$5&amp;AZ$5&amp;AY$5,AX34&amp;AY34&amp;AZ34=AY$5&amp;AX$5&amp;AZ$5,AX34&amp;AY34&amp;AZ34=AY$5&amp;AZ$5&amp;AX$5,AX34&amp;AY34&amp;AZ34=AZ$5&amp;AX$5&amp;AY$5,AX34&amp;AY34&amp;AZ34=AZ$5&amp;AY$5&amp;AX$5),2,0),IF(AND(AX34=AX$5,AY$6&gt;=$D$129),1,0),IF(AND(AY34=AX$5,AY$6&gt;=$D$129),1,0),IF(AND(AZ34=AX$5,AY$6&gt;=$D$129),1,0),IF(AX34&amp;BA34=BA$5,4,0),IF(AND(AX34=AX$5,AY$6&lt;=$D$104),-0.5,0),IF(AND(AY34=AX$5,AY$6&lt;=$D$104),-0.5,0),IF(AND(AZ34=AX$5,AY$6&lt;=$D$104),-0.5,0))</f>
        <v/>
      </c>
      <c r="BC34" s="145" t="n">
        <v>5</v>
      </c>
      <c r="BD34" s="146" t="n">
        <v>4</v>
      </c>
      <c r="BE34" s="146" t="n">
        <v>2</v>
      </c>
      <c r="BF34" s="146" t="n"/>
      <c r="BG34" s="602">
        <f>SUM(IF(BC34=BC$5,4,0),IF(BC34&amp;BD34=BC$5&amp;BD$5,1,0),
IF(AND(BC34=BC$5,BD$6&gt;=$D$115),1,0),
IF(AND(BD34=BC$5,BD$6&gt;=$D$115),1,0),
IF(AND(BE34=BC$5,BD$6&gt;=$D$115),1,0),
IF(BC34&amp;BF34=BG$5,1,0),
IF(BD34=BC$5,2,0),
IF(BE34=BC$5,1,0),
IF(OR(BC34&amp;BD34&amp;BE34=BC$5&amp;BD$5&amp;BE$5,BC34&amp;BD34&amp;BE34=BC$5&amp;BE$5&amp;BD$5,BC34&amp;BD34&amp;BE34=BD$5&amp;BC$5&amp;BE$5,BC34&amp;BD34&amp;BE34=BD$5&amp;BE$5&amp;BC$5,BC34&amp;BD34&amp;BE34=BE$5&amp;BC$5&amp;BD$5,BC34&amp;BD34&amp;BE34=BE$5&amp;BD$5&amp;BC$5),2,0),IF(AND(BC34=BC$5,BD$6&gt;=$D$129),1,0),IF(AND(BD34=BC$5,BD$6&gt;=$D$129),1,0),IF(AND(BE34=BC$5,BD$6&gt;=$D$129),1,0),IF(BC34&amp;BF34=BF$5,4,0),IF(AND(BC34=BC$5,BD$6&lt;=$D$104),-0.5,0),IF(AND(BD34=BC$5,BD$6&lt;=$D$104),-0.5,0),IF(AND(BE34=BC$5,BD$6&lt;=$D$104),-0.5,0))</f>
        <v/>
      </c>
      <c r="BH34" s="145" t="n">
        <v>2</v>
      </c>
      <c r="BI34" s="146" t="n">
        <v>3</v>
      </c>
      <c r="BJ34" s="146" t="n">
        <v>5</v>
      </c>
      <c r="BK34" s="146" t="n"/>
      <c r="BL34" s="602">
        <f>SUM(IF(BH34=BH$5,4,0),IF(BH34&amp;BI34=BH$5&amp;BI$5,1,0),
IF(AND(BH34=BH$5,BI$6&gt;=$D$115),1,0),
IF(AND(BI34=BH$5,BI$6&gt;=$D$115),1,0),
IF(AND(BJ34=BH$5,BI$6&gt;=$D$115),1,0),
IF(BH34&amp;BK34=BL$5,1,0),
IF(BI34=BH$5,2,0),
IF(BJ34=BH$5,1,0),
IF(OR(BH34&amp;BI34&amp;BJ34=BH$5&amp;BI$5&amp;BJ$5,BH34&amp;BI34&amp;BJ34=BH$5&amp;BJ$5&amp;BI$5,BH34&amp;BI34&amp;BJ34=BI$5&amp;BH$5&amp;BJ$5,BH34&amp;BI34&amp;BJ34=BI$5&amp;BJ$5&amp;BH$5,BH34&amp;BI34&amp;BJ34=BJ$5&amp;BH$5&amp;BI$5,BH34&amp;BI34&amp;BJ34=BJ$5&amp;BI$5&amp;BH$5),2,0),IF(AND(BH34=BH$5,BI$6&gt;=$D$129),1,0),IF(AND(BI34=BH$5,BI$6&gt;=$D$129),1,0),IF(AND(BJ34=BH$5,BI$6&gt;=$D$129),1,0),IF(BH34&amp;BK34=BK$5,4,0),IF(AND(BH34=BH$5,BI$6&lt;=$D$104),-0.5,0),IF(AND(BI34=BH$5,BI$6&lt;=$D$104),-0.5,0),IF(AND(BJ34=BH$5,BI$6&lt;=$D$104),-0.5,0))</f>
        <v/>
      </c>
      <c r="BM34" s="145" t="n">
        <v>1</v>
      </c>
      <c r="BN34" s="146" t="n">
        <v>3</v>
      </c>
      <c r="BO34" s="146" t="n">
        <v>2</v>
      </c>
      <c r="BP34" s="146" t="n"/>
      <c r="BQ34" s="602">
        <f>SUM(IF(BM34=BM$5,4,0),IF(BM34&amp;BN34=BM$5&amp;BN$5,1,0),
IF(AND(BM34=BM$5,BN$6&gt;=$D$115),1,0),
IF(AND(BN34=BM$5,BN$6&gt;=$D$115),1,0),
IF(AND(BO34=BM$5,BN$6&gt;=$D$115),1,0),
IF(BM34&amp;BP34=BQ$5,1,0),
IF(BN34=BM$5,2,0),
IF(BO34=BM$5,1,0),
IF(OR(BM34&amp;BN34&amp;BO34=BM$5&amp;BN$5&amp;BO$5,BM34&amp;BN34&amp;BO34=BM$5&amp;BO$5&amp;BN$5,BM34&amp;BN34&amp;BO34=BN$5&amp;BM$5&amp;BO$5,BM34&amp;BN34&amp;BO34=BN$5&amp;BO$5&amp;BM$5,BM34&amp;BN34&amp;BO34=BO$5&amp;BM$5&amp;BN$5,BM34&amp;BN34&amp;BO34=BO$5&amp;BN$5&amp;BM$5),2,0),IF(AND(BM34=BM$5,BN$6&gt;=$D$129),1,0),IF(AND(BN34=BM$5,BN$6&gt;=$D$129),1,0),IF(AND(BO34=BM$5,BN$6&gt;=$D$129),1,0),IF(BM34&amp;BP34=BP$5,4,0),IF(AND(BM34=BM$5,BN$6&lt;=$D$104),-0.5,0),IF(AND(BN34=BM$5,BN$6&lt;=$D$104),-0.5,0),IF(AND(BO34=BM$5,BN$6&lt;=$D$104),-0.5,0))</f>
        <v/>
      </c>
      <c r="BR34" s="145" t="n"/>
      <c r="BS34" s="146" t="n"/>
      <c r="BT34" s="146" t="n"/>
      <c r="BU34" s="146" t="n"/>
      <c r="BV34" s="602">
        <f>SUM(IF(BR34=BR$5,4,0),IF(BR34&amp;BS34=BR$5&amp;BS$5,1,0),
IF(AND(BR34=BR$5,BS$6&gt;=$D$115),1,0),
IF(AND(BS34=BR$5,BS$6&gt;=$D$115),1,0),
IF(AND(BT34=BR$5,BS$6&gt;=$D$115),1,0),
IF(BR34&amp;BU34=BV$5,1,0),
IF(BS34=BR$5,2,0),
IF(BT34=BR$5,1,0),
IF(OR(BR34&amp;BS34&amp;BT34=BR$5&amp;BS$5&amp;BT$5,BR34&amp;BS34&amp;BT34=BR$5&amp;BT$5&amp;BS$5,BR34&amp;BS34&amp;BT34=BS$5&amp;BR$5&amp;BT$5,BR34&amp;BS34&amp;BT34=BS$5&amp;BT$5&amp;BR$5,BR34&amp;BS34&amp;BT34=BT$5&amp;BR$5&amp;BS$5,BR34&amp;BS34&amp;BT34=BT$5&amp;BS$5&amp;BR$5),2,0),IF(AND(BR34=BR$5,BS$6&gt;=$D$129),1,0),IF(AND(BS34=BR$5,BS$6&gt;=$D$129),1,0),IF(AND(BT34=BR$5,BS$6&gt;=$D$129),1,0),IF(BR34&amp;BU34=BU$5,4,0),IF(AND(BR34=BR$5,BS$6&lt;=$D$104),-0.5,0),IF(AND(BS34=BR$5,BS$6&lt;=$D$104),-0.5,0),IF(AND(BT34=BR$5,BS$6&lt;=$D$104),-0.5,0))</f>
        <v/>
      </c>
      <c r="BW34" s="145" t="n"/>
      <c r="BX34" s="146" t="n"/>
      <c r="BY34" s="146" t="n"/>
      <c r="BZ34" s="146" t="n"/>
      <c r="CA34" s="602">
        <f>SUM(IF(BW34=BW$5,4,0),IF(BW34&amp;BX34=BW$5&amp;BX$5,1,0),
IF(AND(BW34=BW$5,BX$6&gt;=$D$115),1,0),
IF(AND(BX34=BW$5,BX$6&gt;=$D$115),1,0),
IF(AND(BY34=BW$5,BX$6&gt;=$D$115),1,0),
IF(BW34&amp;BZ34=CA$5,1,0),
IF(BX34=BW$5,2,0),
IF(BY34=BW$5,1,0),
IF(OR(BW34&amp;BX34&amp;BY34=BW$5&amp;BX$5&amp;BY$5,BW34&amp;BX34&amp;BY34=BW$5&amp;BY$5&amp;BX$5,BW34&amp;BX34&amp;BY34=BX$5&amp;BW$5&amp;BY$5,BW34&amp;BX34&amp;BY34=BX$5&amp;BY$5&amp;BW$5,BW34&amp;BX34&amp;BY34=BY$5&amp;BW$5&amp;BX$5,BW34&amp;BX34&amp;BY34=BY$5&amp;BX$5&amp;BW$5),2,0),IF(AND(BW34=BW$5,BX$6&gt;=$D$129),1,0),IF(AND(BX34=BW$5,BX$6&gt;=$D$129),1,0),IF(AND(BY34=BW$5,BX$6&gt;=$D$129),1,0),IF(BW34&amp;BZ34=BZ$5,4,0),IF(AND(BW34=BW$5,BX$6&lt;=$D$104),-0.5,0),IF(AND(BX34=BW$5,BX$6&lt;=$D$104),-0.5,0),IF(AND(BY34=BW$5,BX$6&lt;=$D$104),-0.5,0))</f>
        <v/>
      </c>
      <c r="CB34" s="145" t="n"/>
      <c r="CC34" s="146" t="n"/>
      <c r="CD34" s="146" t="n"/>
      <c r="CE34" s="146" t="n"/>
      <c r="CF34" s="602">
        <f>SUM(IF(CB34=CB$5,4,0),IF(CB34&amp;CC34=CB$5&amp;CC$5,1,0),
IF(AND(CB34=CB$5,CC$6&gt;=$D$115),1,0),
IF(AND(CC34=CB$5,CC$6&gt;=$D$115),1,0),
IF(AND(CD34=CB$5,CC$6&gt;=$D$115),1,0),
IF(CB34&amp;CE34=CF$5,1,0),
IF(CC34=CB$5,2,0),
IF(CD34=CB$5,1,0),
IF(OR(CB34&amp;CC34&amp;CD34=CB$5&amp;CC$5&amp;CD$5,CB34&amp;CC34&amp;CD34=CB$5&amp;CD$5&amp;CC$5,CB34&amp;CC34&amp;CD34=CC$5&amp;CB$5&amp;CD$5,CB34&amp;CC34&amp;CD34=CC$5&amp;CD$5&amp;CB$5,CB34&amp;CC34&amp;CD34=CD$5&amp;CB$5&amp;CC$5,CB34&amp;CC34&amp;CD34=CD$5&amp;CC$5&amp;CB$5),2,0),IF(AND(CB34=CB$5,CC$6&gt;=$D$129),1,0),IF(AND(CC34=CB$5,CC$6&gt;=$D$129),1,0),IF(AND(CD34=CB$5,CC$6&gt;=$D$129),1,0),IF(CB34&amp;CE34=CE$5,4,0),IF(AND(CB34=CB$5,CC$6&lt;=$D$104),-0.5,0),IF(AND(CC34=CB$5,CC$6&lt;=$D$104),-0.5,0),IF(AND(CD34=CB$5,CC$6&lt;=$D$104),-0.5,0))</f>
        <v/>
      </c>
      <c r="CG34" s="164">
        <f>IF(BASE01[[#This Row],[1]]="",0,$B$4)</f>
        <v/>
      </c>
      <c r="CH34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4" s="166">
        <f>IF(BASE01[[#This Row],[Columna14]]=0,0,(CH34/CG34))</f>
        <v/>
      </c>
      <c r="CJ34" s="165">
        <f>IF(BASE01[[#This Row],[1]]="",0,$B$4)</f>
        <v/>
      </c>
      <c r="CK34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4" s="166">
        <f>IF(BASE01[[#This Row],[Columna14]]=0,0,(CK34/CJ34))</f>
        <v/>
      </c>
      <c r="CM34" s="164">
        <f>IF(BASE01[[#This Row],[1]]="",0,$B$4)</f>
        <v/>
      </c>
      <c r="CN34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4" s="166">
        <f>IF(BASE01[[#This Row],[Columna14]]=0,0,(CN34/CM34))</f>
        <v/>
      </c>
      <c r="CP34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4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Row],[Columna25]],$AX$5,BA34,"SF")+COUNTIFS(BASE01[[#This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4" s="166">
        <f>IF(BASE01[[#This Row],[Columna14]]=0,0,(CQ34/CP34))</f>
        <v/>
      </c>
      <c r="CS34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4" s="95" t="n"/>
      <c r="CU34" s="604">
        <f>SUM(CS34,CT34)</f>
        <v/>
      </c>
      <c r="CV34" s="96">
        <f>IF(BASE01[[#This Row],[TIPO]]="PREMIO",$O$3,"0,00")</f>
        <v/>
      </c>
      <c r="CW34" s="576" t="n"/>
      <c r="CY34" s="606">
        <f>IF(CZ34="","",$CZ$25)</f>
        <v/>
      </c>
      <c r="CZ34" s="392" t="n"/>
      <c r="DA34" s="392">
        <f t="array" ref="DA34">IF(CZ34="", "", IF((INDEX(E$8:CE$57, MATCH(CZ34, C$8:C$57, 0), ($CZ$25-1)*5 + 1) &amp; "") = (INDEX(E$5:CE$5, 1, ($CZ$25-1)*5 + 1) &amp; ""), 1, IF((INDEX(E$8:CE$57, MATCH(CZ34, C$8:C$57, 0), ($CZ$25-1)*5 + 2) &amp; "") = (INDEX(E$5:CE$5, 1, ($CZ$25-1)*5 + 1) &amp; ""), 2, IF((INDEX(E$8:CE$57, MATCH(CZ34, C$8:C$57, 0), ($CZ$25-1)*5 + 3) &amp; "") = (INDEX(E$5:CE$5, 1, ($CZ$25-1)*5 + 1) &amp; ""), 3, ""))))</f>
        <v/>
      </c>
      <c r="DB34" s="605">
        <f>BASE01[[#This Row],[COD]]</f>
        <v/>
      </c>
      <c r="DC34" s="395">
        <f t="array" ref="DC34">IFERROR(IF(AND(INDEX($E$8:$CE$57, MATCH($C34, $C$8:$C$57, 0), (COLUMNS($DC34:DC34)-1)*5 + 1) = INDEX($E$5:$CE$5, 1, (COLUMNS($DC34:DC34)-1)*5 + 1), INDEX($E$8:$CE$57, MATCH($C34, $C$8:$C$57, 0), (COLUMNS($DC34:DC34)-1)*5 + 4) = "F"), INDEX($CZ$8:$CZ$23, COLUMNS($DC34:DC34)), "0"), "")</f>
        <v/>
      </c>
      <c r="DD34" s="395">
        <f t="array" ref="DD34">IFERROR(IF(AND(INDEX($E$8:$CE$57, MATCH($C34, $C$8:$C$57, 0), (COLUMNS($DC34:DD34)-1)*5 + 1) = INDEX($E$5:$CE$5, 1, (COLUMNS($DC34:DD34)-1)*5 + 1), INDEX($E$8:$CE$57, MATCH($C34, $C$8:$C$57, 0), (COLUMNS($DC34:DD34)-1)*5 + 4) = "F"), INDEX($CZ$8:$CZ$23, COLUMNS($DC34:DD34)), "0"), "")</f>
        <v/>
      </c>
      <c r="DE34" s="395">
        <f t="array" ref="DE34">IFERROR(IF(AND(INDEX($E$8:$CE$57, MATCH($C34, $C$8:$C$57, 0), (COLUMNS($DC34:DE34)-1)*5 + 1) = INDEX($E$5:$CE$5, 1, (COLUMNS($DC34:DE34)-1)*5 + 1), INDEX($E$8:$CE$57, MATCH($C34, $C$8:$C$57, 0), (COLUMNS($DC34:DE34)-1)*5 + 4) = "F"), INDEX($CZ$8:$CZ$23, COLUMNS($DC34:DE34)), "0"), "")</f>
        <v/>
      </c>
      <c r="DF34" s="395">
        <f t="array" ref="DF34">IFERROR(IF(AND(INDEX($E$8:$CE$57, MATCH($C34, $C$8:$C$57, 0), (COLUMNS($DC34:DF34)-1)*5 + 1) = INDEX($E$5:$CE$5, 1, (COLUMNS($DC34:DF34)-1)*5 + 1), INDEX($E$8:$CE$57, MATCH($C34, $C$8:$C$57, 0), (COLUMNS($DC34:DF34)-1)*5 + 4) = "F"), INDEX($CZ$8:$CZ$23, COLUMNS($DC34:DF34)), "0"), "")</f>
        <v/>
      </c>
      <c r="DG34" s="395">
        <f t="array" ref="DG34">IFERROR(IF(AND(INDEX($E$8:$CE$57, MATCH($C34, $C$8:$C$57, 0), (COLUMNS($DC34:DG34)-1)*5 + 1) = INDEX($E$5:$CE$5, 1, (COLUMNS($DC34:DG34)-1)*5 + 1), INDEX($E$8:$CE$57, MATCH($C34, $C$8:$C$57, 0), (COLUMNS($DC34:DG34)-1)*5 + 4) = "F"), INDEX($CZ$8:$CZ$23, COLUMNS($DC34:DG34)), "0"), "")</f>
        <v/>
      </c>
      <c r="DH34" s="395">
        <f t="array" ref="DH34">IFERROR(IF(AND(INDEX($E$8:$CE$57, MATCH($C34, $C$8:$C$57, 0), (COLUMNS($DC34:DH34)-1)*5 + 1) = INDEX($E$5:$CE$5, 1, (COLUMNS($DC34:DH34)-1)*5 + 1), INDEX($E$8:$CE$57, MATCH($C34, $C$8:$C$57, 0), (COLUMNS($DC34:DH34)-1)*5 + 4) = "F"), INDEX($CZ$8:$CZ$23, COLUMNS($DC34:DH34)), "0"), "")</f>
        <v/>
      </c>
      <c r="DI34" s="395">
        <f t="array" ref="DI34">IFERROR(IF(AND(INDEX($E$8:$CE$57, MATCH($C34, $C$8:$C$57, 0), (COLUMNS($DC34:DI34)-1)*5 + 1) = INDEX($E$5:$CE$5, 1, (COLUMNS($DC34:DI34)-1)*5 + 1), INDEX($E$8:$CE$57, MATCH($C34, $C$8:$C$57, 0), (COLUMNS($DC34:DI34)-1)*5 + 4) = "F"), INDEX($CZ$8:$CZ$23, COLUMNS($DC34:DI34)), "0"), "")</f>
        <v/>
      </c>
      <c r="DJ34" s="395">
        <f t="array" ref="DJ34">IFERROR(IF(AND(INDEX($E$8:$CE$57, MATCH($C34, $C$8:$C$57, 0), (COLUMNS($DC34:DJ34)-1)*5 + 1) = INDEX($E$5:$CE$5, 1, (COLUMNS($DC34:DJ34)-1)*5 + 1), INDEX($E$8:$CE$57, MATCH($C34, $C$8:$C$57, 0), (COLUMNS($DC34:DJ34)-1)*5 + 4) = "F"), INDEX($CZ$8:$CZ$23, COLUMNS($DC34:DJ34)), "0"), "")</f>
        <v/>
      </c>
      <c r="DK34" s="395">
        <f t="array" ref="DK34">IFERROR(IF(AND(INDEX($E$8:$CE$57, MATCH($C34, $C$8:$C$57, 0), (COLUMNS($DC34:DK34)-1)*5 + 1) = INDEX($E$5:$CE$5, 1, (COLUMNS($DC34:DK34)-1)*5 + 1), INDEX($E$8:$CE$57, MATCH($C34, $C$8:$C$57, 0), (COLUMNS($DC34:DK34)-1)*5 + 4) = "F"), INDEX($CZ$8:$CZ$23, COLUMNS($DC34:DK34)), "0"), "")</f>
        <v/>
      </c>
      <c r="DL34" s="395">
        <f t="array" ref="DL34">IFERROR(IF(AND(INDEX($E$8:$CE$57, MATCH($C34, $C$8:$C$57, 0), (COLUMNS($DC34:DL34)-1)*5 + 1) = INDEX($E$5:$CE$5, 1, (COLUMNS($DC34:DL34)-1)*5 + 1), INDEX($E$8:$CE$57, MATCH($C34, $C$8:$C$57, 0), (COLUMNS($DC34:DL34)-1)*5 + 4) = "F"), INDEX($CZ$8:$CZ$23, COLUMNS($DC34:DL34)), "0"), "")</f>
        <v/>
      </c>
      <c r="DM34" s="395">
        <f t="array" ref="DM34">IFERROR(IF(AND(INDEX($E$8:$CE$57, MATCH($C34, $C$8:$C$57, 0), (COLUMNS($DC34:DM34)-1)*5 + 1) = INDEX($E$5:$CE$5, 1, (COLUMNS($DC34:DM34)-1)*5 + 1), INDEX($E$8:$CE$57, MATCH($C34, $C$8:$C$57, 0), (COLUMNS($DC34:DM34)-1)*5 + 4) = "F"), INDEX($CZ$8:$CZ$23, COLUMNS($DC34:DM34)), "0"), "")</f>
        <v/>
      </c>
      <c r="DN34" s="395">
        <f t="array" ref="DN34">IFERROR(IF(AND(INDEX($E$8:$CE$57, MATCH($C34, $C$8:$C$57, 0), (COLUMNS($DC34:DN34)-1)*5 + 1) = INDEX($E$5:$CE$5, 1, (COLUMNS($DC34:DN34)-1)*5 + 1), INDEX($E$8:$CE$57, MATCH($C34, $C$8:$C$57, 0), (COLUMNS($DC34:DN34)-1)*5 + 4) = "F"), INDEX($CZ$8:$CZ$23, COLUMNS($DC34:DN34)), "0"), "")</f>
        <v/>
      </c>
      <c r="DO34" s="395">
        <f t="array" ref="DO34">IFERROR(IF(AND(INDEX($E$8:$CE$57, MATCH($C34, $C$8:$C$57, 0), (COLUMNS($DC34:DO34)-1)*5 + 1) = INDEX($E$5:$CE$5, 1, (COLUMNS($DC34:DO34)-1)*5 + 1), INDEX($E$8:$CE$57, MATCH($C34, $C$8:$C$57, 0), (COLUMNS($DC34:DO34)-1)*5 + 4) = "F"), INDEX($CZ$8:$CZ$23, COLUMNS($DC34:DO34)), "0"), "")</f>
        <v/>
      </c>
      <c r="DP34" s="395">
        <f t="array" ref="DP34">IFERROR(IF(AND(INDEX($E$8:$CE$57, MATCH($C34, $C$8:$C$57, 0), (COLUMNS($DC34:DP34)-1)*5 + 1) = INDEX($E$5:$CE$5, 1, (COLUMNS($DC34:DP34)-1)*5 + 1), INDEX($E$8:$CE$57, MATCH($C34, $C$8:$C$57, 0), (COLUMNS($DC34:DP34)-1)*5 + 4) = "F"), INDEX($CZ$8:$CZ$23, COLUMNS($DC34:DP34)), "0"), "")</f>
        <v/>
      </c>
      <c r="DQ34" s="395">
        <f t="array" ref="DQ34">IFERROR(IF(AND(INDEX($E$8:$CE$57, MATCH($C34, $C$8:$C$57, 0), (COLUMNS($DC34:DQ34)-1)*5 + 1) = INDEX($E$5:$CE$5, 1, (COLUMNS($DC34:DQ34)-1)*5 + 1), INDEX($E$8:$CE$57, MATCH($C34, $C$8:$C$57, 0), (COLUMNS($DC34:DQ34)-1)*5 + 4) = "F"), INDEX($CZ$8:$CZ$23, COLUMNS($DC34:DQ34)), "0"), "")</f>
        <v/>
      </c>
      <c r="DR34" s="395">
        <f t="array" ref="DR34">IFERROR(IF(AND(INDEX($E$8:$CE$57, MATCH($C34, $C$8:$C$57, 0), (COLUMNS($DC34:DR34)-1)*5 + 1) = INDEX($E$5:$CE$5, 1, (COLUMNS($DC34:DR34)-1)*5 + 1), INDEX($E$8:$CE$57, MATCH($C34, $C$8:$C$57, 0), (COLUMNS($DC34:DR34)-1)*5 + 4) = "F"), INDEX($CZ$8:$CZ$23, COLUMNS($DC34:DR34)), "0"), "")</f>
        <v/>
      </c>
      <c r="DT34" s="605">
        <f>BASE01[[#This Row],[COD]]</f>
        <v/>
      </c>
      <c r="DU34" s="395">
        <f t="array" ref="DU34">IFERROR(IF(AND(INDEX($E$8:$CE$57, MATCH($C34, $C$8:$C$57, 0), (COLUMNS($DU34:DU34)-1)*5 + 1) = INDEX($E$5:$CE$5, 1, (COLUMNS($DU34:DU34)-1)*5 + 1), INDEX($E$8:$CE$57, MATCH($C34, $C$8:$C$57, 0), (COLUMNS($DU34:DU34)-1)*5 + 4) = "SF"), INDEX($CZ$8:$CZ$23, COLUMNS($DU34:DU34)), "0"), "")</f>
        <v/>
      </c>
      <c r="DV34" s="395">
        <f t="array" ref="DV34">IFERROR(IF(AND(INDEX($E$8:$CE$57, MATCH($C34, $C$8:$C$57, 0), (COLUMNS($DU34:DV34)-1)*5 + 1) = INDEX($E$5:$CE$5, 1, (COLUMNS($DU34:DV34)-1)*5 + 1), INDEX($E$8:$CE$57, MATCH($C34, $C$8:$C$57, 0), (COLUMNS($DU34:DV34)-1)*5 + 4) = "SF"), INDEX($CZ$8:$CZ$23, COLUMNS($DU34:DV34)), "0"), "")</f>
        <v/>
      </c>
      <c r="DW34" s="395">
        <f t="array" ref="DW34">IFERROR(IF(AND(INDEX($E$8:$CE$57, MATCH($C34, $C$8:$C$57, 0), (COLUMNS($DU34:DW34)-1)*5 + 1) = INDEX($E$5:$CE$5, 1, (COLUMNS($DU34:DW34)-1)*5 + 1), INDEX($E$8:$CE$57, MATCH($C34, $C$8:$C$57, 0), (COLUMNS($DU34:DW34)-1)*5 + 4) = "SF"), INDEX($CZ$8:$CZ$23, COLUMNS($DU34:DW34)), "0"), "")</f>
        <v/>
      </c>
      <c r="DX34" s="395">
        <f t="array" ref="DX34">IFERROR(IF(AND(INDEX($E$8:$CE$57, MATCH($C34, $C$8:$C$57, 0), (COLUMNS($DU34:DX34)-1)*5 + 1) = INDEX($E$5:$CE$5, 1, (COLUMNS($DU34:DX34)-1)*5 + 1), INDEX($E$8:$CE$57, MATCH($C34, $C$8:$C$57, 0), (COLUMNS($DU34:DX34)-1)*5 + 4) = "SF"), INDEX($CZ$8:$CZ$23, COLUMNS($DU34:DX34)), "0"), "")</f>
        <v/>
      </c>
      <c r="DY34" s="395">
        <f t="array" ref="DY34">IFERROR(IF(AND(INDEX($E$8:$CE$57, MATCH($C34, $C$8:$C$57, 0), (COLUMNS($DU34:DY34)-1)*5 + 1) = INDEX($E$5:$CE$5, 1, (COLUMNS($DU34:DY34)-1)*5 + 1), INDEX($E$8:$CE$57, MATCH($C34, $C$8:$C$57, 0), (COLUMNS($DU34:DY34)-1)*5 + 4) = "SF"), INDEX($CZ$8:$CZ$23, COLUMNS($DU34:DY34)), "0"), "")</f>
        <v/>
      </c>
      <c r="DZ34" s="395">
        <f t="array" ref="DZ34">IFERROR(IF(AND(INDEX($E$8:$CE$57, MATCH($C34, $C$8:$C$57, 0), (COLUMNS($DU34:DZ34)-1)*5 + 1) = INDEX($E$5:$CE$5, 1, (COLUMNS($DU34:DZ34)-1)*5 + 1), INDEX($E$8:$CE$57, MATCH($C34, $C$8:$C$57, 0), (COLUMNS($DU34:DZ34)-1)*5 + 4) = "SF"), INDEX($CZ$8:$CZ$23, COLUMNS($DU34:DZ34)), "0"), "")</f>
        <v/>
      </c>
      <c r="EA34" s="395">
        <f t="array" ref="EA34">IFERROR(IF(AND(INDEX($E$8:$CE$57, MATCH($C34, $C$8:$C$57, 0), (COLUMNS($DU34:EA34)-1)*5 + 1) = INDEX($E$5:$CE$5, 1, (COLUMNS($DU34:EA34)-1)*5 + 1), INDEX($E$8:$CE$57, MATCH($C34, $C$8:$C$57, 0), (COLUMNS($DU34:EA34)-1)*5 + 4) = "SF"), INDEX($CZ$8:$CZ$23, COLUMNS($DU34:EA34)), "0"), "")</f>
        <v/>
      </c>
      <c r="EB34" s="395">
        <f t="array" ref="EB34">IFERROR(IF(AND(INDEX($E$8:$CE$57, MATCH($C34, $C$8:$C$57, 0), (COLUMNS($DU34:EB34)-1)*5 + 1) = INDEX($E$5:$CE$5, 1, (COLUMNS($DU34:EB34)-1)*5 + 1), INDEX($E$8:$CE$57, MATCH($C34, $C$8:$C$57, 0), (COLUMNS($DU34:EB34)-1)*5 + 4) = "SF"), INDEX($CZ$8:$CZ$23, COLUMNS($DU34:EB34)), "0"), "")</f>
        <v/>
      </c>
      <c r="EC34" s="395">
        <f t="array" ref="EC34">IFERROR(IF(AND(INDEX($E$8:$CE$57, MATCH($C34, $C$8:$C$57, 0), (COLUMNS($DU34:EC34)-1)*5 + 1) = INDEX($E$5:$CE$5, 1, (COLUMNS($DU34:EC34)-1)*5 + 1), INDEX($E$8:$CE$57, MATCH($C34, $C$8:$C$57, 0), (COLUMNS($DU34:EC34)-1)*5 + 4) = "SF"), INDEX($CZ$8:$CZ$23, COLUMNS($DU34:EC34)), "0"), "")</f>
        <v/>
      </c>
      <c r="ED34" s="395">
        <f t="array" ref="ED34">IFERROR(IF(AND(INDEX($E$8:$CE$57, MATCH($C34, $C$8:$C$57, 0), (COLUMNS($DU34:ED34)-1)*5 + 1) = INDEX($E$5:$CE$5, 1, (COLUMNS($DU34:ED34)-1)*5 + 1), INDEX($E$8:$CE$57, MATCH($C34, $C$8:$C$57, 0), (COLUMNS($DU34:ED34)-1)*5 + 4) = "SF"), INDEX($CZ$8:$CZ$23, COLUMNS($DU34:ED34)), "0"), "")</f>
        <v/>
      </c>
      <c r="EE34" s="395">
        <f t="array" ref="EE34">IFERROR(IF(AND(INDEX($E$8:$CE$57, MATCH($C34, $C$8:$C$57, 0), (COLUMNS($DU34:EE34)-1)*5 + 1) = INDEX($E$5:$CE$5, 1, (COLUMNS($DU34:EE34)-1)*5 + 1), INDEX($E$8:$CE$57, MATCH($C34, $C$8:$C$57, 0), (COLUMNS($DU34:EE34)-1)*5 + 4) = "SF"), INDEX($CZ$8:$CZ$23, COLUMNS($DU34:EE34)), "0"), "")</f>
        <v/>
      </c>
      <c r="EF34" s="395">
        <f t="array" ref="EF34">IFERROR(IF(AND(INDEX($E$8:$CE$57, MATCH($C34, $C$8:$C$57, 0), (COLUMNS($DU34:EF34)-1)*5 + 1) = INDEX($E$5:$CE$5, 1, (COLUMNS($DU34:EF34)-1)*5 + 1), INDEX($E$8:$CE$57, MATCH($C34, $C$8:$C$57, 0), (COLUMNS($DU34:EF34)-1)*5 + 4) = "SF"), INDEX($CZ$8:$CZ$23, COLUMNS($DU34:EF34)), "0"), "")</f>
        <v/>
      </c>
      <c r="EG34" s="395">
        <f t="array" ref="EG34">IFERROR(IF(AND(INDEX($E$8:$CE$57, MATCH($C34, $C$8:$C$57, 0), (COLUMNS($DU34:EG34)-1)*5 + 1) = INDEX($E$5:$CE$5, 1, (COLUMNS($DU34:EG34)-1)*5 + 1), INDEX($E$8:$CE$57, MATCH($C34, $C$8:$C$57, 0), (COLUMNS($DU34:EG34)-1)*5 + 4) = "SF"), INDEX($CZ$8:$CZ$23, COLUMNS($DU34:EG34)), "0"), "")</f>
        <v/>
      </c>
      <c r="EH34" s="395">
        <f t="array" ref="EH34">IFERROR(IF(AND(INDEX($E$8:$CE$57, MATCH($C34, $C$8:$C$57, 0), (COLUMNS($DU34:EH34)-1)*5 + 1) = INDEX($E$5:$CE$5, 1, (COLUMNS($DU34:EH34)-1)*5 + 1), INDEX($E$8:$CE$57, MATCH($C34, $C$8:$C$57, 0), (COLUMNS($DU34:EH34)-1)*5 + 4) = "SF"), INDEX($CZ$8:$CZ$23, COLUMNS($DU34:EH34)), "0"), "")</f>
        <v/>
      </c>
      <c r="EI34" s="395">
        <f t="array" ref="EI34">IFERROR(IF(AND(INDEX($E$8:$CE$57, MATCH($C34, $C$8:$C$57, 0), (COLUMNS($DU34:EI34)-1)*5 + 1) = INDEX($E$5:$CE$5, 1, (COLUMNS($DU34:EI34)-1)*5 + 1), INDEX($E$8:$CE$57, MATCH($C34, $C$8:$C$57, 0), (COLUMNS($DU34:EI34)-1)*5 + 4) = "SF"), INDEX($CZ$8:$CZ$23, COLUMNS($DU34:EI34)), "0"), "")</f>
        <v/>
      </c>
      <c r="EJ34" s="395">
        <f t="array" ref="EJ34">IFERROR(IF(AND(INDEX($E$8:$CE$57, MATCH($C34, $C$8:$C$57, 0), (COLUMNS($DU34:EJ34)-1)*5 + 1) = INDEX($E$5:$CE$5, 1, (COLUMNS($DU34:EJ34)-1)*5 + 1), INDEX($E$8:$CE$57, MATCH($C34, $C$8:$C$57, 0), (COLUMNS($DU34:EJ34)-1)*5 + 4) = "SF"), INDEX($CZ$8:$CZ$23, COLUMNS($DU34:EJ34)), "0"), "")</f>
        <v/>
      </c>
    </row>
    <row r="35" ht="19.5" customHeight="1" s="568">
      <c r="A35" s="576" t="n"/>
      <c r="B35" s="92">
        <f>IF(BASE01[[#This Row],[COD]]&lt;&gt;"",B34+1,"")</f>
        <v/>
      </c>
      <c r="C35" s="601" t="inlineStr">
        <is>
          <t>COD 28</t>
        </is>
      </c>
      <c r="D35" s="93">
        <f t="array" ref="D35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5" s="145" t="n">
        <v>1</v>
      </c>
      <c r="F35" s="146" t="n">
        <v>8</v>
      </c>
      <c r="G35" s="146" t="n">
        <v>6</v>
      </c>
      <c r="H35" s="146" t="n"/>
      <c r="I35" s="602">
        <f>SUM(IF(E35=E$5,4,0),IF(E35&amp;F35=E$5&amp;F$5,1,0),
IF(AND(E35=E$5,F$6&gt;=$D$115),1,0),
IF(AND(F35=E$5,F$6&gt;=$D$115),1,0),
IF(AND(G35=E$5,F$6&gt;=$D$115),1,0),
IF(E35&amp;H35=I$5,1,0),
IF(F35=E$5,2,0),
IF(G35=E$5,1,0),
IF(OR(E35&amp;F35&amp;G35=E$5&amp;F$5&amp;G$5,E35&amp;F35&amp;G35=E$5&amp;G$5&amp;F$5,E35&amp;F35&amp;G35=F$5&amp;E$5&amp;G$5,E35&amp;F35&amp;G35=F$5&amp;G$5&amp;E$5,E35&amp;F35&amp;G35=G$5&amp;E$5&amp;F$5,E35&amp;F35&amp;G35=G$5&amp;F$5&amp;E$5),2,0),IF(AND(E35=E$5,F$6&gt;=$D$129),1,0),IF(AND(F35=E$5,F$6&gt;=$D$129),1,0),IF(AND(G35=E$5,F$6&gt;=$D$129),1,0),IF(E35&amp;H35=H$5,4,0),IF(AND(E35=E$5,F$6&lt;=$D$104),-0.5,0),IF(AND(F35=E$5,F$6&lt;=$D$104),-0.5,0),IF(AND(G35=E$5,F$6&lt;=$D$104),-0.5,0))</f>
        <v/>
      </c>
      <c r="J35" s="145" t="n">
        <v>8</v>
      </c>
      <c r="K35" s="146" t="n">
        <v>3</v>
      </c>
      <c r="L35" s="146" t="n">
        <v>5</v>
      </c>
      <c r="M35" s="146" t="n"/>
      <c r="N35" s="602">
        <f>SUM(IF(J35=J$5,4,0),IF(J35&amp;K35=J$5&amp;K$5,1,0),
IF(AND(J35=J$5,K$6&gt;=$D$115),1,0),
IF(AND(K35=J$5,K$6&gt;=$D$115),1,0),
IF(AND(L35=J$5,K$6&gt;=$D$115),1,0),
IF(J35&amp;M35=N$5,1,0),
IF(K35=J$5,2,0),
IF(L35=J$5,1,0),
IF(OR(J35&amp;K35&amp;L35=J$5&amp;K$5&amp;L$5,J35&amp;K35&amp;L35=J$5&amp;L$5&amp;K$5,J35&amp;K35&amp;L35=K$5&amp;J$5&amp;L$5,J35&amp;K35&amp;L35=K$5&amp;L$5&amp;J$5,J35&amp;K35&amp;L35=L$5&amp;J$5&amp;K$5,J35&amp;K35&amp;L35=L$5&amp;K$5&amp;J$5),2,0),IF(AND(J35=J$5,K$6&gt;=$D$129),1,0),IF(AND(K35=J$5,K$6&gt;=$D$129),1,0),IF(AND(L35=J$5,K$6&gt;=$D$129),1,0),IF(J35&amp;M35=M$5,4,0),IF(AND(J35=J$5,K$6&lt;=$D$104),-0.5,0),IF(AND(K35=J$5,K$6&lt;=$D$104),-0.5,0),IF(AND(L35=J$5,K$6&lt;=$D$104),-0.5,0))</f>
        <v/>
      </c>
      <c r="O35" s="145" t="n">
        <v>6</v>
      </c>
      <c r="P35" s="146" t="n">
        <v>3</v>
      </c>
      <c r="Q35" s="146" t="n">
        <v>2</v>
      </c>
      <c r="R35" s="146" t="n"/>
      <c r="S35" s="602">
        <f>SUM(IF(O35=O$5,4,0),IF(O35&amp;P35=O$5&amp;P$5,1,0),
IF(AND(O35=O$5,P$6&gt;=$D$115),1,0),
IF(AND(P35=O$5,P$6&gt;=$D$115),1,0),
IF(AND(Q35=O$5,P$6&gt;=$D$115),1,0),
IF(O35&amp;R35=S$5,1,0),
IF(P35=O$5,2,0),
IF(Q35=O$5,1,0),
IF(OR(O35&amp;P35&amp;Q35=O$5&amp;P$5&amp;Q$5,O35&amp;P35&amp;Q35=O$5&amp;Q$5&amp;P$5,O35&amp;P35&amp;Q35=P$5&amp;O$5&amp;Q$5,O35&amp;P35&amp;Q35=P$5&amp;Q$5&amp;O$5,O35&amp;P35&amp;Q35=Q$5&amp;O$5&amp;P$5,O35&amp;P35&amp;Q35=Q$5&amp;P$5&amp;O$5),2,0),IF(AND(O35=O$5,P$6&gt;=$D$129),1,0),IF(AND(P35=O$5,P$6&gt;=$D$129),1,0),IF(AND(Q35=O$5,P$6&gt;=$D$129),1,0),IF(O35&amp;R35=R$5,4,0),IF(AND(O35=O$5,P$6&lt;=$D$104),-0.5,0),IF(AND(P35=O$5,P$6&lt;=$D$104),-0.5,0),IF(AND(Q35=O$5,P$6&lt;=$D$104),-0.5,0))</f>
        <v/>
      </c>
      <c r="T35" s="145" t="n">
        <v>6</v>
      </c>
      <c r="U35" s="146" t="n"/>
      <c r="V35" s="146" t="n"/>
      <c r="W35" s="146" t="inlineStr">
        <is>
          <t>SF</t>
        </is>
      </c>
      <c r="X35" s="602">
        <f>SUM(IF(T35=T$5,4,0),IF(T35&amp;U35=T$5&amp;U$5,1,0),
IF(AND(T35=T$5,U$6&gt;=$D$115),1,0),
IF(AND(U35=T$5,U$6&gt;=$D$115),1,0),
IF(AND(V35=T$5,U$6&gt;=$D$115),1,0),
IF(T35&amp;W35=X$5,1,0),
IF(U35=T$5,2,0),
IF(V35=T$5,1,0),
IF(OR(T35&amp;U35&amp;V35=T$5&amp;U$5&amp;V$5,T35&amp;U35&amp;V35=T$5&amp;V$5&amp;U$5,T35&amp;U35&amp;V35=U$5&amp;T$5&amp;V$5,T35&amp;U35&amp;V35=U$5&amp;V$5&amp;T$5,T35&amp;U35&amp;V35=V$5&amp;T$5&amp;U$5,T35&amp;U35&amp;V35=V$5&amp;U$5&amp;T$5),2,0),IF(AND(T35=T$5,U$6&gt;=$D$129),1,0),IF(AND(U35=T$5,U$6&gt;=$D$129),1,0),IF(AND(V35=T$5,U$6&gt;=$D$129),1,0),IF(T35&amp;W35=W$5,4,0),IF(AND(T35=T$5,U$6&lt;=$D$104),-0.5,0),IF(AND(U35=T$5,U$6&lt;=$D$104),-0.5,0),IF(AND(V35=T$5,U$6&lt;=$D$104),-0.5,0))</f>
        <v/>
      </c>
      <c r="Y35" s="145" t="n">
        <v>5</v>
      </c>
      <c r="Z35" s="146" t="n">
        <v>3</v>
      </c>
      <c r="AA35" s="146" t="n">
        <v>6</v>
      </c>
      <c r="AB35" s="146" t="inlineStr">
        <is>
          <t>F</t>
        </is>
      </c>
      <c r="AC35" s="602">
        <f>SUM(IF(Y35=Y$5,4,0),IF(Y35&amp;Z35=Y$5&amp;Z$5,1,0),
IF(AND(Y35=Y$5,Z$6&gt;=$D$115),1,0),
IF(AND(Z35=Y$5,Z$6&gt;=$D$115),1,0),
IF(AND(AA35=Y$5,Z$6&gt;=$D$115),1,0),
IF(Y35&amp;AB35=AC$5,1,0),
IF(Z35=Y$5,2,0),
IF(AA35=Y$5,1,0),
IF(OR(Y35&amp;Z35&amp;AA35=Y$5&amp;Z$5&amp;AA$5,Y35&amp;Z35&amp;AA35=Y$5&amp;AA$5&amp;Z$5,Y35&amp;Z35&amp;AA35=Z$5&amp;Y$5&amp;AA$5,Y35&amp;Z35&amp;AA35=Z$5&amp;AA$5&amp;Y$5,Y35&amp;Z35&amp;AA35=AA$5&amp;Y$5&amp;Z$5,Y35&amp;Z35&amp;AA35=AA$5&amp;Z$5&amp;Y$5),2,0),IF(AND(Y35=Y$5,Z$6&gt;=$D$129),1,0),IF(AND(Z35=Y$5,Z$6&gt;=$D$129),1,0),IF(AND(AA35=Y$5,Z$6&gt;=$D$129),1,0),IF(Y35&amp;AB35=AB$5,4,0),IF(AND(Y35=Y$5,Z$6&lt;=$D$104),-0.5,0),IF(AND(Z35=Y$5,Z$6&lt;=$D$104),-0.5,0),IF(AND(AA35=Y$5,Z$6&lt;=$D$104),-0.5,0))</f>
        <v/>
      </c>
      <c r="AD35" s="145" t="n">
        <v>2</v>
      </c>
      <c r="AE35" s="146" t="n">
        <v>7</v>
      </c>
      <c r="AF35" s="146" t="n">
        <v>5</v>
      </c>
      <c r="AG35" s="146" t="n"/>
      <c r="AH35" s="602">
        <f>SUM(IF(AD35=AD$5,4,0),IF(AD35&amp;AE35=AD$5&amp;AE$5,1,0),
IF(AND(AD35=AD$5,AE$6&gt;=$D$115),1,0),
IF(AND(AE35=AD$5,AE$6&gt;=$D$115),1,0),
IF(AND(AF35=AD$5,AE$6&gt;=$D$115),1,0),
IF(AD35&amp;AG35=AH$5,1,0),
IF(AE35=AD$5,2,0),
IF(AF35=AD$5,1,0),
IF(OR(AD35&amp;AE35&amp;AF35=AD$5&amp;AE$5&amp;AF$5,AD35&amp;AE35&amp;AF35=AD$5&amp;AF$5&amp;AE$5,AD35&amp;AE35&amp;AF35=AE$5&amp;AD$5&amp;AF$5,AD35&amp;AE35&amp;AF35=AE$5&amp;AF$5&amp;AD$5,AD35&amp;AE35&amp;AF35=AF$5&amp;AD$5&amp;AE$5,AD35&amp;AE35&amp;AF35=AF$5&amp;AE$5&amp;AD$5),2,0),IF(AND(AD35=AD$5,AE$6&gt;=$D$129),1,0),IF(AND(AE35=AD$5,AE$6&gt;=$D$129),1,0),IF(AND(AF35=AD$5,AE$6&gt;=$D$129),1,0),IF(AD35&amp;AG35=AG$5,4,0),IF(AND(AD35=AD$5,AE$6&lt;=$D$104),-0.5,0),IF(AND(AE35=AD$5,AE$6&lt;=$D$104),-0.5,0),IF(AND(AF35=AD$5,AE$6&lt;=$D$104),-0.5,0))</f>
        <v/>
      </c>
      <c r="AI35" s="145" t="n">
        <v>7</v>
      </c>
      <c r="AJ35" s="146" t="n">
        <v>3</v>
      </c>
      <c r="AK35" s="146" t="n">
        <v>4</v>
      </c>
      <c r="AL35" s="146" t="n"/>
      <c r="AM35" s="602">
        <f>SUM(IF(AI35=AI$5,4,0),IF(AI35&amp;AJ35=AI$5&amp;AJ$5,1,0),
IF(AND(AI35=AI$5,AJ$6&gt;=$D$115),1,0),
IF(AND(AJ35=AI$5,AJ$6&gt;=$D$115),1,0),
IF(AND(AK35=AI$5,AJ$6&gt;=$D$115),1,0),
IF(AI35&amp;AL35=AM$5,1,0),
IF(AJ35=AI$5,2,0),
IF(AK35=AI$5,1,0),
IF(OR(AI35&amp;AJ35&amp;AK35=AI$5&amp;AJ$5&amp;AK$5,AI35&amp;AJ35&amp;AK35=AI$5&amp;AK$5&amp;AJ$5,AI35&amp;AJ35&amp;AK35=AJ$5&amp;AI$5&amp;AK$5,AI35&amp;AJ35&amp;AK35=AJ$5&amp;AK$5&amp;AI$5,AI35&amp;AJ35&amp;AK35=AK$5&amp;AI$5&amp;AJ$5,AI35&amp;AJ35&amp;AK35=AK$5&amp;AJ$5&amp;AI$5),2,0),IF(AND(AI35=AI$5,AJ$6&gt;=$D$129),1,0),IF(AND(AJ35=AI$5,AJ$6&gt;=$D$129),1,0),IF(AND(AK35=AI$5,AJ$6&gt;=$D$129),1,0),IF(AI35&amp;AL35=AL$5,4,0),IF(AND(AI35=AI$5,AJ$6&lt;=$D$104),-0.5,0),IF(AND(AJ35=AI$5,AJ$6&lt;=$D$104),-0.5,0),IF(AND(AK35=AI$5,AJ$6&lt;=$D$104),-0.5,0))</f>
        <v/>
      </c>
      <c r="AN35" s="145" t="n">
        <v>8</v>
      </c>
      <c r="AO35" s="146" t="n">
        <v>9</v>
      </c>
      <c r="AP35" s="146" t="n">
        <v>6</v>
      </c>
      <c r="AQ35" s="146" t="n"/>
      <c r="AR35" s="602">
        <f>SUM(IF(AN35=AN$5,4,0),IF(AN35&amp;AO35=AN$5&amp;AO$5,1,0),
IF(AND(AN35=AN$5,AO$6&gt;=$D$115),1,0),
IF(AND(AO35=AN$5,AO$6&gt;=$D$115),1,0),
IF(AND(AP35=AN$5,AO$6&gt;=$D$115),1,0),
IF(AN35&amp;AQ35=AR$5,1,0),
IF(AO35=AN$5,2,0),
IF(AP35=AN$5,1,0),
IF(OR(AN35&amp;AO35&amp;AP35=AN$5&amp;AO$5&amp;AP$5,AN35&amp;AO35&amp;AP35=AN$5&amp;AP$5&amp;AO$5,AN35&amp;AO35&amp;AP35=AO$5&amp;AN$5&amp;AP$5,AN35&amp;AO35&amp;AP35=AO$5&amp;AP$5&amp;AN$5,AN35&amp;AO35&amp;AP35=AP$5&amp;AN$5&amp;AO$5,AN35&amp;AO35&amp;AP35=AP$5&amp;AO$5&amp;AN$5),2,0),IF(AND(AN35=AN$5,AO$6&gt;=$D$129),1,0),IF(AND(AO35=AN$5,AO$6&gt;=$D$129),1,0),IF(AND(AP35=AN$5,AO$6&gt;=$D$129),1,0),IF(AN35&amp;AQ35=AQ$5,4,0),IF(AND(AN35=AN$5,AO$6&lt;=$D$104),-0.5,0),IF(AND(AO35=AN$5,AO$6&lt;=$D$104),-0.5,0),IF(AND(AP35=AN$5,AO$6&lt;=$D$104),-0.5,0))</f>
        <v/>
      </c>
      <c r="AS35" s="145" t="n">
        <v>7</v>
      </c>
      <c r="AT35" s="146" t="n">
        <v>3</v>
      </c>
      <c r="AU35" s="146" t="n">
        <v>1</v>
      </c>
      <c r="AV35" s="146" t="inlineStr">
        <is>
          <t>F</t>
        </is>
      </c>
      <c r="AW35" s="602">
        <f>SUM(IF(AS35=AS$5,4,0),IF(AS35&amp;AT35=AS$5&amp;AT$5,1,0),
IF(AND(AS35=AS$5,AT$6&gt;=$D$115),1,0),
IF(AND(AT35=AS$5,AT$6&gt;=$D$115),1,0),
IF(AND(AU35=AS$5,AT$6&gt;=$D$115),1,0),
IF(AS35&amp;AV35=AW$5,1,0),
IF(AT35=AS$5,2,0),
IF(AU35=AS$5,1,0),
IF(OR(AS35&amp;AT35&amp;AU35=AS$5&amp;AT$5&amp;AU$5,AS35&amp;AT35&amp;AU35=AS$5&amp;AU$5&amp;AT$5,AS35&amp;AT35&amp;AU35=AT$5&amp;AS$5&amp;AU$5,AS35&amp;AT35&amp;AU35=AT$5&amp;AU$5&amp;AS$5,AS35&amp;AT35&amp;AU35=AU$5&amp;AS$5&amp;AT$5,AS35&amp;AT35&amp;AU35=AU$5&amp;AT$5&amp;AS$5),2,0),IF(AND(AS35=AS$5,AT$6&gt;=$D$129),1,0),IF(AND(AT35=AS$5,AT$6&gt;=$D$129),1,0),IF(AND(AU35=AS$5,AT$6&gt;=$D$129),1,0),IF(AS35&amp;AV35=AV$5,4,0),IF(AND(AS35=AS$5,AT$6&lt;=$D$104),-0.5,0),IF(AND(AT35=AS$5,AT$6&lt;=$D$104),-0.5,0),IF(AND(AU35=AS$5,AT$6&lt;=$D$104),-0.5,0))</f>
        <v/>
      </c>
      <c r="AX35" s="145" t="n">
        <v>9</v>
      </c>
      <c r="AY35" s="146" t="n">
        <v>1</v>
      </c>
      <c r="AZ35" s="146" t="n">
        <v>8</v>
      </c>
      <c r="BA35" s="146" t="n"/>
      <c r="BB35" s="602">
        <f>SUM(IF(AX35=AX$5,4,0),IF(AX35&amp;AY35=AX$5&amp;AY$5,1,0),
IF(AND(AX35=AX$5,AY$6&gt;=$D$115),1,0),
IF(AND(AY35=AX$5,AY$6&gt;=$D$115),1,0),
IF(AND(AZ35=AX$5,AY$6&gt;=$D$115),1,0),
IF(AX35&amp;BA35=BB$5,1,0),
IF(AY35=AX$5,2,0),
IF(AZ35=AX$5,1,0),
IF(OR(AX35&amp;AY35&amp;AZ35=AX$5&amp;AY$5&amp;AZ$5,AX35&amp;AY35&amp;AZ35=AX$5&amp;AZ$5&amp;AY$5,AX35&amp;AY35&amp;AZ35=AY$5&amp;AX$5&amp;AZ$5,AX35&amp;AY35&amp;AZ35=AY$5&amp;AZ$5&amp;AX$5,AX35&amp;AY35&amp;AZ35=AZ$5&amp;AX$5&amp;AY$5,AX35&amp;AY35&amp;AZ35=AZ$5&amp;AY$5&amp;AX$5),2,0),IF(AND(AX35=AX$5,AY$6&gt;=$D$129),1,0),IF(AND(AY35=AX$5,AY$6&gt;=$D$129),1,0),IF(AND(AZ35=AX$5,AY$6&gt;=$D$129),1,0),IF(AX35&amp;BA35=BA$5,4,0),IF(AND(AX35=AX$5,AY$6&lt;=$D$104),-0.5,0),IF(AND(AY35=AX$5,AY$6&lt;=$D$104),-0.5,0),IF(AND(AZ35=AX$5,AY$6&lt;=$D$104),-0.5,0))</f>
        <v/>
      </c>
      <c r="BC35" s="145" t="n">
        <v>3</v>
      </c>
      <c r="BD35" s="146" t="n">
        <v>2</v>
      </c>
      <c r="BE35" s="146" t="n">
        <v>4</v>
      </c>
      <c r="BF35" s="146" t="n"/>
      <c r="BG35" s="602">
        <f>SUM(IF(BC35=BC$5,4,0),IF(BC35&amp;BD35=BC$5&amp;BD$5,1,0),
IF(AND(BC35=BC$5,BD$6&gt;=$D$115),1,0),
IF(AND(BD35=BC$5,BD$6&gt;=$D$115),1,0),
IF(AND(BE35=BC$5,BD$6&gt;=$D$115),1,0),
IF(BC35&amp;BF35=BG$5,1,0),
IF(BD35=BC$5,2,0),
IF(BE35=BC$5,1,0),
IF(OR(BC35&amp;BD35&amp;BE35=BC$5&amp;BD$5&amp;BE$5,BC35&amp;BD35&amp;BE35=BC$5&amp;BE$5&amp;BD$5,BC35&amp;BD35&amp;BE35=BD$5&amp;BC$5&amp;BE$5,BC35&amp;BD35&amp;BE35=BD$5&amp;BE$5&amp;BC$5,BC35&amp;BD35&amp;BE35=BE$5&amp;BC$5&amp;BD$5,BC35&amp;BD35&amp;BE35=BE$5&amp;BD$5&amp;BC$5),2,0),IF(AND(BC35=BC$5,BD$6&gt;=$D$129),1,0),IF(AND(BD35=BC$5,BD$6&gt;=$D$129),1,0),IF(AND(BE35=BC$5,BD$6&gt;=$D$129),1,0),IF(BC35&amp;BF35=BF$5,4,0),IF(AND(BC35=BC$5,BD$6&lt;=$D$104),-0.5,0),IF(AND(BD35=BC$5,BD$6&lt;=$D$104),-0.5,0),IF(AND(BE35=BC$5,BD$6&lt;=$D$104),-0.5,0))</f>
        <v/>
      </c>
      <c r="BH35" s="145" t="n">
        <v>5</v>
      </c>
      <c r="BI35" s="146" t="n">
        <v>2</v>
      </c>
      <c r="BJ35" s="146" t="n">
        <v>1</v>
      </c>
      <c r="BK35" s="146" t="n"/>
      <c r="BL35" s="602">
        <f>SUM(IF(BH35=BH$5,4,0),IF(BH35&amp;BI35=BH$5&amp;BI$5,1,0),
IF(AND(BH35=BH$5,BI$6&gt;=$D$115),1,0),
IF(AND(BI35=BH$5,BI$6&gt;=$D$115),1,0),
IF(AND(BJ35=BH$5,BI$6&gt;=$D$115),1,0),
IF(BH35&amp;BK35=BL$5,1,0),
IF(BI35=BH$5,2,0),
IF(BJ35=BH$5,1,0),
IF(OR(BH35&amp;BI35&amp;BJ35=BH$5&amp;BI$5&amp;BJ$5,BH35&amp;BI35&amp;BJ35=BH$5&amp;BJ$5&amp;BI$5,BH35&amp;BI35&amp;BJ35=BI$5&amp;BH$5&amp;BJ$5,BH35&amp;BI35&amp;BJ35=BI$5&amp;BJ$5&amp;BH$5,BH35&amp;BI35&amp;BJ35=BJ$5&amp;BH$5&amp;BI$5,BH35&amp;BI35&amp;BJ35=BJ$5&amp;BI$5&amp;BH$5),2,0),IF(AND(BH35=BH$5,BI$6&gt;=$D$129),1,0),IF(AND(BI35=BH$5,BI$6&gt;=$D$129),1,0),IF(AND(BJ35=BH$5,BI$6&gt;=$D$129),1,0),IF(BH35&amp;BK35=BK$5,4,0),IF(AND(BH35=BH$5,BI$6&lt;=$D$104),-0.5,0),IF(AND(BI35=BH$5,BI$6&lt;=$D$104),-0.5,0),IF(AND(BJ35=BH$5,BI$6&lt;=$D$104),-0.5,0))</f>
        <v/>
      </c>
      <c r="BM35" s="145" t="n">
        <v>3</v>
      </c>
      <c r="BN35" s="146" t="n">
        <v>1</v>
      </c>
      <c r="BO35" s="146" t="n">
        <v>5</v>
      </c>
      <c r="BP35" s="146" t="n"/>
      <c r="BQ35" s="602">
        <f>SUM(IF(BM35=BM$5,4,0),IF(BM35&amp;BN35=BM$5&amp;BN$5,1,0),
IF(AND(BM35=BM$5,BN$6&gt;=$D$115),1,0),
IF(AND(BN35=BM$5,BN$6&gt;=$D$115),1,0),
IF(AND(BO35=BM$5,BN$6&gt;=$D$115),1,0),
IF(BM35&amp;BP35=BQ$5,1,0),
IF(BN35=BM$5,2,0),
IF(BO35=BM$5,1,0),
IF(OR(BM35&amp;BN35&amp;BO35=BM$5&amp;BN$5&amp;BO$5,BM35&amp;BN35&amp;BO35=BM$5&amp;BO$5&amp;BN$5,BM35&amp;BN35&amp;BO35=BN$5&amp;BM$5&amp;BO$5,BM35&amp;BN35&amp;BO35=BN$5&amp;BO$5&amp;BM$5,BM35&amp;BN35&amp;BO35=BO$5&amp;BM$5&amp;BN$5,BM35&amp;BN35&amp;BO35=BO$5&amp;BN$5&amp;BM$5),2,0),IF(AND(BM35=BM$5,BN$6&gt;=$D$129),1,0),IF(AND(BN35=BM$5,BN$6&gt;=$D$129),1,0),IF(AND(BO35=BM$5,BN$6&gt;=$D$129),1,0),IF(BM35&amp;BP35=BP$5,4,0),IF(AND(BM35=BM$5,BN$6&lt;=$D$104),-0.5,0),IF(AND(BN35=BM$5,BN$6&lt;=$D$104),-0.5,0),IF(AND(BO35=BM$5,BN$6&lt;=$D$104),-0.5,0))</f>
        <v/>
      </c>
      <c r="BR35" s="145" t="n"/>
      <c r="BS35" s="146" t="n"/>
      <c r="BT35" s="146" t="n"/>
      <c r="BU35" s="146" t="n"/>
      <c r="BV35" s="602">
        <f>SUM(IF(BR35=BR$5,4,0),IF(BR35&amp;BS35=BR$5&amp;BS$5,1,0),
IF(AND(BR35=BR$5,BS$6&gt;=$D$115),1,0),
IF(AND(BS35=BR$5,BS$6&gt;=$D$115),1,0),
IF(AND(BT35=BR$5,BS$6&gt;=$D$115),1,0),
IF(BR35&amp;BU35=BV$5,1,0),
IF(BS35=BR$5,2,0),
IF(BT35=BR$5,1,0),
IF(OR(BR35&amp;BS35&amp;BT35=BR$5&amp;BS$5&amp;BT$5,BR35&amp;BS35&amp;BT35=BR$5&amp;BT$5&amp;BS$5,BR35&amp;BS35&amp;BT35=BS$5&amp;BR$5&amp;BT$5,BR35&amp;BS35&amp;BT35=BS$5&amp;BT$5&amp;BR$5,BR35&amp;BS35&amp;BT35=BT$5&amp;BR$5&amp;BS$5,BR35&amp;BS35&amp;BT35=BT$5&amp;BS$5&amp;BR$5),2,0),IF(AND(BR35=BR$5,BS$6&gt;=$D$129),1,0),IF(AND(BS35=BR$5,BS$6&gt;=$D$129),1,0),IF(AND(BT35=BR$5,BS$6&gt;=$D$129),1,0),IF(BR35&amp;BU35=BU$5,4,0),IF(AND(BR35=BR$5,BS$6&lt;=$D$104),-0.5,0),IF(AND(BS35=BR$5,BS$6&lt;=$D$104),-0.5,0),IF(AND(BT35=BR$5,BS$6&lt;=$D$104),-0.5,0))</f>
        <v/>
      </c>
      <c r="BW35" s="145" t="n"/>
      <c r="BX35" s="146" t="n"/>
      <c r="BY35" s="146" t="n"/>
      <c r="BZ35" s="146" t="n"/>
      <c r="CA35" s="602">
        <f>SUM(IF(BW35=BW$5,4,0),IF(BW35&amp;BX35=BW$5&amp;BX$5,1,0),
IF(AND(BW35=BW$5,BX$6&gt;=$D$115),1,0),
IF(AND(BX35=BW$5,BX$6&gt;=$D$115),1,0),
IF(AND(BY35=BW$5,BX$6&gt;=$D$115),1,0),
IF(BW35&amp;BZ35=CA$5,1,0),
IF(BX35=BW$5,2,0),
IF(BY35=BW$5,1,0),
IF(OR(BW35&amp;BX35&amp;BY35=BW$5&amp;BX$5&amp;BY$5,BW35&amp;BX35&amp;BY35=BW$5&amp;BY$5&amp;BX$5,BW35&amp;BX35&amp;BY35=BX$5&amp;BW$5&amp;BY$5,BW35&amp;BX35&amp;BY35=BX$5&amp;BY$5&amp;BW$5,BW35&amp;BX35&amp;BY35=BY$5&amp;BW$5&amp;BX$5,BW35&amp;BX35&amp;BY35=BY$5&amp;BX$5&amp;BW$5),2,0),IF(AND(BW35=BW$5,BX$6&gt;=$D$129),1,0),IF(AND(BX35=BW$5,BX$6&gt;=$D$129),1,0),IF(AND(BY35=BW$5,BX$6&gt;=$D$129),1,0),IF(BW35&amp;BZ35=BZ$5,4,0),IF(AND(BW35=BW$5,BX$6&lt;=$D$104),-0.5,0),IF(AND(BX35=BW$5,BX$6&lt;=$D$104),-0.5,0),IF(AND(BY35=BW$5,BX$6&lt;=$D$104),-0.5,0))</f>
        <v/>
      </c>
      <c r="CB35" s="145" t="n"/>
      <c r="CC35" s="146" t="n"/>
      <c r="CD35" s="146" t="n"/>
      <c r="CE35" s="146" t="n"/>
      <c r="CF35" s="602">
        <f>SUM(IF(CB35=CB$5,4,0),IF(CB35&amp;CC35=CB$5&amp;CC$5,1,0),
IF(AND(CB35=CB$5,CC$6&gt;=$D$115),1,0),
IF(AND(CC35=CB$5,CC$6&gt;=$D$115),1,0),
IF(AND(CD35=CB$5,CC$6&gt;=$D$115),1,0),
IF(CB35&amp;CE35=CF$5,1,0),
IF(CC35=CB$5,2,0),
IF(CD35=CB$5,1,0),
IF(OR(CB35&amp;CC35&amp;CD35=CB$5&amp;CC$5&amp;CD$5,CB35&amp;CC35&amp;CD35=CB$5&amp;CD$5&amp;CC$5,CB35&amp;CC35&amp;CD35=CC$5&amp;CB$5&amp;CD$5,CB35&amp;CC35&amp;CD35=CC$5&amp;CD$5&amp;CB$5,CB35&amp;CC35&amp;CD35=CD$5&amp;CB$5&amp;CC$5,CB35&amp;CC35&amp;CD35=CD$5&amp;CC$5&amp;CB$5),2,0),IF(AND(CB35=CB$5,CC$6&gt;=$D$129),1,0),IF(AND(CC35=CB$5,CC$6&gt;=$D$129),1,0),IF(AND(CD35=CB$5,CC$6&gt;=$D$129),1,0),IF(CB35&amp;CE35=CE$5,4,0),IF(AND(CB35=CB$5,CC$6&lt;=$D$104),-0.5,0),IF(AND(CC35=CB$5,CC$6&lt;=$D$104),-0.5,0),IF(AND(CD35=CB$5,CC$6&lt;=$D$104),-0.5,0))</f>
        <v/>
      </c>
      <c r="CG35" s="164">
        <f>IF(BASE01[[#This Row],[1]]="",0,$B$4)</f>
        <v/>
      </c>
      <c r="CH35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5" s="166">
        <f>IF(BASE01[[#This Row],[Columna14]]=0,0,(CH35/CG35))</f>
        <v/>
      </c>
      <c r="CJ35" s="165">
        <f>IF(BASE01[[#This Row],[1]]="",0,$B$4)</f>
        <v/>
      </c>
      <c r="CK35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5" s="166">
        <f>IF(BASE01[[#This Row],[Columna14]]=0,0,(CK35/CJ35))</f>
        <v/>
      </c>
      <c r="CM35" s="164">
        <f>IF(BASE01[[#This Row],[1]]="",0,$B$4)</f>
        <v/>
      </c>
      <c r="CN35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5" s="166">
        <f>IF(BASE01[[#This Row],[Columna14]]=0,0,(CN35/CM35))</f>
        <v/>
      </c>
      <c r="CP35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5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Row],[Columna25]],$AX$5,BA35,"SF")+COUNTIFS(BASE01[[#This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5" s="166">
        <f>IF(BASE01[[#This Row],[Columna14]]=0,0,(CQ35/CP35))</f>
        <v/>
      </c>
      <c r="CS35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5" s="95" t="n"/>
      <c r="CU35" s="604">
        <f>SUM(CS35,CT35)</f>
        <v/>
      </c>
      <c r="CV35" s="96">
        <f>IF(BASE01[[#This Row],[TIPO]]="PREMIO",$O$3,"0,00")</f>
        <v/>
      </c>
      <c r="CW35" s="576" t="n"/>
      <c r="CY35" s="606">
        <f>IF(CZ35="","",$CZ$25)</f>
        <v/>
      </c>
      <c r="CZ35" s="392" t="n"/>
      <c r="DA35" s="392">
        <f t="array" ref="DA35">IF(CZ35="", "", IF((INDEX(E$8:CE$57, MATCH(CZ35, C$8:C$57, 0), ($CZ$25-1)*5 + 1) &amp; "") = (INDEX(E$5:CE$5, 1, ($CZ$25-1)*5 + 1) &amp; ""), 1, IF((INDEX(E$8:CE$57, MATCH(CZ35, C$8:C$57, 0), ($CZ$25-1)*5 + 2) &amp; "") = (INDEX(E$5:CE$5, 1, ($CZ$25-1)*5 + 1) &amp; ""), 2, IF((INDEX(E$8:CE$57, MATCH(CZ35, C$8:C$57, 0), ($CZ$25-1)*5 + 3) &amp; "") = (INDEX(E$5:CE$5, 1, ($CZ$25-1)*5 + 1) &amp; ""), 3, ""))))</f>
        <v/>
      </c>
      <c r="DB35" s="605">
        <f>BASE01[[#This Row],[COD]]</f>
        <v/>
      </c>
      <c r="DC35" s="395">
        <f t="array" ref="DC35">IFERROR(IF(AND(INDEX($E$8:$CE$57, MATCH($C35, $C$8:$C$57, 0), (COLUMNS($DC35:DC35)-1)*5 + 1) = INDEX($E$5:$CE$5, 1, (COLUMNS($DC35:DC35)-1)*5 + 1), INDEX($E$8:$CE$57, MATCH($C35, $C$8:$C$57, 0), (COLUMNS($DC35:DC35)-1)*5 + 4) = "F"), INDEX($CZ$8:$CZ$23, COLUMNS($DC35:DC35)), "0"), "")</f>
        <v/>
      </c>
      <c r="DD35" s="395">
        <f t="array" ref="DD35">IFERROR(IF(AND(INDEX($E$8:$CE$57, MATCH($C35, $C$8:$C$57, 0), (COLUMNS($DC35:DD35)-1)*5 + 1) = INDEX($E$5:$CE$5, 1, (COLUMNS($DC35:DD35)-1)*5 + 1), INDEX($E$8:$CE$57, MATCH($C35, $C$8:$C$57, 0), (COLUMNS($DC35:DD35)-1)*5 + 4) = "F"), INDEX($CZ$8:$CZ$23, COLUMNS($DC35:DD35)), "0"), "")</f>
        <v/>
      </c>
      <c r="DE35" s="395">
        <f t="array" ref="DE35">IFERROR(IF(AND(INDEX($E$8:$CE$57, MATCH($C35, $C$8:$C$57, 0), (COLUMNS($DC35:DE35)-1)*5 + 1) = INDEX($E$5:$CE$5, 1, (COLUMNS($DC35:DE35)-1)*5 + 1), INDEX($E$8:$CE$57, MATCH($C35, $C$8:$C$57, 0), (COLUMNS($DC35:DE35)-1)*5 + 4) = "F"), INDEX($CZ$8:$CZ$23, COLUMNS($DC35:DE35)), "0"), "")</f>
        <v/>
      </c>
      <c r="DF35" s="395">
        <f t="array" ref="DF35">IFERROR(IF(AND(INDEX($E$8:$CE$57, MATCH($C35, $C$8:$C$57, 0), (COLUMNS($DC35:DF35)-1)*5 + 1) = INDEX($E$5:$CE$5, 1, (COLUMNS($DC35:DF35)-1)*5 + 1), INDEX($E$8:$CE$57, MATCH($C35, $C$8:$C$57, 0), (COLUMNS($DC35:DF35)-1)*5 + 4) = "F"), INDEX($CZ$8:$CZ$23, COLUMNS($DC35:DF35)), "0"), "")</f>
        <v/>
      </c>
      <c r="DG35" s="395">
        <f t="array" ref="DG35">IFERROR(IF(AND(INDEX($E$8:$CE$57, MATCH($C35, $C$8:$C$57, 0), (COLUMNS($DC35:DG35)-1)*5 + 1) = INDEX($E$5:$CE$5, 1, (COLUMNS($DC35:DG35)-1)*5 + 1), INDEX($E$8:$CE$57, MATCH($C35, $C$8:$C$57, 0), (COLUMNS($DC35:DG35)-1)*5 + 4) = "F"), INDEX($CZ$8:$CZ$23, COLUMNS($DC35:DG35)), "0"), "")</f>
        <v/>
      </c>
      <c r="DH35" s="395">
        <f t="array" ref="DH35">IFERROR(IF(AND(INDEX($E$8:$CE$57, MATCH($C35, $C$8:$C$57, 0), (COLUMNS($DC35:DH35)-1)*5 + 1) = INDEX($E$5:$CE$5, 1, (COLUMNS($DC35:DH35)-1)*5 + 1), INDEX($E$8:$CE$57, MATCH($C35, $C$8:$C$57, 0), (COLUMNS($DC35:DH35)-1)*5 + 4) = "F"), INDEX($CZ$8:$CZ$23, COLUMNS($DC35:DH35)), "0"), "")</f>
        <v/>
      </c>
      <c r="DI35" s="395">
        <f t="array" ref="DI35">IFERROR(IF(AND(INDEX($E$8:$CE$57, MATCH($C35, $C$8:$C$57, 0), (COLUMNS($DC35:DI35)-1)*5 + 1) = INDEX($E$5:$CE$5, 1, (COLUMNS($DC35:DI35)-1)*5 + 1), INDEX($E$8:$CE$57, MATCH($C35, $C$8:$C$57, 0), (COLUMNS($DC35:DI35)-1)*5 + 4) = "F"), INDEX($CZ$8:$CZ$23, COLUMNS($DC35:DI35)), "0"), "")</f>
        <v/>
      </c>
      <c r="DJ35" s="395">
        <f t="array" ref="DJ35">IFERROR(IF(AND(INDEX($E$8:$CE$57, MATCH($C35, $C$8:$C$57, 0), (COLUMNS($DC35:DJ35)-1)*5 + 1) = INDEX($E$5:$CE$5, 1, (COLUMNS($DC35:DJ35)-1)*5 + 1), INDEX($E$8:$CE$57, MATCH($C35, $C$8:$C$57, 0), (COLUMNS($DC35:DJ35)-1)*5 + 4) = "F"), INDEX($CZ$8:$CZ$23, COLUMNS($DC35:DJ35)), "0"), "")</f>
        <v/>
      </c>
      <c r="DK35" s="395">
        <f t="array" ref="DK35">IFERROR(IF(AND(INDEX($E$8:$CE$57, MATCH($C35, $C$8:$C$57, 0), (COLUMNS($DC35:DK35)-1)*5 + 1) = INDEX($E$5:$CE$5, 1, (COLUMNS($DC35:DK35)-1)*5 + 1), INDEX($E$8:$CE$57, MATCH($C35, $C$8:$C$57, 0), (COLUMNS($DC35:DK35)-1)*5 + 4) = "F"), INDEX($CZ$8:$CZ$23, COLUMNS($DC35:DK35)), "0"), "")</f>
        <v/>
      </c>
      <c r="DL35" s="395">
        <f t="array" ref="DL35">IFERROR(IF(AND(INDEX($E$8:$CE$57, MATCH($C35, $C$8:$C$57, 0), (COLUMNS($DC35:DL35)-1)*5 + 1) = INDEX($E$5:$CE$5, 1, (COLUMNS($DC35:DL35)-1)*5 + 1), INDEX($E$8:$CE$57, MATCH($C35, $C$8:$C$57, 0), (COLUMNS($DC35:DL35)-1)*5 + 4) = "F"), INDEX($CZ$8:$CZ$23, COLUMNS($DC35:DL35)), "0"), "")</f>
        <v/>
      </c>
      <c r="DM35" s="395">
        <f t="array" ref="DM35">IFERROR(IF(AND(INDEX($E$8:$CE$57, MATCH($C35, $C$8:$C$57, 0), (COLUMNS($DC35:DM35)-1)*5 + 1) = INDEX($E$5:$CE$5, 1, (COLUMNS($DC35:DM35)-1)*5 + 1), INDEX($E$8:$CE$57, MATCH($C35, $C$8:$C$57, 0), (COLUMNS($DC35:DM35)-1)*5 + 4) = "F"), INDEX($CZ$8:$CZ$23, COLUMNS($DC35:DM35)), "0"), "")</f>
        <v/>
      </c>
      <c r="DN35" s="395">
        <f t="array" ref="DN35">IFERROR(IF(AND(INDEX($E$8:$CE$57, MATCH($C35, $C$8:$C$57, 0), (COLUMNS($DC35:DN35)-1)*5 + 1) = INDEX($E$5:$CE$5, 1, (COLUMNS($DC35:DN35)-1)*5 + 1), INDEX($E$8:$CE$57, MATCH($C35, $C$8:$C$57, 0), (COLUMNS($DC35:DN35)-1)*5 + 4) = "F"), INDEX($CZ$8:$CZ$23, COLUMNS($DC35:DN35)), "0"), "")</f>
        <v/>
      </c>
      <c r="DO35" s="395">
        <f t="array" ref="DO35">IFERROR(IF(AND(INDEX($E$8:$CE$57, MATCH($C35, $C$8:$C$57, 0), (COLUMNS($DC35:DO35)-1)*5 + 1) = INDEX($E$5:$CE$5, 1, (COLUMNS($DC35:DO35)-1)*5 + 1), INDEX($E$8:$CE$57, MATCH($C35, $C$8:$C$57, 0), (COLUMNS($DC35:DO35)-1)*5 + 4) = "F"), INDEX($CZ$8:$CZ$23, COLUMNS($DC35:DO35)), "0"), "")</f>
        <v/>
      </c>
      <c r="DP35" s="395">
        <f t="array" ref="DP35">IFERROR(IF(AND(INDEX($E$8:$CE$57, MATCH($C35, $C$8:$C$57, 0), (COLUMNS($DC35:DP35)-1)*5 + 1) = INDEX($E$5:$CE$5, 1, (COLUMNS($DC35:DP35)-1)*5 + 1), INDEX($E$8:$CE$57, MATCH($C35, $C$8:$C$57, 0), (COLUMNS($DC35:DP35)-1)*5 + 4) = "F"), INDEX($CZ$8:$CZ$23, COLUMNS($DC35:DP35)), "0"), "")</f>
        <v/>
      </c>
      <c r="DQ35" s="395">
        <f t="array" ref="DQ35">IFERROR(IF(AND(INDEX($E$8:$CE$57, MATCH($C35, $C$8:$C$57, 0), (COLUMNS($DC35:DQ35)-1)*5 + 1) = INDEX($E$5:$CE$5, 1, (COLUMNS($DC35:DQ35)-1)*5 + 1), INDEX($E$8:$CE$57, MATCH($C35, $C$8:$C$57, 0), (COLUMNS($DC35:DQ35)-1)*5 + 4) = "F"), INDEX($CZ$8:$CZ$23, COLUMNS($DC35:DQ35)), "0"), "")</f>
        <v/>
      </c>
      <c r="DR35" s="395">
        <f t="array" ref="DR35">IFERROR(IF(AND(INDEX($E$8:$CE$57, MATCH($C35, $C$8:$C$57, 0), (COLUMNS($DC35:DR35)-1)*5 + 1) = INDEX($E$5:$CE$5, 1, (COLUMNS($DC35:DR35)-1)*5 + 1), INDEX($E$8:$CE$57, MATCH($C35, $C$8:$C$57, 0), (COLUMNS($DC35:DR35)-1)*5 + 4) = "F"), INDEX($CZ$8:$CZ$23, COLUMNS($DC35:DR35)), "0"), "")</f>
        <v/>
      </c>
      <c r="DT35" s="605">
        <f>BASE01[[#This Row],[COD]]</f>
        <v/>
      </c>
      <c r="DU35" s="395">
        <f t="array" ref="DU35">IFERROR(IF(AND(INDEX($E$8:$CE$57, MATCH($C35, $C$8:$C$57, 0), (COLUMNS($DU35:DU35)-1)*5 + 1) = INDEX($E$5:$CE$5, 1, (COLUMNS($DU35:DU35)-1)*5 + 1), INDEX($E$8:$CE$57, MATCH($C35, $C$8:$C$57, 0), (COLUMNS($DU35:DU35)-1)*5 + 4) = "SF"), INDEX($CZ$8:$CZ$23, COLUMNS($DU35:DU35)), "0"), "")</f>
        <v/>
      </c>
      <c r="DV35" s="395">
        <f t="array" ref="DV35">IFERROR(IF(AND(INDEX($E$8:$CE$57, MATCH($C35, $C$8:$C$57, 0), (COLUMNS($DU35:DV35)-1)*5 + 1) = INDEX($E$5:$CE$5, 1, (COLUMNS($DU35:DV35)-1)*5 + 1), INDEX($E$8:$CE$57, MATCH($C35, $C$8:$C$57, 0), (COLUMNS($DU35:DV35)-1)*5 + 4) = "SF"), INDEX($CZ$8:$CZ$23, COLUMNS($DU35:DV35)), "0"), "")</f>
        <v/>
      </c>
      <c r="DW35" s="395">
        <f t="array" ref="DW35">IFERROR(IF(AND(INDEX($E$8:$CE$57, MATCH($C35, $C$8:$C$57, 0), (COLUMNS($DU35:DW35)-1)*5 + 1) = INDEX($E$5:$CE$5, 1, (COLUMNS($DU35:DW35)-1)*5 + 1), INDEX($E$8:$CE$57, MATCH($C35, $C$8:$C$57, 0), (COLUMNS($DU35:DW35)-1)*5 + 4) = "SF"), INDEX($CZ$8:$CZ$23, COLUMNS($DU35:DW35)), "0"), "")</f>
        <v/>
      </c>
      <c r="DX35" s="395">
        <f t="array" ref="DX35">IFERROR(IF(AND(INDEX($E$8:$CE$57, MATCH($C35, $C$8:$C$57, 0), (COLUMNS($DU35:DX35)-1)*5 + 1) = INDEX($E$5:$CE$5, 1, (COLUMNS($DU35:DX35)-1)*5 + 1), INDEX($E$8:$CE$57, MATCH($C35, $C$8:$C$57, 0), (COLUMNS($DU35:DX35)-1)*5 + 4) = "SF"), INDEX($CZ$8:$CZ$23, COLUMNS($DU35:DX35)), "0"), "")</f>
        <v/>
      </c>
      <c r="DY35" s="395">
        <f t="array" ref="DY35">IFERROR(IF(AND(INDEX($E$8:$CE$57, MATCH($C35, $C$8:$C$57, 0), (COLUMNS($DU35:DY35)-1)*5 + 1) = INDEX($E$5:$CE$5, 1, (COLUMNS($DU35:DY35)-1)*5 + 1), INDEX($E$8:$CE$57, MATCH($C35, $C$8:$C$57, 0), (COLUMNS($DU35:DY35)-1)*5 + 4) = "SF"), INDEX($CZ$8:$CZ$23, COLUMNS($DU35:DY35)), "0"), "")</f>
        <v/>
      </c>
      <c r="DZ35" s="395">
        <f t="array" ref="DZ35">IFERROR(IF(AND(INDEX($E$8:$CE$57, MATCH($C35, $C$8:$C$57, 0), (COLUMNS($DU35:DZ35)-1)*5 + 1) = INDEX($E$5:$CE$5, 1, (COLUMNS($DU35:DZ35)-1)*5 + 1), INDEX($E$8:$CE$57, MATCH($C35, $C$8:$C$57, 0), (COLUMNS($DU35:DZ35)-1)*5 + 4) = "SF"), INDEX($CZ$8:$CZ$23, COLUMNS($DU35:DZ35)), "0"), "")</f>
        <v/>
      </c>
      <c r="EA35" s="395">
        <f t="array" ref="EA35">IFERROR(IF(AND(INDEX($E$8:$CE$57, MATCH($C35, $C$8:$C$57, 0), (COLUMNS($DU35:EA35)-1)*5 + 1) = INDEX($E$5:$CE$5, 1, (COLUMNS($DU35:EA35)-1)*5 + 1), INDEX($E$8:$CE$57, MATCH($C35, $C$8:$C$57, 0), (COLUMNS($DU35:EA35)-1)*5 + 4) = "SF"), INDEX($CZ$8:$CZ$23, COLUMNS($DU35:EA35)), "0"), "")</f>
        <v/>
      </c>
      <c r="EB35" s="395">
        <f t="array" ref="EB35">IFERROR(IF(AND(INDEX($E$8:$CE$57, MATCH($C35, $C$8:$C$57, 0), (COLUMNS($DU35:EB35)-1)*5 + 1) = INDEX($E$5:$CE$5, 1, (COLUMNS($DU35:EB35)-1)*5 + 1), INDEX($E$8:$CE$57, MATCH($C35, $C$8:$C$57, 0), (COLUMNS($DU35:EB35)-1)*5 + 4) = "SF"), INDEX($CZ$8:$CZ$23, COLUMNS($DU35:EB35)), "0"), "")</f>
        <v/>
      </c>
      <c r="EC35" s="395">
        <f t="array" ref="EC35">IFERROR(IF(AND(INDEX($E$8:$CE$57, MATCH($C35, $C$8:$C$57, 0), (COLUMNS($DU35:EC35)-1)*5 + 1) = INDEX($E$5:$CE$5, 1, (COLUMNS($DU35:EC35)-1)*5 + 1), INDEX($E$8:$CE$57, MATCH($C35, $C$8:$C$57, 0), (COLUMNS($DU35:EC35)-1)*5 + 4) = "SF"), INDEX($CZ$8:$CZ$23, COLUMNS($DU35:EC35)), "0"), "")</f>
        <v/>
      </c>
      <c r="ED35" s="395">
        <f t="array" ref="ED35">IFERROR(IF(AND(INDEX($E$8:$CE$57, MATCH($C35, $C$8:$C$57, 0), (COLUMNS($DU35:ED35)-1)*5 + 1) = INDEX($E$5:$CE$5, 1, (COLUMNS($DU35:ED35)-1)*5 + 1), INDEX($E$8:$CE$57, MATCH($C35, $C$8:$C$57, 0), (COLUMNS($DU35:ED35)-1)*5 + 4) = "SF"), INDEX($CZ$8:$CZ$23, COLUMNS($DU35:ED35)), "0"), "")</f>
        <v/>
      </c>
      <c r="EE35" s="395">
        <f t="array" ref="EE35">IFERROR(IF(AND(INDEX($E$8:$CE$57, MATCH($C35, $C$8:$C$57, 0), (COLUMNS($DU35:EE35)-1)*5 + 1) = INDEX($E$5:$CE$5, 1, (COLUMNS($DU35:EE35)-1)*5 + 1), INDEX($E$8:$CE$57, MATCH($C35, $C$8:$C$57, 0), (COLUMNS($DU35:EE35)-1)*5 + 4) = "SF"), INDEX($CZ$8:$CZ$23, COLUMNS($DU35:EE35)), "0"), "")</f>
        <v/>
      </c>
      <c r="EF35" s="395">
        <f t="array" ref="EF35">IFERROR(IF(AND(INDEX($E$8:$CE$57, MATCH($C35, $C$8:$C$57, 0), (COLUMNS($DU35:EF35)-1)*5 + 1) = INDEX($E$5:$CE$5, 1, (COLUMNS($DU35:EF35)-1)*5 + 1), INDEX($E$8:$CE$57, MATCH($C35, $C$8:$C$57, 0), (COLUMNS($DU35:EF35)-1)*5 + 4) = "SF"), INDEX($CZ$8:$CZ$23, COLUMNS($DU35:EF35)), "0"), "")</f>
        <v/>
      </c>
      <c r="EG35" s="395">
        <f t="array" ref="EG35">IFERROR(IF(AND(INDEX($E$8:$CE$57, MATCH($C35, $C$8:$C$57, 0), (COLUMNS($DU35:EG35)-1)*5 + 1) = INDEX($E$5:$CE$5, 1, (COLUMNS($DU35:EG35)-1)*5 + 1), INDEX($E$8:$CE$57, MATCH($C35, $C$8:$C$57, 0), (COLUMNS($DU35:EG35)-1)*5 + 4) = "SF"), INDEX($CZ$8:$CZ$23, COLUMNS($DU35:EG35)), "0"), "")</f>
        <v/>
      </c>
      <c r="EH35" s="395">
        <f t="array" ref="EH35">IFERROR(IF(AND(INDEX($E$8:$CE$57, MATCH($C35, $C$8:$C$57, 0), (COLUMNS($DU35:EH35)-1)*5 + 1) = INDEX($E$5:$CE$5, 1, (COLUMNS($DU35:EH35)-1)*5 + 1), INDEX($E$8:$CE$57, MATCH($C35, $C$8:$C$57, 0), (COLUMNS($DU35:EH35)-1)*5 + 4) = "SF"), INDEX($CZ$8:$CZ$23, COLUMNS($DU35:EH35)), "0"), "")</f>
        <v/>
      </c>
      <c r="EI35" s="395">
        <f t="array" ref="EI35">IFERROR(IF(AND(INDEX($E$8:$CE$57, MATCH($C35, $C$8:$C$57, 0), (COLUMNS($DU35:EI35)-1)*5 + 1) = INDEX($E$5:$CE$5, 1, (COLUMNS($DU35:EI35)-1)*5 + 1), INDEX($E$8:$CE$57, MATCH($C35, $C$8:$C$57, 0), (COLUMNS($DU35:EI35)-1)*5 + 4) = "SF"), INDEX($CZ$8:$CZ$23, COLUMNS($DU35:EI35)), "0"), "")</f>
        <v/>
      </c>
      <c r="EJ35" s="395">
        <f t="array" ref="EJ35">IFERROR(IF(AND(INDEX($E$8:$CE$57, MATCH($C35, $C$8:$C$57, 0), (COLUMNS($DU35:EJ35)-1)*5 + 1) = INDEX($E$5:$CE$5, 1, (COLUMNS($DU35:EJ35)-1)*5 + 1), INDEX($E$8:$CE$57, MATCH($C35, $C$8:$C$57, 0), (COLUMNS($DU35:EJ35)-1)*5 + 4) = "SF"), INDEX($CZ$8:$CZ$23, COLUMNS($DU35:EJ35)), "0"), "")</f>
        <v/>
      </c>
    </row>
    <row r="36" ht="19.5" customHeight="1" s="568">
      <c r="A36" s="576" t="n"/>
      <c r="B36" s="92">
        <f>IF(BASE01[[#This Row],[COD]]&lt;&gt;"",B35+1,"")</f>
        <v/>
      </c>
      <c r="C36" s="601" t="inlineStr">
        <is>
          <t>COD 29</t>
        </is>
      </c>
      <c r="D36" s="93">
        <f t="array" ref="D36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6" s="145" t="n">
        <v>6</v>
      </c>
      <c r="F36" s="146" t="n">
        <v>1</v>
      </c>
      <c r="G36" s="146" t="n">
        <v>8</v>
      </c>
      <c r="H36" s="146" t="n"/>
      <c r="I36" s="602">
        <f>SUM(IF(E36=E$5,4,0),IF(E36&amp;F36=E$5&amp;F$5,1,0),
IF(AND(E36=E$5,F$6&gt;=$D$115),1,0),
IF(AND(F36=E$5,F$6&gt;=$D$115),1,0),
IF(AND(G36=E$5,F$6&gt;=$D$115),1,0),
IF(E36&amp;H36=I$5,1,0),
IF(F36=E$5,2,0),
IF(G36=E$5,1,0),
IF(OR(E36&amp;F36&amp;G36=E$5&amp;F$5&amp;G$5,E36&amp;F36&amp;G36=E$5&amp;G$5&amp;F$5,E36&amp;F36&amp;G36=F$5&amp;E$5&amp;G$5,E36&amp;F36&amp;G36=F$5&amp;G$5&amp;E$5,E36&amp;F36&amp;G36=G$5&amp;E$5&amp;F$5,E36&amp;F36&amp;G36=G$5&amp;F$5&amp;E$5),2,0),IF(AND(E36=E$5,F$6&gt;=$D$129),1,0),IF(AND(F36=E$5,F$6&gt;=$D$129),1,0),IF(AND(G36=E$5,F$6&gt;=$D$129),1,0),IF(E36&amp;H36=H$5,4,0),IF(AND(E36=E$5,F$6&lt;=$D$104),-0.5,0),IF(AND(F36=E$5,F$6&lt;=$D$104),-0.5,0),IF(AND(G36=E$5,F$6&lt;=$D$104),-0.5,0))</f>
        <v/>
      </c>
      <c r="J36" s="145" t="n">
        <v>8</v>
      </c>
      <c r="K36" s="146" t="n">
        <v>3</v>
      </c>
      <c r="L36" s="146" t="n">
        <v>5</v>
      </c>
      <c r="M36" s="146" t="n"/>
      <c r="N36" s="602">
        <f>SUM(IF(J36=J$5,4,0),IF(J36&amp;K36=J$5&amp;K$5,1,0),
IF(AND(J36=J$5,K$6&gt;=$D$115),1,0),
IF(AND(K36=J$5,K$6&gt;=$D$115),1,0),
IF(AND(L36=J$5,K$6&gt;=$D$115),1,0),
IF(J36&amp;M36=N$5,1,0),
IF(K36=J$5,2,0),
IF(L36=J$5,1,0),
IF(OR(J36&amp;K36&amp;L36=J$5&amp;K$5&amp;L$5,J36&amp;K36&amp;L36=J$5&amp;L$5&amp;K$5,J36&amp;K36&amp;L36=K$5&amp;J$5&amp;L$5,J36&amp;K36&amp;L36=K$5&amp;L$5&amp;J$5,J36&amp;K36&amp;L36=L$5&amp;J$5&amp;K$5,J36&amp;K36&amp;L36=L$5&amp;K$5&amp;J$5),2,0),IF(AND(J36=J$5,K$6&gt;=$D$129),1,0),IF(AND(K36=J$5,K$6&gt;=$D$129),1,0),IF(AND(L36=J$5,K$6&gt;=$D$129),1,0),IF(J36&amp;M36=M$5,4,0),IF(AND(J36=J$5,K$6&lt;=$D$104),-0.5,0),IF(AND(K36=J$5,K$6&lt;=$D$104),-0.5,0),IF(AND(L36=J$5,K$6&lt;=$D$104),-0.5,0))</f>
        <v/>
      </c>
      <c r="O36" s="145" t="n">
        <v>3</v>
      </c>
      <c r="P36" s="146" t="n">
        <v>8</v>
      </c>
      <c r="Q36" s="146" t="n">
        <v>6</v>
      </c>
      <c r="R36" s="146" t="n"/>
      <c r="S36" s="602">
        <f>SUM(IF(O36=O$5,4,0),IF(O36&amp;P36=O$5&amp;P$5,1,0),
IF(AND(O36=O$5,P$6&gt;=$D$115),1,0),
IF(AND(P36=O$5,P$6&gt;=$D$115),1,0),
IF(AND(Q36=O$5,P$6&gt;=$D$115),1,0),
IF(O36&amp;R36=S$5,1,0),
IF(P36=O$5,2,0),
IF(Q36=O$5,1,0),
IF(OR(O36&amp;P36&amp;Q36=O$5&amp;P$5&amp;Q$5,O36&amp;P36&amp;Q36=O$5&amp;Q$5&amp;P$5,O36&amp;P36&amp;Q36=P$5&amp;O$5&amp;Q$5,O36&amp;P36&amp;Q36=P$5&amp;Q$5&amp;O$5,O36&amp;P36&amp;Q36=Q$5&amp;O$5&amp;P$5,O36&amp;P36&amp;Q36=Q$5&amp;P$5&amp;O$5),2,0),IF(AND(O36=O$5,P$6&gt;=$D$129),1,0),IF(AND(P36=O$5,P$6&gt;=$D$129),1,0),IF(AND(Q36=O$5,P$6&gt;=$D$129),1,0),IF(O36&amp;R36=R$5,4,0),IF(AND(O36=O$5,P$6&lt;=$D$104),-0.5,0),IF(AND(P36=O$5,P$6&lt;=$D$104),-0.5,0),IF(AND(Q36=O$5,P$6&lt;=$D$104),-0.5,0))</f>
        <v/>
      </c>
      <c r="T36" s="145" t="n">
        <v>6</v>
      </c>
      <c r="U36" s="146" t="n">
        <v>8</v>
      </c>
      <c r="V36" s="146" t="n">
        <v>9</v>
      </c>
      <c r="W36" s="146" t="n"/>
      <c r="X36" s="602">
        <f>SUM(IF(T36=T$5,4,0),IF(T36&amp;U36=T$5&amp;U$5,1,0),
IF(AND(T36=T$5,U$6&gt;=$D$115),1,0),
IF(AND(U36=T$5,U$6&gt;=$D$115),1,0),
IF(AND(V36=T$5,U$6&gt;=$D$115),1,0),
IF(T36&amp;W36=X$5,1,0),
IF(U36=T$5,2,0),
IF(V36=T$5,1,0),
IF(OR(T36&amp;U36&amp;V36=T$5&amp;U$5&amp;V$5,T36&amp;U36&amp;V36=T$5&amp;V$5&amp;U$5,T36&amp;U36&amp;V36=U$5&amp;T$5&amp;V$5,T36&amp;U36&amp;V36=U$5&amp;V$5&amp;T$5,T36&amp;U36&amp;V36=V$5&amp;T$5&amp;U$5,T36&amp;U36&amp;V36=V$5&amp;U$5&amp;T$5),2,0),IF(AND(T36=T$5,U$6&gt;=$D$129),1,0),IF(AND(U36=T$5,U$6&gt;=$D$129),1,0),IF(AND(V36=T$5,U$6&gt;=$D$129),1,0),IF(T36&amp;W36=W$5,4,0),IF(AND(T36=T$5,U$6&lt;=$D$104),-0.5,0),IF(AND(U36=T$5,U$6&lt;=$D$104),-0.5,0),IF(AND(V36=T$5,U$6&lt;=$D$104),-0.5,0))</f>
        <v/>
      </c>
      <c r="Y36" s="145" t="n">
        <v>5</v>
      </c>
      <c r="Z36" s="146" t="n"/>
      <c r="AA36" s="146" t="n"/>
      <c r="AB36" s="146" t="inlineStr">
        <is>
          <t>SF</t>
        </is>
      </c>
      <c r="AC36" s="602">
        <f>SUM(IF(Y36=Y$5,4,0),IF(Y36&amp;Z36=Y$5&amp;Z$5,1,0),
IF(AND(Y36=Y$5,Z$6&gt;=$D$115),1,0),
IF(AND(Z36=Y$5,Z$6&gt;=$D$115),1,0),
IF(AND(AA36=Y$5,Z$6&gt;=$D$115),1,0),
IF(Y36&amp;AB36=AC$5,1,0),
IF(Z36=Y$5,2,0),
IF(AA36=Y$5,1,0),
IF(OR(Y36&amp;Z36&amp;AA36=Y$5&amp;Z$5&amp;AA$5,Y36&amp;Z36&amp;AA36=Y$5&amp;AA$5&amp;Z$5,Y36&amp;Z36&amp;AA36=Z$5&amp;Y$5&amp;AA$5,Y36&amp;Z36&amp;AA36=Z$5&amp;AA$5&amp;Y$5,Y36&amp;Z36&amp;AA36=AA$5&amp;Y$5&amp;Z$5,Y36&amp;Z36&amp;AA36=AA$5&amp;Z$5&amp;Y$5),2,0),IF(AND(Y36=Y$5,Z$6&gt;=$D$129),1,0),IF(AND(Z36=Y$5,Z$6&gt;=$D$129),1,0),IF(AND(AA36=Y$5,Z$6&gt;=$D$129),1,0),IF(Y36&amp;AB36=AB$5,4,0),IF(AND(Y36=Y$5,Z$6&lt;=$D$104),-0.5,0),IF(AND(Z36=Y$5,Z$6&lt;=$D$104),-0.5,0),IF(AND(AA36=Y$5,Z$6&lt;=$D$104),-0.5,0))</f>
        <v/>
      </c>
      <c r="AD36" s="145" t="n">
        <v>7</v>
      </c>
      <c r="AE36" s="146" t="n">
        <v>5</v>
      </c>
      <c r="AF36" s="146" t="n">
        <v>2</v>
      </c>
      <c r="AG36" s="146" t="inlineStr">
        <is>
          <t>F</t>
        </is>
      </c>
      <c r="AH36" s="602">
        <f>SUM(IF(AD36=AD$5,4,0),IF(AD36&amp;AE36=AD$5&amp;AE$5,1,0),
IF(AND(AD36=AD$5,AE$6&gt;=$D$115),1,0),
IF(AND(AE36=AD$5,AE$6&gt;=$D$115),1,0),
IF(AND(AF36=AD$5,AE$6&gt;=$D$115),1,0),
IF(AD36&amp;AG36=AH$5,1,0),
IF(AE36=AD$5,2,0),
IF(AF36=AD$5,1,0),
IF(OR(AD36&amp;AE36&amp;AF36=AD$5&amp;AE$5&amp;AF$5,AD36&amp;AE36&amp;AF36=AD$5&amp;AF$5&amp;AE$5,AD36&amp;AE36&amp;AF36=AE$5&amp;AD$5&amp;AF$5,AD36&amp;AE36&amp;AF36=AE$5&amp;AF$5&amp;AD$5,AD36&amp;AE36&amp;AF36=AF$5&amp;AD$5&amp;AE$5,AD36&amp;AE36&amp;AF36=AF$5&amp;AE$5&amp;AD$5),2,0),IF(AND(AD36=AD$5,AE$6&gt;=$D$129),1,0),IF(AND(AE36=AD$5,AE$6&gt;=$D$129),1,0),IF(AND(AF36=AD$5,AE$6&gt;=$D$129),1,0),IF(AD36&amp;AG36=AG$5,4,0),IF(AND(AD36=AD$5,AE$6&lt;=$D$104),-0.5,0),IF(AND(AE36=AD$5,AE$6&lt;=$D$104),-0.5,0),IF(AND(AF36=AD$5,AE$6&lt;=$D$104),-0.5,0))</f>
        <v/>
      </c>
      <c r="AI36" s="145" t="n">
        <v>3</v>
      </c>
      <c r="AJ36" s="146" t="n">
        <v>4</v>
      </c>
      <c r="AK36" s="146" t="n">
        <v>8</v>
      </c>
      <c r="AL36" s="146" t="n"/>
      <c r="AM36" s="602">
        <f>SUM(IF(AI36=AI$5,4,0),IF(AI36&amp;AJ36=AI$5&amp;AJ$5,1,0),
IF(AND(AI36=AI$5,AJ$6&gt;=$D$115),1,0),
IF(AND(AJ36=AI$5,AJ$6&gt;=$D$115),1,0),
IF(AND(AK36=AI$5,AJ$6&gt;=$D$115),1,0),
IF(AI36&amp;AL36=AM$5,1,0),
IF(AJ36=AI$5,2,0),
IF(AK36=AI$5,1,0),
IF(OR(AI36&amp;AJ36&amp;AK36=AI$5&amp;AJ$5&amp;AK$5,AI36&amp;AJ36&amp;AK36=AI$5&amp;AK$5&amp;AJ$5,AI36&amp;AJ36&amp;AK36=AJ$5&amp;AI$5&amp;AK$5,AI36&amp;AJ36&amp;AK36=AJ$5&amp;AK$5&amp;AI$5,AI36&amp;AJ36&amp;AK36=AK$5&amp;AI$5&amp;AJ$5,AI36&amp;AJ36&amp;AK36=AK$5&amp;AJ$5&amp;AI$5),2,0),IF(AND(AI36=AI$5,AJ$6&gt;=$D$129),1,0),IF(AND(AJ36=AI$5,AJ$6&gt;=$D$129),1,0),IF(AND(AK36=AI$5,AJ$6&gt;=$D$129),1,0),IF(AI36&amp;AL36=AL$5,4,0),IF(AND(AI36=AI$5,AJ$6&lt;=$D$104),-0.5,0),IF(AND(AJ36=AI$5,AJ$6&lt;=$D$104),-0.5,0),IF(AND(AK36=AI$5,AJ$6&lt;=$D$104),-0.5,0))</f>
        <v/>
      </c>
      <c r="AN36" s="145" t="n">
        <v>8</v>
      </c>
      <c r="AO36" s="146" t="n">
        <v>9</v>
      </c>
      <c r="AP36" s="146" t="n">
        <v>11</v>
      </c>
      <c r="AQ36" s="146" t="inlineStr">
        <is>
          <t>F</t>
        </is>
      </c>
      <c r="AR36" s="602">
        <f>SUM(IF(AN36=AN$5,4,0),IF(AN36&amp;AO36=AN$5&amp;AO$5,1,0),
IF(AND(AN36=AN$5,AO$6&gt;=$D$115),1,0),
IF(AND(AO36=AN$5,AO$6&gt;=$D$115),1,0),
IF(AND(AP36=AN$5,AO$6&gt;=$D$115),1,0),
IF(AN36&amp;AQ36=AR$5,1,0),
IF(AO36=AN$5,2,0),
IF(AP36=AN$5,1,0),
IF(OR(AN36&amp;AO36&amp;AP36=AN$5&amp;AO$5&amp;AP$5,AN36&amp;AO36&amp;AP36=AN$5&amp;AP$5&amp;AO$5,AN36&amp;AO36&amp;AP36=AO$5&amp;AN$5&amp;AP$5,AN36&amp;AO36&amp;AP36=AO$5&amp;AP$5&amp;AN$5,AN36&amp;AO36&amp;AP36=AP$5&amp;AN$5&amp;AO$5,AN36&amp;AO36&amp;AP36=AP$5&amp;AO$5&amp;AN$5),2,0),IF(AND(AN36=AN$5,AO$6&gt;=$D$129),1,0),IF(AND(AO36=AN$5,AO$6&gt;=$D$129),1,0),IF(AND(AP36=AN$5,AO$6&gt;=$D$129),1,0),IF(AN36&amp;AQ36=AQ$5,4,0),IF(AND(AN36=AN$5,AO$6&lt;=$D$104),-0.5,0),IF(AND(AO36=AN$5,AO$6&lt;=$D$104),-0.5,0),IF(AND(AP36=AN$5,AO$6&lt;=$D$104),-0.5,0))</f>
        <v/>
      </c>
      <c r="AS36" s="145" t="n">
        <v>3</v>
      </c>
      <c r="AT36" s="146" t="n">
        <v>7</v>
      </c>
      <c r="AU36" s="146" t="n">
        <v>1</v>
      </c>
      <c r="AV36" s="146" t="n"/>
      <c r="AW36" s="602">
        <f>SUM(IF(AS36=AS$5,4,0),IF(AS36&amp;AT36=AS$5&amp;AT$5,1,0),
IF(AND(AS36=AS$5,AT$6&gt;=$D$115),1,0),
IF(AND(AT36=AS$5,AT$6&gt;=$D$115),1,0),
IF(AND(AU36=AS$5,AT$6&gt;=$D$115),1,0),
IF(AS36&amp;AV36=AW$5,1,0),
IF(AT36=AS$5,2,0),
IF(AU36=AS$5,1,0),
IF(OR(AS36&amp;AT36&amp;AU36=AS$5&amp;AT$5&amp;AU$5,AS36&amp;AT36&amp;AU36=AS$5&amp;AU$5&amp;AT$5,AS36&amp;AT36&amp;AU36=AT$5&amp;AS$5&amp;AU$5,AS36&amp;AT36&amp;AU36=AT$5&amp;AU$5&amp;AS$5,AS36&amp;AT36&amp;AU36=AU$5&amp;AS$5&amp;AT$5,AS36&amp;AT36&amp;AU36=AU$5&amp;AT$5&amp;AS$5),2,0),IF(AND(AS36=AS$5,AT$6&gt;=$D$129),1,0),IF(AND(AT36=AS$5,AT$6&gt;=$D$129),1,0),IF(AND(AU36=AS$5,AT$6&gt;=$D$129),1,0),IF(AS36&amp;AV36=AV$5,4,0),IF(AND(AS36=AS$5,AT$6&lt;=$D$104),-0.5,0),IF(AND(AT36=AS$5,AT$6&lt;=$D$104),-0.5,0),IF(AND(AU36=AS$5,AT$6&lt;=$D$104),-0.5,0))</f>
        <v/>
      </c>
      <c r="AX36" s="145" t="n">
        <v>1</v>
      </c>
      <c r="AY36" s="146" t="n">
        <v>9</v>
      </c>
      <c r="AZ36" s="146" t="n">
        <v>8</v>
      </c>
      <c r="BA36" s="146" t="n"/>
      <c r="BB36" s="602">
        <f>SUM(IF(AX36=AX$5,4,0),IF(AX36&amp;AY36=AX$5&amp;AY$5,1,0),
IF(AND(AX36=AX$5,AY$6&gt;=$D$115),1,0),
IF(AND(AY36=AX$5,AY$6&gt;=$D$115),1,0),
IF(AND(AZ36=AX$5,AY$6&gt;=$D$115),1,0),
IF(AX36&amp;BA36=BB$5,1,0),
IF(AY36=AX$5,2,0),
IF(AZ36=AX$5,1,0),
IF(OR(AX36&amp;AY36&amp;AZ36=AX$5&amp;AY$5&amp;AZ$5,AX36&amp;AY36&amp;AZ36=AX$5&amp;AZ$5&amp;AY$5,AX36&amp;AY36&amp;AZ36=AY$5&amp;AX$5&amp;AZ$5,AX36&amp;AY36&amp;AZ36=AY$5&amp;AZ$5&amp;AX$5,AX36&amp;AY36&amp;AZ36=AZ$5&amp;AX$5&amp;AY$5,AX36&amp;AY36&amp;AZ36=AZ$5&amp;AY$5&amp;AX$5),2,0),IF(AND(AX36=AX$5,AY$6&gt;=$D$129),1,0),IF(AND(AY36=AX$5,AY$6&gt;=$D$129),1,0),IF(AND(AZ36=AX$5,AY$6&gt;=$D$129),1,0),IF(AX36&amp;BA36=BA$5,4,0),IF(AND(AX36=AX$5,AY$6&lt;=$D$104),-0.5,0),IF(AND(AY36=AX$5,AY$6&lt;=$D$104),-0.5,0),IF(AND(AZ36=AX$5,AY$6&lt;=$D$104),-0.5,0))</f>
        <v/>
      </c>
      <c r="BC36" s="145" t="n">
        <v>4</v>
      </c>
      <c r="BD36" s="146" t="n">
        <v>2</v>
      </c>
      <c r="BE36" s="146" t="n">
        <v>3</v>
      </c>
      <c r="BF36" s="146" t="n"/>
      <c r="BG36" s="602">
        <f>SUM(IF(BC36=BC$5,4,0),IF(BC36&amp;BD36=BC$5&amp;BD$5,1,0),
IF(AND(BC36=BC$5,BD$6&gt;=$D$115),1,0),
IF(AND(BD36=BC$5,BD$6&gt;=$D$115),1,0),
IF(AND(BE36=BC$5,BD$6&gt;=$D$115),1,0),
IF(BC36&amp;BF36=BG$5,1,0),
IF(BD36=BC$5,2,0),
IF(BE36=BC$5,1,0),
IF(OR(BC36&amp;BD36&amp;BE36=BC$5&amp;BD$5&amp;BE$5,BC36&amp;BD36&amp;BE36=BC$5&amp;BE$5&amp;BD$5,BC36&amp;BD36&amp;BE36=BD$5&amp;BC$5&amp;BE$5,BC36&amp;BD36&amp;BE36=BD$5&amp;BE$5&amp;BC$5,BC36&amp;BD36&amp;BE36=BE$5&amp;BC$5&amp;BD$5,BC36&amp;BD36&amp;BE36=BE$5&amp;BD$5&amp;BC$5),2,0),IF(AND(BC36=BC$5,BD$6&gt;=$D$129),1,0),IF(AND(BD36=BC$5,BD$6&gt;=$D$129),1,0),IF(AND(BE36=BC$5,BD$6&gt;=$D$129),1,0),IF(BC36&amp;BF36=BF$5,4,0),IF(AND(BC36=BC$5,BD$6&lt;=$D$104),-0.5,0),IF(AND(BD36=BC$5,BD$6&lt;=$D$104),-0.5,0),IF(AND(BE36=BC$5,BD$6&lt;=$D$104),-0.5,0))</f>
        <v/>
      </c>
      <c r="BH36" s="145" t="n">
        <v>5</v>
      </c>
      <c r="BI36" s="146" t="n">
        <v>6</v>
      </c>
      <c r="BJ36" s="146" t="n">
        <v>2</v>
      </c>
      <c r="BK36" s="146" t="n"/>
      <c r="BL36" s="602">
        <f>SUM(IF(BH36=BH$5,4,0),IF(BH36&amp;BI36=BH$5&amp;BI$5,1,0),
IF(AND(BH36=BH$5,BI$6&gt;=$D$115),1,0),
IF(AND(BI36=BH$5,BI$6&gt;=$D$115),1,0),
IF(AND(BJ36=BH$5,BI$6&gt;=$D$115),1,0),
IF(BH36&amp;BK36=BL$5,1,0),
IF(BI36=BH$5,2,0),
IF(BJ36=BH$5,1,0),
IF(OR(BH36&amp;BI36&amp;BJ36=BH$5&amp;BI$5&amp;BJ$5,BH36&amp;BI36&amp;BJ36=BH$5&amp;BJ$5&amp;BI$5,BH36&amp;BI36&amp;BJ36=BI$5&amp;BH$5&amp;BJ$5,BH36&amp;BI36&amp;BJ36=BI$5&amp;BJ$5&amp;BH$5,BH36&amp;BI36&amp;BJ36=BJ$5&amp;BH$5&amp;BI$5,BH36&amp;BI36&amp;BJ36=BJ$5&amp;BI$5&amp;BH$5),2,0),IF(AND(BH36=BH$5,BI$6&gt;=$D$129),1,0),IF(AND(BI36=BH$5,BI$6&gt;=$D$129),1,0),IF(AND(BJ36=BH$5,BI$6&gt;=$D$129),1,0),IF(BH36&amp;BK36=BK$5,4,0),IF(AND(BH36=BH$5,BI$6&lt;=$D$104),-0.5,0),IF(AND(BI36=BH$5,BI$6&lt;=$D$104),-0.5,0),IF(AND(BJ36=BH$5,BI$6&lt;=$D$104),-0.5,0))</f>
        <v/>
      </c>
      <c r="BM36" s="145" t="n">
        <v>3</v>
      </c>
      <c r="BN36" s="146" t="n">
        <v>12</v>
      </c>
      <c r="BO36" s="146" t="n">
        <v>1</v>
      </c>
      <c r="BP36" s="146" t="n"/>
      <c r="BQ36" s="602">
        <f>SUM(IF(BM36=BM$5,4,0),IF(BM36&amp;BN36=BM$5&amp;BN$5,1,0),
IF(AND(BM36=BM$5,BN$6&gt;=$D$115),1,0),
IF(AND(BN36=BM$5,BN$6&gt;=$D$115),1,0),
IF(AND(BO36=BM$5,BN$6&gt;=$D$115),1,0),
IF(BM36&amp;BP36=BQ$5,1,0),
IF(BN36=BM$5,2,0),
IF(BO36=BM$5,1,0),
IF(OR(BM36&amp;BN36&amp;BO36=BM$5&amp;BN$5&amp;BO$5,BM36&amp;BN36&amp;BO36=BM$5&amp;BO$5&amp;BN$5,BM36&amp;BN36&amp;BO36=BN$5&amp;BM$5&amp;BO$5,BM36&amp;BN36&amp;BO36=BN$5&amp;BO$5&amp;BM$5,BM36&amp;BN36&amp;BO36=BO$5&amp;BM$5&amp;BN$5,BM36&amp;BN36&amp;BO36=BO$5&amp;BN$5&amp;BM$5),2,0),IF(AND(BM36=BM$5,BN$6&gt;=$D$129),1,0),IF(AND(BN36=BM$5,BN$6&gt;=$D$129),1,0),IF(AND(BO36=BM$5,BN$6&gt;=$D$129),1,0),IF(BM36&amp;BP36=BP$5,4,0),IF(AND(BM36=BM$5,BN$6&lt;=$D$104),-0.5,0),IF(AND(BN36=BM$5,BN$6&lt;=$D$104),-0.5,0),IF(AND(BO36=BM$5,BN$6&lt;=$D$104),-0.5,0))</f>
        <v/>
      </c>
      <c r="BR36" s="145" t="n"/>
      <c r="BS36" s="146" t="n"/>
      <c r="BT36" s="146" t="n"/>
      <c r="BU36" s="146" t="n"/>
      <c r="BV36" s="602">
        <f>SUM(IF(BR36=BR$5,4,0),IF(BR36&amp;BS36=BR$5&amp;BS$5,1,0),
IF(AND(BR36=BR$5,BS$6&gt;=$D$115),1,0),
IF(AND(BS36=BR$5,BS$6&gt;=$D$115),1,0),
IF(AND(BT36=BR$5,BS$6&gt;=$D$115),1,0),
IF(BR36&amp;BU36=BV$5,1,0),
IF(BS36=BR$5,2,0),
IF(BT36=BR$5,1,0),
IF(OR(BR36&amp;BS36&amp;BT36=BR$5&amp;BS$5&amp;BT$5,BR36&amp;BS36&amp;BT36=BR$5&amp;BT$5&amp;BS$5,BR36&amp;BS36&amp;BT36=BS$5&amp;BR$5&amp;BT$5,BR36&amp;BS36&amp;BT36=BS$5&amp;BT$5&amp;BR$5,BR36&amp;BS36&amp;BT36=BT$5&amp;BR$5&amp;BS$5,BR36&amp;BS36&amp;BT36=BT$5&amp;BS$5&amp;BR$5),2,0),IF(AND(BR36=BR$5,BS$6&gt;=$D$129),1,0),IF(AND(BS36=BR$5,BS$6&gt;=$D$129),1,0),IF(AND(BT36=BR$5,BS$6&gt;=$D$129),1,0),IF(BR36&amp;BU36=BU$5,4,0),IF(AND(BR36=BR$5,BS$6&lt;=$D$104),-0.5,0),IF(AND(BS36=BR$5,BS$6&lt;=$D$104),-0.5,0),IF(AND(BT36=BR$5,BS$6&lt;=$D$104),-0.5,0))</f>
        <v/>
      </c>
      <c r="BW36" s="145" t="n"/>
      <c r="BX36" s="146" t="n"/>
      <c r="BY36" s="146" t="n"/>
      <c r="BZ36" s="146" t="n"/>
      <c r="CA36" s="602">
        <f>SUM(IF(BW36=BW$5,4,0),IF(BW36&amp;BX36=BW$5&amp;BX$5,1,0),
IF(AND(BW36=BW$5,BX$6&gt;=$D$115),1,0),
IF(AND(BX36=BW$5,BX$6&gt;=$D$115),1,0),
IF(AND(BY36=BW$5,BX$6&gt;=$D$115),1,0),
IF(BW36&amp;BZ36=CA$5,1,0),
IF(BX36=BW$5,2,0),
IF(BY36=BW$5,1,0),
IF(OR(BW36&amp;BX36&amp;BY36=BW$5&amp;BX$5&amp;BY$5,BW36&amp;BX36&amp;BY36=BW$5&amp;BY$5&amp;BX$5,BW36&amp;BX36&amp;BY36=BX$5&amp;BW$5&amp;BY$5,BW36&amp;BX36&amp;BY36=BX$5&amp;BY$5&amp;BW$5,BW36&amp;BX36&amp;BY36=BY$5&amp;BW$5&amp;BX$5,BW36&amp;BX36&amp;BY36=BY$5&amp;BX$5&amp;BW$5),2,0),IF(AND(BW36=BW$5,BX$6&gt;=$D$129),1,0),IF(AND(BX36=BW$5,BX$6&gt;=$D$129),1,0),IF(AND(BY36=BW$5,BX$6&gt;=$D$129),1,0),IF(BW36&amp;BZ36=BZ$5,4,0),IF(AND(BW36=BW$5,BX$6&lt;=$D$104),-0.5,0),IF(AND(BX36=BW$5,BX$6&lt;=$D$104),-0.5,0),IF(AND(BY36=BW$5,BX$6&lt;=$D$104),-0.5,0))</f>
        <v/>
      </c>
      <c r="CB36" s="145" t="n"/>
      <c r="CC36" s="146" t="n"/>
      <c r="CD36" s="146" t="n"/>
      <c r="CE36" s="146" t="n"/>
      <c r="CF36" s="602">
        <f>SUM(IF(CB36=CB$5,4,0),IF(CB36&amp;CC36=CB$5&amp;CC$5,1,0),
IF(AND(CB36=CB$5,CC$6&gt;=$D$115),1,0),
IF(AND(CC36=CB$5,CC$6&gt;=$D$115),1,0),
IF(AND(CD36=CB$5,CC$6&gt;=$D$115),1,0),
IF(CB36&amp;CE36=CF$5,1,0),
IF(CC36=CB$5,2,0),
IF(CD36=CB$5,1,0),
IF(OR(CB36&amp;CC36&amp;CD36=CB$5&amp;CC$5&amp;CD$5,CB36&amp;CC36&amp;CD36=CB$5&amp;CD$5&amp;CC$5,CB36&amp;CC36&amp;CD36=CC$5&amp;CB$5&amp;CD$5,CB36&amp;CC36&amp;CD36=CC$5&amp;CD$5&amp;CB$5,CB36&amp;CC36&amp;CD36=CD$5&amp;CB$5&amp;CC$5,CB36&amp;CC36&amp;CD36=CD$5&amp;CC$5&amp;CB$5),2,0),IF(AND(CB36=CB$5,CC$6&gt;=$D$129),1,0),IF(AND(CC36=CB$5,CC$6&gt;=$D$129),1,0),IF(AND(CD36=CB$5,CC$6&gt;=$D$129),1,0),IF(CB36&amp;CE36=CE$5,4,0),IF(AND(CB36=CB$5,CC$6&lt;=$D$104),-0.5,0),IF(AND(CC36=CB$5,CC$6&lt;=$D$104),-0.5,0),IF(AND(CD36=CB$5,CC$6&lt;=$D$104),-0.5,0))</f>
        <v/>
      </c>
      <c r="CG36" s="164">
        <f>IF(BASE01[[#This Row],[1]]="",0,$B$4)</f>
        <v/>
      </c>
      <c r="CH36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6" s="166">
        <f>IF(BASE01[[#This Row],[Columna14]]=0,0,(CH36/CG36))</f>
        <v/>
      </c>
      <c r="CJ36" s="165">
        <f>IF(BASE01[[#This Row],[1]]="",0,$B$4)</f>
        <v/>
      </c>
      <c r="CK36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6" s="166">
        <f>IF(BASE01[[#This Row],[Columna14]]=0,0,(CK36/CJ36))</f>
        <v/>
      </c>
      <c r="CM36" s="164">
        <f>IF(BASE01[[#This Row],[1]]="",0,$B$4)</f>
        <v/>
      </c>
      <c r="CN36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6" s="166">
        <f>IF(BASE01[[#This Row],[Columna14]]=0,0,(CN36/CM36))</f>
        <v/>
      </c>
      <c r="CP36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6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Row],[Columna25]],$AX$5,BA36,"SF")+COUNTIFS(BASE01[[#This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6" s="166">
        <f>IF(BASE01[[#This Row],[Columna14]]=0,0,(CQ36/CP36))</f>
        <v/>
      </c>
      <c r="CS36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6" s="95" t="n"/>
      <c r="CU36" s="604">
        <f>SUM(CS36,CT36)</f>
        <v/>
      </c>
      <c r="CV36" s="96">
        <f>IF(BASE01[[#This Row],[TIPO]]="PREMIO",$O$3,"0,00")</f>
        <v/>
      </c>
      <c r="CW36" s="576" t="n"/>
      <c r="CY36" s="606">
        <f>IF(CZ36="","",$CZ$25)</f>
        <v/>
      </c>
      <c r="CZ36" s="392" t="n"/>
      <c r="DA36" s="392">
        <f t="array" ref="DA36">IF(CZ36="", "", IF((INDEX(E$8:CE$57, MATCH(CZ36, C$8:C$57, 0), ($CZ$25-1)*5 + 1) &amp; "") = (INDEX(E$5:CE$5, 1, ($CZ$25-1)*5 + 1) &amp; ""), 1, IF((INDEX(E$8:CE$57, MATCH(CZ36, C$8:C$57, 0), ($CZ$25-1)*5 + 2) &amp; "") = (INDEX(E$5:CE$5, 1, ($CZ$25-1)*5 + 1) &amp; ""), 2, IF((INDEX(E$8:CE$57, MATCH(CZ36, C$8:C$57, 0), ($CZ$25-1)*5 + 3) &amp; "") = (INDEX(E$5:CE$5, 1, ($CZ$25-1)*5 + 1) &amp; ""), 3, ""))))</f>
        <v/>
      </c>
      <c r="DB36" s="605">
        <f>BASE01[[#This Row],[COD]]</f>
        <v/>
      </c>
      <c r="DC36" s="395">
        <f t="array" ref="DC36">IFERROR(IF(AND(INDEX($E$8:$CE$57, MATCH($C36, $C$8:$C$57, 0), (COLUMNS($DC36:DC36)-1)*5 + 1) = INDEX($E$5:$CE$5, 1, (COLUMNS($DC36:DC36)-1)*5 + 1), INDEX($E$8:$CE$57, MATCH($C36, $C$8:$C$57, 0), (COLUMNS($DC36:DC36)-1)*5 + 4) = "F"), INDEX($CZ$8:$CZ$23, COLUMNS($DC36:DC36)), "0"), "")</f>
        <v/>
      </c>
      <c r="DD36" s="395">
        <f t="array" ref="DD36">IFERROR(IF(AND(INDEX($E$8:$CE$57, MATCH($C36, $C$8:$C$57, 0), (COLUMNS($DC36:DD36)-1)*5 + 1) = INDEX($E$5:$CE$5, 1, (COLUMNS($DC36:DD36)-1)*5 + 1), INDEX($E$8:$CE$57, MATCH($C36, $C$8:$C$57, 0), (COLUMNS($DC36:DD36)-1)*5 + 4) = "F"), INDEX($CZ$8:$CZ$23, COLUMNS($DC36:DD36)), "0"), "")</f>
        <v/>
      </c>
      <c r="DE36" s="395">
        <f t="array" ref="DE36">IFERROR(IF(AND(INDEX($E$8:$CE$57, MATCH($C36, $C$8:$C$57, 0), (COLUMNS($DC36:DE36)-1)*5 + 1) = INDEX($E$5:$CE$5, 1, (COLUMNS($DC36:DE36)-1)*5 + 1), INDEX($E$8:$CE$57, MATCH($C36, $C$8:$C$57, 0), (COLUMNS($DC36:DE36)-1)*5 + 4) = "F"), INDEX($CZ$8:$CZ$23, COLUMNS($DC36:DE36)), "0"), "")</f>
        <v/>
      </c>
      <c r="DF36" s="395">
        <f t="array" ref="DF36">IFERROR(IF(AND(INDEX($E$8:$CE$57, MATCH($C36, $C$8:$C$57, 0), (COLUMNS($DC36:DF36)-1)*5 + 1) = INDEX($E$5:$CE$5, 1, (COLUMNS($DC36:DF36)-1)*5 + 1), INDEX($E$8:$CE$57, MATCH($C36, $C$8:$C$57, 0), (COLUMNS($DC36:DF36)-1)*5 + 4) = "F"), INDEX($CZ$8:$CZ$23, COLUMNS($DC36:DF36)), "0"), "")</f>
        <v/>
      </c>
      <c r="DG36" s="395">
        <f t="array" ref="DG36">IFERROR(IF(AND(INDEX($E$8:$CE$57, MATCH($C36, $C$8:$C$57, 0), (COLUMNS($DC36:DG36)-1)*5 + 1) = INDEX($E$5:$CE$5, 1, (COLUMNS($DC36:DG36)-1)*5 + 1), INDEX($E$8:$CE$57, MATCH($C36, $C$8:$C$57, 0), (COLUMNS($DC36:DG36)-1)*5 + 4) = "F"), INDEX($CZ$8:$CZ$23, COLUMNS($DC36:DG36)), "0"), "")</f>
        <v/>
      </c>
      <c r="DH36" s="395">
        <f t="array" ref="DH36">IFERROR(IF(AND(INDEX($E$8:$CE$57, MATCH($C36, $C$8:$C$57, 0), (COLUMNS($DC36:DH36)-1)*5 + 1) = INDEX($E$5:$CE$5, 1, (COLUMNS($DC36:DH36)-1)*5 + 1), INDEX($E$8:$CE$57, MATCH($C36, $C$8:$C$57, 0), (COLUMNS($DC36:DH36)-1)*5 + 4) = "F"), INDEX($CZ$8:$CZ$23, COLUMNS($DC36:DH36)), "0"), "")</f>
        <v/>
      </c>
      <c r="DI36" s="395">
        <f t="array" ref="DI36">IFERROR(IF(AND(INDEX($E$8:$CE$57, MATCH($C36, $C$8:$C$57, 0), (COLUMNS($DC36:DI36)-1)*5 + 1) = INDEX($E$5:$CE$5, 1, (COLUMNS($DC36:DI36)-1)*5 + 1), INDEX($E$8:$CE$57, MATCH($C36, $C$8:$C$57, 0), (COLUMNS($DC36:DI36)-1)*5 + 4) = "F"), INDEX($CZ$8:$CZ$23, COLUMNS($DC36:DI36)), "0"), "")</f>
        <v/>
      </c>
      <c r="DJ36" s="395">
        <f t="array" ref="DJ36">IFERROR(IF(AND(INDEX($E$8:$CE$57, MATCH($C36, $C$8:$C$57, 0), (COLUMNS($DC36:DJ36)-1)*5 + 1) = INDEX($E$5:$CE$5, 1, (COLUMNS($DC36:DJ36)-1)*5 + 1), INDEX($E$8:$CE$57, MATCH($C36, $C$8:$C$57, 0), (COLUMNS($DC36:DJ36)-1)*5 + 4) = "F"), INDEX($CZ$8:$CZ$23, COLUMNS($DC36:DJ36)), "0"), "")</f>
        <v/>
      </c>
      <c r="DK36" s="395">
        <f t="array" ref="DK36">IFERROR(IF(AND(INDEX($E$8:$CE$57, MATCH($C36, $C$8:$C$57, 0), (COLUMNS($DC36:DK36)-1)*5 + 1) = INDEX($E$5:$CE$5, 1, (COLUMNS($DC36:DK36)-1)*5 + 1), INDEX($E$8:$CE$57, MATCH($C36, $C$8:$C$57, 0), (COLUMNS($DC36:DK36)-1)*5 + 4) = "F"), INDEX($CZ$8:$CZ$23, COLUMNS($DC36:DK36)), "0"), "")</f>
        <v/>
      </c>
      <c r="DL36" s="395">
        <f t="array" ref="DL36">IFERROR(IF(AND(INDEX($E$8:$CE$57, MATCH($C36, $C$8:$C$57, 0), (COLUMNS($DC36:DL36)-1)*5 + 1) = INDEX($E$5:$CE$5, 1, (COLUMNS($DC36:DL36)-1)*5 + 1), INDEX($E$8:$CE$57, MATCH($C36, $C$8:$C$57, 0), (COLUMNS($DC36:DL36)-1)*5 + 4) = "F"), INDEX($CZ$8:$CZ$23, COLUMNS($DC36:DL36)), "0"), "")</f>
        <v/>
      </c>
      <c r="DM36" s="395">
        <f t="array" ref="DM36">IFERROR(IF(AND(INDEX($E$8:$CE$57, MATCH($C36, $C$8:$C$57, 0), (COLUMNS($DC36:DM36)-1)*5 + 1) = INDEX($E$5:$CE$5, 1, (COLUMNS($DC36:DM36)-1)*5 + 1), INDEX($E$8:$CE$57, MATCH($C36, $C$8:$C$57, 0), (COLUMNS($DC36:DM36)-1)*5 + 4) = "F"), INDEX($CZ$8:$CZ$23, COLUMNS($DC36:DM36)), "0"), "")</f>
        <v/>
      </c>
      <c r="DN36" s="395">
        <f t="array" ref="DN36">IFERROR(IF(AND(INDEX($E$8:$CE$57, MATCH($C36, $C$8:$C$57, 0), (COLUMNS($DC36:DN36)-1)*5 + 1) = INDEX($E$5:$CE$5, 1, (COLUMNS($DC36:DN36)-1)*5 + 1), INDEX($E$8:$CE$57, MATCH($C36, $C$8:$C$57, 0), (COLUMNS($DC36:DN36)-1)*5 + 4) = "F"), INDEX($CZ$8:$CZ$23, COLUMNS($DC36:DN36)), "0"), "")</f>
        <v/>
      </c>
      <c r="DO36" s="395">
        <f t="array" ref="DO36">IFERROR(IF(AND(INDEX($E$8:$CE$57, MATCH($C36, $C$8:$C$57, 0), (COLUMNS($DC36:DO36)-1)*5 + 1) = INDEX($E$5:$CE$5, 1, (COLUMNS($DC36:DO36)-1)*5 + 1), INDEX($E$8:$CE$57, MATCH($C36, $C$8:$C$57, 0), (COLUMNS($DC36:DO36)-1)*5 + 4) = "F"), INDEX($CZ$8:$CZ$23, COLUMNS($DC36:DO36)), "0"), "")</f>
        <v/>
      </c>
      <c r="DP36" s="395">
        <f t="array" ref="DP36">IFERROR(IF(AND(INDEX($E$8:$CE$57, MATCH($C36, $C$8:$C$57, 0), (COLUMNS($DC36:DP36)-1)*5 + 1) = INDEX($E$5:$CE$5, 1, (COLUMNS($DC36:DP36)-1)*5 + 1), INDEX($E$8:$CE$57, MATCH($C36, $C$8:$C$57, 0), (COLUMNS($DC36:DP36)-1)*5 + 4) = "F"), INDEX($CZ$8:$CZ$23, COLUMNS($DC36:DP36)), "0"), "")</f>
        <v/>
      </c>
      <c r="DQ36" s="395">
        <f t="array" ref="DQ36">IFERROR(IF(AND(INDEX($E$8:$CE$57, MATCH($C36, $C$8:$C$57, 0), (COLUMNS($DC36:DQ36)-1)*5 + 1) = INDEX($E$5:$CE$5, 1, (COLUMNS($DC36:DQ36)-1)*5 + 1), INDEX($E$8:$CE$57, MATCH($C36, $C$8:$C$57, 0), (COLUMNS($DC36:DQ36)-1)*5 + 4) = "F"), INDEX($CZ$8:$CZ$23, COLUMNS($DC36:DQ36)), "0"), "")</f>
        <v/>
      </c>
      <c r="DR36" s="395">
        <f t="array" ref="DR36">IFERROR(IF(AND(INDEX($E$8:$CE$57, MATCH($C36, $C$8:$C$57, 0), (COLUMNS($DC36:DR36)-1)*5 + 1) = INDEX($E$5:$CE$5, 1, (COLUMNS($DC36:DR36)-1)*5 + 1), INDEX($E$8:$CE$57, MATCH($C36, $C$8:$C$57, 0), (COLUMNS($DC36:DR36)-1)*5 + 4) = "F"), INDEX($CZ$8:$CZ$23, COLUMNS($DC36:DR36)), "0"), "")</f>
        <v/>
      </c>
      <c r="DT36" s="605">
        <f>BASE01[[#This Row],[COD]]</f>
        <v/>
      </c>
      <c r="DU36" s="395">
        <f t="array" ref="DU36">IFERROR(IF(AND(INDEX($E$8:$CE$57, MATCH($C36, $C$8:$C$57, 0), (COLUMNS($DU36:DU36)-1)*5 + 1) = INDEX($E$5:$CE$5, 1, (COLUMNS($DU36:DU36)-1)*5 + 1), INDEX($E$8:$CE$57, MATCH($C36, $C$8:$C$57, 0), (COLUMNS($DU36:DU36)-1)*5 + 4) = "SF"), INDEX($CZ$8:$CZ$23, COLUMNS($DU36:DU36)), "0"), "")</f>
        <v/>
      </c>
      <c r="DV36" s="395">
        <f t="array" ref="DV36">IFERROR(IF(AND(INDEX($E$8:$CE$57, MATCH($C36, $C$8:$C$57, 0), (COLUMNS($DU36:DV36)-1)*5 + 1) = INDEX($E$5:$CE$5, 1, (COLUMNS($DU36:DV36)-1)*5 + 1), INDEX($E$8:$CE$57, MATCH($C36, $C$8:$C$57, 0), (COLUMNS($DU36:DV36)-1)*5 + 4) = "SF"), INDEX($CZ$8:$CZ$23, COLUMNS($DU36:DV36)), "0"), "")</f>
        <v/>
      </c>
      <c r="DW36" s="395">
        <f t="array" ref="DW36">IFERROR(IF(AND(INDEX($E$8:$CE$57, MATCH($C36, $C$8:$C$57, 0), (COLUMNS($DU36:DW36)-1)*5 + 1) = INDEX($E$5:$CE$5, 1, (COLUMNS($DU36:DW36)-1)*5 + 1), INDEX($E$8:$CE$57, MATCH($C36, $C$8:$C$57, 0), (COLUMNS($DU36:DW36)-1)*5 + 4) = "SF"), INDEX($CZ$8:$CZ$23, COLUMNS($DU36:DW36)), "0"), "")</f>
        <v/>
      </c>
      <c r="DX36" s="395">
        <f t="array" ref="DX36">IFERROR(IF(AND(INDEX($E$8:$CE$57, MATCH($C36, $C$8:$C$57, 0), (COLUMNS($DU36:DX36)-1)*5 + 1) = INDEX($E$5:$CE$5, 1, (COLUMNS($DU36:DX36)-1)*5 + 1), INDEX($E$8:$CE$57, MATCH($C36, $C$8:$C$57, 0), (COLUMNS($DU36:DX36)-1)*5 + 4) = "SF"), INDEX($CZ$8:$CZ$23, COLUMNS($DU36:DX36)), "0"), "")</f>
        <v/>
      </c>
      <c r="DY36" s="395">
        <f t="array" ref="DY36">IFERROR(IF(AND(INDEX($E$8:$CE$57, MATCH($C36, $C$8:$C$57, 0), (COLUMNS($DU36:DY36)-1)*5 + 1) = INDEX($E$5:$CE$5, 1, (COLUMNS($DU36:DY36)-1)*5 + 1), INDEX($E$8:$CE$57, MATCH($C36, $C$8:$C$57, 0), (COLUMNS($DU36:DY36)-1)*5 + 4) = "SF"), INDEX($CZ$8:$CZ$23, COLUMNS($DU36:DY36)), "0"), "")</f>
        <v/>
      </c>
      <c r="DZ36" s="395">
        <f t="array" ref="DZ36">IFERROR(IF(AND(INDEX($E$8:$CE$57, MATCH($C36, $C$8:$C$57, 0), (COLUMNS($DU36:DZ36)-1)*5 + 1) = INDEX($E$5:$CE$5, 1, (COLUMNS($DU36:DZ36)-1)*5 + 1), INDEX($E$8:$CE$57, MATCH($C36, $C$8:$C$57, 0), (COLUMNS($DU36:DZ36)-1)*5 + 4) = "SF"), INDEX($CZ$8:$CZ$23, COLUMNS($DU36:DZ36)), "0"), "")</f>
        <v/>
      </c>
      <c r="EA36" s="395">
        <f t="array" ref="EA36">IFERROR(IF(AND(INDEX($E$8:$CE$57, MATCH($C36, $C$8:$C$57, 0), (COLUMNS($DU36:EA36)-1)*5 + 1) = INDEX($E$5:$CE$5, 1, (COLUMNS($DU36:EA36)-1)*5 + 1), INDEX($E$8:$CE$57, MATCH($C36, $C$8:$C$57, 0), (COLUMNS($DU36:EA36)-1)*5 + 4) = "SF"), INDEX($CZ$8:$CZ$23, COLUMNS($DU36:EA36)), "0"), "")</f>
        <v/>
      </c>
      <c r="EB36" s="395">
        <f t="array" ref="EB36">IFERROR(IF(AND(INDEX($E$8:$CE$57, MATCH($C36, $C$8:$C$57, 0), (COLUMNS($DU36:EB36)-1)*5 + 1) = INDEX($E$5:$CE$5, 1, (COLUMNS($DU36:EB36)-1)*5 + 1), INDEX($E$8:$CE$57, MATCH($C36, $C$8:$C$57, 0), (COLUMNS($DU36:EB36)-1)*5 + 4) = "SF"), INDEX($CZ$8:$CZ$23, COLUMNS($DU36:EB36)), "0"), "")</f>
        <v/>
      </c>
      <c r="EC36" s="395">
        <f t="array" ref="EC36">IFERROR(IF(AND(INDEX($E$8:$CE$57, MATCH($C36, $C$8:$C$57, 0), (COLUMNS($DU36:EC36)-1)*5 + 1) = INDEX($E$5:$CE$5, 1, (COLUMNS($DU36:EC36)-1)*5 + 1), INDEX($E$8:$CE$57, MATCH($C36, $C$8:$C$57, 0), (COLUMNS($DU36:EC36)-1)*5 + 4) = "SF"), INDEX($CZ$8:$CZ$23, COLUMNS($DU36:EC36)), "0"), "")</f>
        <v/>
      </c>
      <c r="ED36" s="395">
        <f t="array" ref="ED36">IFERROR(IF(AND(INDEX($E$8:$CE$57, MATCH($C36, $C$8:$C$57, 0), (COLUMNS($DU36:ED36)-1)*5 + 1) = INDEX($E$5:$CE$5, 1, (COLUMNS($DU36:ED36)-1)*5 + 1), INDEX($E$8:$CE$57, MATCH($C36, $C$8:$C$57, 0), (COLUMNS($DU36:ED36)-1)*5 + 4) = "SF"), INDEX($CZ$8:$CZ$23, COLUMNS($DU36:ED36)), "0"), "")</f>
        <v/>
      </c>
      <c r="EE36" s="395">
        <f t="array" ref="EE36">IFERROR(IF(AND(INDEX($E$8:$CE$57, MATCH($C36, $C$8:$C$57, 0), (COLUMNS($DU36:EE36)-1)*5 + 1) = INDEX($E$5:$CE$5, 1, (COLUMNS($DU36:EE36)-1)*5 + 1), INDEX($E$8:$CE$57, MATCH($C36, $C$8:$C$57, 0), (COLUMNS($DU36:EE36)-1)*5 + 4) = "SF"), INDEX($CZ$8:$CZ$23, COLUMNS($DU36:EE36)), "0"), "")</f>
        <v/>
      </c>
      <c r="EF36" s="395">
        <f t="array" ref="EF36">IFERROR(IF(AND(INDEX($E$8:$CE$57, MATCH($C36, $C$8:$C$57, 0), (COLUMNS($DU36:EF36)-1)*5 + 1) = INDEX($E$5:$CE$5, 1, (COLUMNS($DU36:EF36)-1)*5 + 1), INDEX($E$8:$CE$57, MATCH($C36, $C$8:$C$57, 0), (COLUMNS($DU36:EF36)-1)*5 + 4) = "SF"), INDEX($CZ$8:$CZ$23, COLUMNS($DU36:EF36)), "0"), "")</f>
        <v/>
      </c>
      <c r="EG36" s="395">
        <f t="array" ref="EG36">IFERROR(IF(AND(INDEX($E$8:$CE$57, MATCH($C36, $C$8:$C$57, 0), (COLUMNS($DU36:EG36)-1)*5 + 1) = INDEX($E$5:$CE$5, 1, (COLUMNS($DU36:EG36)-1)*5 + 1), INDEX($E$8:$CE$57, MATCH($C36, $C$8:$C$57, 0), (COLUMNS($DU36:EG36)-1)*5 + 4) = "SF"), INDEX($CZ$8:$CZ$23, COLUMNS($DU36:EG36)), "0"), "")</f>
        <v/>
      </c>
      <c r="EH36" s="395">
        <f t="array" ref="EH36">IFERROR(IF(AND(INDEX($E$8:$CE$57, MATCH($C36, $C$8:$C$57, 0), (COLUMNS($DU36:EH36)-1)*5 + 1) = INDEX($E$5:$CE$5, 1, (COLUMNS($DU36:EH36)-1)*5 + 1), INDEX($E$8:$CE$57, MATCH($C36, $C$8:$C$57, 0), (COLUMNS($DU36:EH36)-1)*5 + 4) = "SF"), INDEX($CZ$8:$CZ$23, COLUMNS($DU36:EH36)), "0"), "")</f>
        <v/>
      </c>
      <c r="EI36" s="395">
        <f t="array" ref="EI36">IFERROR(IF(AND(INDEX($E$8:$CE$57, MATCH($C36, $C$8:$C$57, 0), (COLUMNS($DU36:EI36)-1)*5 + 1) = INDEX($E$5:$CE$5, 1, (COLUMNS($DU36:EI36)-1)*5 + 1), INDEX($E$8:$CE$57, MATCH($C36, $C$8:$C$57, 0), (COLUMNS($DU36:EI36)-1)*5 + 4) = "SF"), INDEX($CZ$8:$CZ$23, COLUMNS($DU36:EI36)), "0"), "")</f>
        <v/>
      </c>
      <c r="EJ36" s="395">
        <f t="array" ref="EJ36">IFERROR(IF(AND(INDEX($E$8:$CE$57, MATCH($C36, $C$8:$C$57, 0), (COLUMNS($DU36:EJ36)-1)*5 + 1) = INDEX($E$5:$CE$5, 1, (COLUMNS($DU36:EJ36)-1)*5 + 1), INDEX($E$8:$CE$57, MATCH($C36, $C$8:$C$57, 0), (COLUMNS($DU36:EJ36)-1)*5 + 4) = "SF"), INDEX($CZ$8:$CZ$23, COLUMNS($DU36:EJ36)), "0"), "")</f>
        <v/>
      </c>
    </row>
    <row r="37" ht="19.5" customHeight="1" s="568">
      <c r="A37" s="576" t="n"/>
      <c r="B37" s="92">
        <f>IF(BASE01[[#This Row],[COD]]&lt;&gt;"",B36+1,"")</f>
        <v/>
      </c>
      <c r="C37" s="601" t="inlineStr">
        <is>
          <t>COD 30</t>
        </is>
      </c>
      <c r="D37" s="93">
        <f t="array" ref="D37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7" s="145" t="n">
        <v>1</v>
      </c>
      <c r="F37" s="152" t="n">
        <v>8</v>
      </c>
      <c r="G37" s="152" t="n">
        <v>2</v>
      </c>
      <c r="H37" s="152" t="n"/>
      <c r="I37" s="602">
        <f>SUM(IF(E37=E$5,4,0),IF(E37&amp;F37=E$5&amp;F$5,1,0),
IF(AND(E37=E$5,F$6&gt;=$D$115),1,0),
IF(AND(F37=E$5,F$6&gt;=$D$115),1,0),
IF(AND(G37=E$5,F$6&gt;=$D$115),1,0),
IF(E37&amp;H37=I$5,1,0),
IF(F37=E$5,2,0),
IF(G37=E$5,1,0),
IF(OR(E37&amp;F37&amp;G37=E$5&amp;F$5&amp;G$5,E37&amp;F37&amp;G37=E$5&amp;G$5&amp;F$5,E37&amp;F37&amp;G37=F$5&amp;E$5&amp;G$5,E37&amp;F37&amp;G37=F$5&amp;G$5&amp;E$5,E37&amp;F37&amp;G37=G$5&amp;E$5&amp;F$5,E37&amp;F37&amp;G37=G$5&amp;F$5&amp;E$5),2,0),IF(AND(E37=E$5,F$6&gt;=$D$129),1,0),IF(AND(F37=E$5,F$6&gt;=$D$129),1,0),IF(AND(G37=E$5,F$6&gt;=$D$129),1,0),IF(E37&amp;H37=H$5,4,0),IF(AND(E37=E$5,F$6&lt;=$D$104),-0.5,0),IF(AND(F37=E$5,F$6&lt;=$D$104),-0.5,0),IF(AND(G37=E$5,F$6&lt;=$D$104),-0.5,0))</f>
        <v/>
      </c>
      <c r="J37" s="145" t="n">
        <v>6</v>
      </c>
      <c r="K37" s="152" t="n">
        <v>3</v>
      </c>
      <c r="L37" s="152" t="n">
        <v>1</v>
      </c>
      <c r="M37" s="152" t="n"/>
      <c r="N37" s="602">
        <f>SUM(IF(J37=J$5,4,0),IF(J37&amp;K37=J$5&amp;K$5,1,0),
IF(AND(J37=J$5,K$6&gt;=$D$115),1,0),
IF(AND(K37=J$5,K$6&gt;=$D$115),1,0),
IF(AND(L37=J$5,K$6&gt;=$D$115),1,0),
IF(J37&amp;M37=N$5,1,0),
IF(K37=J$5,2,0),
IF(L37=J$5,1,0),
IF(OR(J37&amp;K37&amp;L37=J$5&amp;K$5&amp;L$5,J37&amp;K37&amp;L37=J$5&amp;L$5&amp;K$5,J37&amp;K37&amp;L37=K$5&amp;J$5&amp;L$5,J37&amp;K37&amp;L37=K$5&amp;L$5&amp;J$5,J37&amp;K37&amp;L37=L$5&amp;J$5&amp;K$5,J37&amp;K37&amp;L37=L$5&amp;K$5&amp;J$5),2,0),IF(AND(J37=J$5,K$6&gt;=$D$129),1,0),IF(AND(K37=J$5,K$6&gt;=$D$129),1,0),IF(AND(L37=J$5,K$6&gt;=$D$129),1,0),IF(J37&amp;M37=M$5,4,0),IF(AND(J37=J$5,K$6&lt;=$D$104),-0.5,0),IF(AND(K37=J$5,K$6&lt;=$D$104),-0.5,0),IF(AND(L37=J$5,K$6&lt;=$D$104),-0.5,0))</f>
        <v/>
      </c>
      <c r="O37" s="145" t="n">
        <v>7</v>
      </c>
      <c r="P37" s="152" t="n">
        <v>2</v>
      </c>
      <c r="Q37" s="152" t="n">
        <v>3</v>
      </c>
      <c r="R37" s="152" t="n"/>
      <c r="S37" s="602">
        <f>SUM(IF(O37=O$5,4,0),IF(O37&amp;P37=O$5&amp;P$5,1,0),
IF(AND(O37=O$5,P$6&gt;=$D$115),1,0),
IF(AND(P37=O$5,P$6&gt;=$D$115),1,0),
IF(AND(Q37=O$5,P$6&gt;=$D$115),1,0),
IF(O37&amp;R37=S$5,1,0),
IF(P37=O$5,2,0),
IF(Q37=O$5,1,0),
IF(OR(O37&amp;P37&amp;Q37=O$5&amp;P$5&amp;Q$5,O37&amp;P37&amp;Q37=O$5&amp;Q$5&amp;P$5,O37&amp;P37&amp;Q37=P$5&amp;O$5&amp;Q$5,O37&amp;P37&amp;Q37=P$5&amp;Q$5&amp;O$5,O37&amp;P37&amp;Q37=Q$5&amp;O$5&amp;P$5,O37&amp;P37&amp;Q37=Q$5&amp;P$5&amp;O$5),2,0),IF(AND(O37=O$5,P$6&gt;=$D$129),1,0),IF(AND(P37=O$5,P$6&gt;=$D$129),1,0),IF(AND(Q37=O$5,P$6&gt;=$D$129),1,0),IF(O37&amp;R37=R$5,4,0),IF(AND(O37=O$5,P$6&lt;=$D$104),-0.5,0),IF(AND(P37=O$5,P$6&lt;=$D$104),-0.5,0),IF(AND(Q37=O$5,P$6&lt;=$D$104),-0.5,0))</f>
        <v/>
      </c>
      <c r="T37" s="145" t="n">
        <v>6</v>
      </c>
      <c r="U37" s="152" t="n">
        <v>4</v>
      </c>
      <c r="V37" s="152" t="n">
        <v>2</v>
      </c>
      <c r="W37" s="152" t="inlineStr">
        <is>
          <t>F</t>
        </is>
      </c>
      <c r="X37" s="602">
        <f>SUM(IF(T37=T$5,4,0),IF(T37&amp;U37=T$5&amp;U$5,1,0),
IF(AND(T37=T$5,U$6&gt;=$D$115),1,0),
IF(AND(U37=T$5,U$6&gt;=$D$115),1,0),
IF(AND(V37=T$5,U$6&gt;=$D$115),1,0),
IF(T37&amp;W37=X$5,1,0),
IF(U37=T$5,2,0),
IF(V37=T$5,1,0),
IF(OR(T37&amp;U37&amp;V37=T$5&amp;U$5&amp;V$5,T37&amp;U37&amp;V37=T$5&amp;V$5&amp;U$5,T37&amp;U37&amp;V37=U$5&amp;T$5&amp;V$5,T37&amp;U37&amp;V37=U$5&amp;V$5&amp;T$5,T37&amp;U37&amp;V37=V$5&amp;T$5&amp;U$5,T37&amp;U37&amp;V37=V$5&amp;U$5&amp;T$5),2,0),IF(AND(T37=T$5,U$6&gt;=$D$129),1,0),IF(AND(U37=T$5,U$6&gt;=$D$129),1,0),IF(AND(V37=T$5,U$6&gt;=$D$129),1,0),IF(T37&amp;W37=W$5,4,0),IF(AND(T37=T$5,U$6&lt;=$D$104),-0.5,0),IF(AND(U37=T$5,U$6&lt;=$D$104),-0.5,0),IF(AND(V37=T$5,U$6&lt;=$D$104),-0.5,0))</f>
        <v/>
      </c>
      <c r="Y37" s="145" t="n">
        <v>5</v>
      </c>
      <c r="Z37" s="152" t="n">
        <v>8</v>
      </c>
      <c r="AA37" s="152" t="n">
        <v>3</v>
      </c>
      <c r="AB37" s="152" t="n"/>
      <c r="AC37" s="602">
        <f>SUM(IF(Y37=Y$5,4,0),IF(Y37&amp;Z37=Y$5&amp;Z$5,1,0),
IF(AND(Y37=Y$5,Z$6&gt;=$D$115),1,0),
IF(AND(Z37=Y$5,Z$6&gt;=$D$115),1,0),
IF(AND(AA37=Y$5,Z$6&gt;=$D$115),1,0),
IF(Y37&amp;AB37=AC$5,1,0),
IF(Z37=Y$5,2,0),
IF(AA37=Y$5,1,0),
IF(OR(Y37&amp;Z37&amp;AA37=Y$5&amp;Z$5&amp;AA$5,Y37&amp;Z37&amp;AA37=Y$5&amp;AA$5&amp;Z$5,Y37&amp;Z37&amp;AA37=Z$5&amp;Y$5&amp;AA$5,Y37&amp;Z37&amp;AA37=Z$5&amp;AA$5&amp;Y$5,Y37&amp;Z37&amp;AA37=AA$5&amp;Y$5&amp;Z$5,Y37&amp;Z37&amp;AA37=AA$5&amp;Z$5&amp;Y$5),2,0),IF(AND(Y37=Y$5,Z$6&gt;=$D$129),1,0),IF(AND(Z37=Y$5,Z$6&gt;=$D$129),1,0),IF(AND(AA37=Y$5,Z$6&gt;=$D$129),1,0),IF(Y37&amp;AB37=AB$5,4,0),IF(AND(Y37=Y$5,Z$6&lt;=$D$104),-0.5,0),IF(AND(Z37=Y$5,Z$6&lt;=$D$104),-0.5,0),IF(AND(AA37=Y$5,Z$6&lt;=$D$104),-0.5,0))</f>
        <v/>
      </c>
      <c r="AD37" s="145" t="n">
        <v>5</v>
      </c>
      <c r="AE37" s="152" t="n"/>
      <c r="AF37" s="152" t="n"/>
      <c r="AG37" s="152" t="inlineStr">
        <is>
          <t>SF</t>
        </is>
      </c>
      <c r="AH37" s="602">
        <f>SUM(IF(AD37=AD$5,4,0),IF(AD37&amp;AE37=AD$5&amp;AE$5,1,0),
IF(AND(AD37=AD$5,AE$6&gt;=$D$115),1,0),
IF(AND(AE37=AD$5,AE$6&gt;=$D$115),1,0),
IF(AND(AF37=AD$5,AE$6&gt;=$D$115),1,0),
IF(AD37&amp;AG37=AH$5,1,0),
IF(AE37=AD$5,2,0),
IF(AF37=AD$5,1,0),
IF(OR(AD37&amp;AE37&amp;AF37=AD$5&amp;AE$5&amp;AF$5,AD37&amp;AE37&amp;AF37=AD$5&amp;AF$5&amp;AE$5,AD37&amp;AE37&amp;AF37=AE$5&amp;AD$5&amp;AF$5,AD37&amp;AE37&amp;AF37=AE$5&amp;AF$5&amp;AD$5,AD37&amp;AE37&amp;AF37=AF$5&amp;AD$5&amp;AE$5,AD37&amp;AE37&amp;AF37=AF$5&amp;AE$5&amp;AD$5),2,0),IF(AND(AD37=AD$5,AE$6&gt;=$D$129),1,0),IF(AND(AE37=AD$5,AE$6&gt;=$D$129),1,0),IF(AND(AF37=AD$5,AE$6&gt;=$D$129),1,0),IF(AD37&amp;AG37=AG$5,4,0),IF(AND(AD37=AD$5,AE$6&lt;=$D$104),-0.5,0),IF(AND(AE37=AD$5,AE$6&lt;=$D$104),-0.5,0),IF(AND(AF37=AD$5,AE$6&lt;=$D$104),-0.5,0))</f>
        <v/>
      </c>
      <c r="AI37" s="145" t="n">
        <v>3</v>
      </c>
      <c r="AJ37" s="152" t="n">
        <v>4</v>
      </c>
      <c r="AK37" s="152" t="n">
        <v>2</v>
      </c>
      <c r="AL37" s="152" t="n"/>
      <c r="AM37" s="602">
        <f>SUM(IF(AI37=AI$5,4,0),IF(AI37&amp;AJ37=AI$5&amp;AJ$5,1,0),
IF(AND(AI37=AI$5,AJ$6&gt;=$D$115),1,0),
IF(AND(AJ37=AI$5,AJ$6&gt;=$D$115),1,0),
IF(AND(AK37=AI$5,AJ$6&gt;=$D$115),1,0),
IF(AI37&amp;AL37=AM$5,1,0),
IF(AJ37=AI$5,2,0),
IF(AK37=AI$5,1,0),
IF(OR(AI37&amp;AJ37&amp;AK37=AI$5&amp;AJ$5&amp;AK$5,AI37&amp;AJ37&amp;AK37=AI$5&amp;AK$5&amp;AJ$5,AI37&amp;AJ37&amp;AK37=AJ$5&amp;AI$5&amp;AK$5,AI37&amp;AJ37&amp;AK37=AJ$5&amp;AK$5&amp;AI$5,AI37&amp;AJ37&amp;AK37=AK$5&amp;AI$5&amp;AJ$5,AI37&amp;AJ37&amp;AK37=AK$5&amp;AJ$5&amp;AI$5),2,0),IF(AND(AI37=AI$5,AJ$6&gt;=$D$129),1,0),IF(AND(AJ37=AI$5,AJ$6&gt;=$D$129),1,0),IF(AND(AK37=AI$5,AJ$6&gt;=$D$129),1,0),IF(AI37&amp;AL37=AL$5,4,0),IF(AND(AI37=AI$5,AJ$6&lt;=$D$104),-0.5,0),IF(AND(AJ37=AI$5,AJ$6&lt;=$D$104),-0.5,0),IF(AND(AK37=AI$5,AJ$6&lt;=$D$104),-0.5,0))</f>
        <v/>
      </c>
      <c r="AN37" s="145" t="n">
        <v>9</v>
      </c>
      <c r="AO37" s="152" t="n">
        <v>8</v>
      </c>
      <c r="AP37" s="152" t="n">
        <v>6</v>
      </c>
      <c r="AQ37" s="152" t="n"/>
      <c r="AR37" s="602">
        <f>SUM(IF(AN37=AN$5,4,0),IF(AN37&amp;AO37=AN$5&amp;AO$5,1,0),
IF(AND(AN37=AN$5,AO$6&gt;=$D$115),1,0),
IF(AND(AO37=AN$5,AO$6&gt;=$D$115),1,0),
IF(AND(AP37=AN$5,AO$6&gt;=$D$115),1,0),
IF(AN37&amp;AQ37=AR$5,1,0),
IF(AO37=AN$5,2,0),
IF(AP37=AN$5,1,0),
IF(OR(AN37&amp;AO37&amp;AP37=AN$5&amp;AO$5&amp;AP$5,AN37&amp;AO37&amp;AP37=AN$5&amp;AP$5&amp;AO$5,AN37&amp;AO37&amp;AP37=AO$5&amp;AN$5&amp;AP$5,AN37&amp;AO37&amp;AP37=AO$5&amp;AP$5&amp;AN$5,AN37&amp;AO37&amp;AP37=AP$5&amp;AN$5&amp;AO$5,AN37&amp;AO37&amp;AP37=AP$5&amp;AO$5&amp;AN$5),2,0),IF(AND(AN37=AN$5,AO$6&gt;=$D$129),1,0),IF(AND(AO37=AN$5,AO$6&gt;=$D$129),1,0),IF(AND(AP37=AN$5,AO$6&gt;=$D$129),1,0),IF(AN37&amp;AQ37=AQ$5,4,0),IF(AND(AN37=AN$5,AO$6&lt;=$D$104),-0.5,0),IF(AND(AO37=AN$5,AO$6&lt;=$D$104),-0.5,0),IF(AND(AP37=AN$5,AO$6&lt;=$D$104),-0.5,0))</f>
        <v/>
      </c>
      <c r="AS37" s="145" t="n">
        <v>5</v>
      </c>
      <c r="AT37" s="152" t="n">
        <v>1</v>
      </c>
      <c r="AU37" s="152" t="n">
        <v>8</v>
      </c>
      <c r="AV37" s="152" t="n"/>
      <c r="AW37" s="602">
        <f>SUM(IF(AS37=AS$5,4,0),IF(AS37&amp;AT37=AS$5&amp;AT$5,1,0),
IF(AND(AS37=AS$5,AT$6&gt;=$D$115),1,0),
IF(AND(AT37=AS$5,AT$6&gt;=$D$115),1,0),
IF(AND(AU37=AS$5,AT$6&gt;=$D$115),1,0),
IF(AS37&amp;AV37=AW$5,1,0),
IF(AT37=AS$5,2,0),
IF(AU37=AS$5,1,0),
IF(OR(AS37&amp;AT37&amp;AU37=AS$5&amp;AT$5&amp;AU$5,AS37&amp;AT37&amp;AU37=AS$5&amp;AU$5&amp;AT$5,AS37&amp;AT37&amp;AU37=AT$5&amp;AS$5&amp;AU$5,AS37&amp;AT37&amp;AU37=AT$5&amp;AU$5&amp;AS$5,AS37&amp;AT37&amp;AU37=AU$5&amp;AS$5&amp;AT$5,AS37&amp;AT37&amp;AU37=AU$5&amp;AT$5&amp;AS$5),2,0),IF(AND(AS37=AS$5,AT$6&gt;=$D$129),1,0),IF(AND(AT37=AS$5,AT$6&gt;=$D$129),1,0),IF(AND(AU37=AS$5,AT$6&gt;=$D$129),1,0),IF(AS37&amp;AV37=AV$5,4,0),IF(AND(AS37=AS$5,AT$6&lt;=$D$104),-0.5,0),IF(AND(AT37=AS$5,AT$6&lt;=$D$104),-0.5,0),IF(AND(AU37=AS$5,AT$6&lt;=$D$104),-0.5,0))</f>
        <v/>
      </c>
      <c r="AX37" s="145" t="n">
        <v>5</v>
      </c>
      <c r="AY37" s="152" t="n">
        <v>9</v>
      </c>
      <c r="AZ37" s="152" t="n">
        <v>1</v>
      </c>
      <c r="BA37" s="152" t="n"/>
      <c r="BB37" s="602">
        <f>SUM(IF(AX37=AX$5,4,0),IF(AX37&amp;AY37=AX$5&amp;AY$5,1,0),
IF(AND(AX37=AX$5,AY$6&gt;=$D$115),1,0),
IF(AND(AY37=AX$5,AY$6&gt;=$D$115),1,0),
IF(AND(AZ37=AX$5,AY$6&gt;=$D$115),1,0),
IF(AX37&amp;BA37=BB$5,1,0),
IF(AY37=AX$5,2,0),
IF(AZ37=AX$5,1,0),
IF(OR(AX37&amp;AY37&amp;AZ37=AX$5&amp;AY$5&amp;AZ$5,AX37&amp;AY37&amp;AZ37=AX$5&amp;AZ$5&amp;AY$5,AX37&amp;AY37&amp;AZ37=AY$5&amp;AX$5&amp;AZ$5,AX37&amp;AY37&amp;AZ37=AY$5&amp;AZ$5&amp;AX$5,AX37&amp;AY37&amp;AZ37=AZ$5&amp;AX$5&amp;AY$5,AX37&amp;AY37&amp;AZ37=AZ$5&amp;AY$5&amp;AX$5),2,0),IF(AND(AX37=AX$5,AY$6&gt;=$D$129),1,0),IF(AND(AY37=AX$5,AY$6&gt;=$D$129),1,0),IF(AND(AZ37=AX$5,AY$6&gt;=$D$129),1,0),IF(AX37&amp;BA37=BA$5,4,0),IF(AND(AX37=AX$5,AY$6&lt;=$D$104),-0.5,0),IF(AND(AY37=AX$5,AY$6&lt;=$D$104),-0.5,0),IF(AND(AZ37=AX$5,AY$6&lt;=$D$104),-0.5,0))</f>
        <v/>
      </c>
      <c r="BC37" s="145" t="n">
        <v>4</v>
      </c>
      <c r="BD37" s="152" t="n">
        <v>2</v>
      </c>
      <c r="BE37" s="152" t="n">
        <v>8</v>
      </c>
      <c r="BF37" s="152" t="inlineStr">
        <is>
          <t>F</t>
        </is>
      </c>
      <c r="BG37" s="602">
        <f>SUM(IF(BC37=BC$5,4,0),IF(BC37&amp;BD37=BC$5&amp;BD$5,1,0),
IF(AND(BC37=BC$5,BD$6&gt;=$D$115),1,0),
IF(AND(BD37=BC$5,BD$6&gt;=$D$115),1,0),
IF(AND(BE37=BC$5,BD$6&gt;=$D$115),1,0),
IF(BC37&amp;BF37=BG$5,1,0),
IF(BD37=BC$5,2,0),
IF(BE37=BC$5,1,0),
IF(OR(BC37&amp;BD37&amp;BE37=BC$5&amp;BD$5&amp;BE$5,BC37&amp;BD37&amp;BE37=BC$5&amp;BE$5&amp;BD$5,BC37&amp;BD37&amp;BE37=BD$5&amp;BC$5&amp;BE$5,BC37&amp;BD37&amp;BE37=BD$5&amp;BE$5&amp;BC$5,BC37&amp;BD37&amp;BE37=BE$5&amp;BC$5&amp;BD$5,BC37&amp;BD37&amp;BE37=BE$5&amp;BD$5&amp;BC$5),2,0),IF(AND(BC37=BC$5,BD$6&gt;=$D$129),1,0),IF(AND(BD37=BC$5,BD$6&gt;=$D$129),1,0),IF(AND(BE37=BC$5,BD$6&gt;=$D$129),1,0),IF(BC37&amp;BF37=BF$5,4,0),IF(AND(BC37=BC$5,BD$6&lt;=$D$104),-0.5,0),IF(AND(BD37=BC$5,BD$6&lt;=$D$104),-0.5,0),IF(AND(BE37=BC$5,BD$6&lt;=$D$104),-0.5,0))</f>
        <v/>
      </c>
      <c r="BH37" s="145" t="n">
        <v>1</v>
      </c>
      <c r="BI37" s="152" t="n">
        <v>5</v>
      </c>
      <c r="BJ37" s="152" t="n">
        <v>3</v>
      </c>
      <c r="BK37" s="152" t="n"/>
      <c r="BL37" s="602">
        <f>SUM(IF(BH37=BH$5,4,0),IF(BH37&amp;BI37=BH$5&amp;BI$5,1,0),
IF(AND(BH37=BH$5,BI$6&gt;=$D$115),1,0),
IF(AND(BI37=BH$5,BI$6&gt;=$D$115),1,0),
IF(AND(BJ37=BH$5,BI$6&gt;=$D$115),1,0),
IF(BH37&amp;BK37=BL$5,1,0),
IF(BI37=BH$5,2,0),
IF(BJ37=BH$5,1,0),
IF(OR(BH37&amp;BI37&amp;BJ37=BH$5&amp;BI$5&amp;BJ$5,BH37&amp;BI37&amp;BJ37=BH$5&amp;BJ$5&amp;BI$5,BH37&amp;BI37&amp;BJ37=BI$5&amp;BH$5&amp;BJ$5,BH37&amp;BI37&amp;BJ37=BI$5&amp;BJ$5&amp;BH$5,BH37&amp;BI37&amp;BJ37=BJ$5&amp;BH$5&amp;BI$5,BH37&amp;BI37&amp;BJ37=BJ$5&amp;BI$5&amp;BH$5),2,0),IF(AND(BH37=BH$5,BI$6&gt;=$D$129),1,0),IF(AND(BI37=BH$5,BI$6&gt;=$D$129),1,0),IF(AND(BJ37=BH$5,BI$6&gt;=$D$129),1,0),IF(BH37&amp;BK37=BK$5,4,0),IF(AND(BH37=BH$5,BI$6&lt;=$D$104),-0.5,0),IF(AND(BI37=BH$5,BI$6&lt;=$D$104),-0.5,0),IF(AND(BJ37=BH$5,BI$6&lt;=$D$104),-0.5,0))</f>
        <v/>
      </c>
      <c r="BM37" s="145" t="n">
        <v>9</v>
      </c>
      <c r="BN37" s="152" t="n">
        <v>10</v>
      </c>
      <c r="BO37" s="152" t="n">
        <v>1</v>
      </c>
      <c r="BP37" s="152" t="n"/>
      <c r="BQ37" s="602">
        <f>SUM(IF(BM37=BM$5,4,0),IF(BM37&amp;BN37=BM$5&amp;BN$5,1,0),
IF(AND(BM37=BM$5,BN$6&gt;=$D$115),1,0),
IF(AND(BN37=BM$5,BN$6&gt;=$D$115),1,0),
IF(AND(BO37=BM$5,BN$6&gt;=$D$115),1,0),
IF(BM37&amp;BP37=BQ$5,1,0),
IF(BN37=BM$5,2,0),
IF(BO37=BM$5,1,0),
IF(OR(BM37&amp;BN37&amp;BO37=BM$5&amp;BN$5&amp;BO$5,BM37&amp;BN37&amp;BO37=BM$5&amp;BO$5&amp;BN$5,BM37&amp;BN37&amp;BO37=BN$5&amp;BM$5&amp;BO$5,BM37&amp;BN37&amp;BO37=BN$5&amp;BO$5&amp;BM$5,BM37&amp;BN37&amp;BO37=BO$5&amp;BM$5&amp;BN$5,BM37&amp;BN37&amp;BO37=BO$5&amp;BN$5&amp;BM$5),2,0),IF(AND(BM37=BM$5,BN$6&gt;=$D$129),1,0),IF(AND(BN37=BM$5,BN$6&gt;=$D$129),1,0),IF(AND(BO37=BM$5,BN$6&gt;=$D$129),1,0),IF(BM37&amp;BP37=BP$5,4,0),IF(AND(BM37=BM$5,BN$6&lt;=$D$104),-0.5,0),IF(AND(BN37=BM$5,BN$6&lt;=$D$104),-0.5,0),IF(AND(BO37=BM$5,BN$6&lt;=$D$104),-0.5,0))</f>
        <v/>
      </c>
      <c r="BR37" s="145" t="n"/>
      <c r="BS37" s="152" t="n"/>
      <c r="BT37" s="152" t="n"/>
      <c r="BU37" s="152" t="n"/>
      <c r="BV37" s="602">
        <f>SUM(IF(BR37=BR$5,4,0),IF(BR37&amp;BS37=BR$5&amp;BS$5,1,0),
IF(AND(BR37=BR$5,BS$6&gt;=$D$115),1,0),
IF(AND(BS37=BR$5,BS$6&gt;=$D$115),1,0),
IF(AND(BT37=BR$5,BS$6&gt;=$D$115),1,0),
IF(BR37&amp;BU37=BV$5,1,0),
IF(BS37=BR$5,2,0),
IF(BT37=BR$5,1,0),
IF(OR(BR37&amp;BS37&amp;BT37=BR$5&amp;BS$5&amp;BT$5,BR37&amp;BS37&amp;BT37=BR$5&amp;BT$5&amp;BS$5,BR37&amp;BS37&amp;BT37=BS$5&amp;BR$5&amp;BT$5,BR37&amp;BS37&amp;BT37=BS$5&amp;BT$5&amp;BR$5,BR37&amp;BS37&amp;BT37=BT$5&amp;BR$5&amp;BS$5,BR37&amp;BS37&amp;BT37=BT$5&amp;BS$5&amp;BR$5),2,0),IF(AND(BR37=BR$5,BS$6&gt;=$D$129),1,0),IF(AND(BS37=BR$5,BS$6&gt;=$D$129),1,0),IF(AND(BT37=BR$5,BS$6&gt;=$D$129),1,0),IF(BR37&amp;BU37=BU$5,4,0),IF(AND(BR37=BR$5,BS$6&lt;=$D$104),-0.5,0),IF(AND(BS37=BR$5,BS$6&lt;=$D$104),-0.5,0),IF(AND(BT37=BR$5,BS$6&lt;=$D$104),-0.5,0))</f>
        <v/>
      </c>
      <c r="BW37" s="145" t="n"/>
      <c r="BX37" s="152" t="n"/>
      <c r="BY37" s="152" t="n"/>
      <c r="BZ37" s="152" t="n"/>
      <c r="CA37" s="602">
        <f>SUM(IF(BW37=BW$5,4,0),IF(BW37&amp;BX37=BW$5&amp;BX$5,1,0),
IF(AND(BW37=BW$5,BX$6&gt;=$D$115),1,0),
IF(AND(BX37=BW$5,BX$6&gt;=$D$115),1,0),
IF(AND(BY37=BW$5,BX$6&gt;=$D$115),1,0),
IF(BW37&amp;BZ37=CA$5,1,0),
IF(BX37=BW$5,2,0),
IF(BY37=BW$5,1,0),
IF(OR(BW37&amp;BX37&amp;BY37=BW$5&amp;BX$5&amp;BY$5,BW37&amp;BX37&amp;BY37=BW$5&amp;BY$5&amp;BX$5,BW37&amp;BX37&amp;BY37=BX$5&amp;BW$5&amp;BY$5,BW37&amp;BX37&amp;BY37=BX$5&amp;BY$5&amp;BW$5,BW37&amp;BX37&amp;BY37=BY$5&amp;BW$5&amp;BX$5,BW37&amp;BX37&amp;BY37=BY$5&amp;BX$5&amp;BW$5),2,0),IF(AND(BW37=BW$5,BX$6&gt;=$D$129),1,0),IF(AND(BX37=BW$5,BX$6&gt;=$D$129),1,0),IF(AND(BY37=BW$5,BX$6&gt;=$D$129),1,0),IF(BW37&amp;BZ37=BZ$5,4,0),IF(AND(BW37=BW$5,BX$6&lt;=$D$104),-0.5,0),IF(AND(BX37=BW$5,BX$6&lt;=$D$104),-0.5,0),IF(AND(BY37=BW$5,BX$6&lt;=$D$104),-0.5,0))</f>
        <v/>
      </c>
      <c r="CB37" s="145" t="n"/>
      <c r="CC37" s="152" t="n"/>
      <c r="CD37" s="152" t="n"/>
      <c r="CE37" s="152" t="n"/>
      <c r="CF37" s="602">
        <f>SUM(IF(CB37=CB$5,4,0),IF(CB37&amp;CC37=CB$5&amp;CC$5,1,0),
IF(AND(CB37=CB$5,CC$6&gt;=$D$115),1,0),
IF(AND(CC37=CB$5,CC$6&gt;=$D$115),1,0),
IF(AND(CD37=CB$5,CC$6&gt;=$D$115),1,0),
IF(CB37&amp;CE37=CF$5,1,0),
IF(CC37=CB$5,2,0),
IF(CD37=CB$5,1,0),
IF(OR(CB37&amp;CC37&amp;CD37=CB$5&amp;CC$5&amp;CD$5,CB37&amp;CC37&amp;CD37=CB$5&amp;CD$5&amp;CC$5,CB37&amp;CC37&amp;CD37=CC$5&amp;CB$5&amp;CD$5,CB37&amp;CC37&amp;CD37=CC$5&amp;CD$5&amp;CB$5,CB37&amp;CC37&amp;CD37=CD$5&amp;CB$5&amp;CC$5,CB37&amp;CC37&amp;CD37=CD$5&amp;CC$5&amp;CB$5),2,0),IF(AND(CB37=CB$5,CC$6&gt;=$D$129),1,0),IF(AND(CC37=CB$5,CC$6&gt;=$D$129),1,0),IF(AND(CD37=CB$5,CC$6&gt;=$D$129),1,0),IF(CB37&amp;CE37=CE$5,4,0),IF(AND(CB37=CB$5,CC$6&lt;=$D$104),-0.5,0),IF(AND(CC37=CB$5,CC$6&lt;=$D$104),-0.5,0),IF(AND(CD37=CB$5,CC$6&lt;=$D$104),-0.5,0))</f>
        <v/>
      </c>
      <c r="CG37" s="164">
        <f>IF(BASE01[[#This Row],[1]]="",0,$B$4)</f>
        <v/>
      </c>
      <c r="CH37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7" s="166">
        <f>IF(BASE01[[#This Row],[Columna14]]=0,0,(CH37/CG37))</f>
        <v/>
      </c>
      <c r="CJ37" s="165">
        <f>IF(BASE01[[#This Row],[1]]="",0,$B$4)</f>
        <v/>
      </c>
      <c r="CK37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7" s="166">
        <f>IF(BASE01[[#This Row],[Columna14]]=0,0,(CK37/CJ37))</f>
        <v/>
      </c>
      <c r="CM37" s="164">
        <f>IF(BASE01[[#This Row],[1]]="",0,$B$4)</f>
        <v/>
      </c>
      <c r="CN37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7" s="166">
        <f>IF(BASE01[[#This Row],[Columna14]]=0,0,(CN37/CM37))</f>
        <v/>
      </c>
      <c r="CP37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7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Row],[Columna25]],$AX$5,BA37,"SF")+COUNTIFS(BASE01[[#This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7" s="166">
        <f>IF(BASE01[[#This Row],[Columna14]]=0,0,(CQ37/CP37))</f>
        <v/>
      </c>
      <c r="CS37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7" s="95" t="n"/>
      <c r="CU37" s="604">
        <f>SUM(CS37,CT37)</f>
        <v/>
      </c>
      <c r="CV37" s="96">
        <f>IF(BASE01[[#This Row],[TIPO]]="PREMIO",$O$3,"0,00")</f>
        <v/>
      </c>
      <c r="CW37" s="576" t="n"/>
      <c r="CY37" s="606">
        <f>IF(CZ37="","",$CZ$25)</f>
        <v/>
      </c>
      <c r="CZ37" s="392" t="n"/>
      <c r="DA37" s="392">
        <f t="array" ref="DA37">IF(CZ37="", "", IF((INDEX(E$8:CE$57, MATCH(CZ37, C$8:C$57, 0), ($CZ$25-1)*5 + 1) &amp; "") = (INDEX(E$5:CE$5, 1, ($CZ$25-1)*5 + 1) &amp; ""), 1, IF((INDEX(E$8:CE$57, MATCH(CZ37, C$8:C$57, 0), ($CZ$25-1)*5 + 2) &amp; "") = (INDEX(E$5:CE$5, 1, ($CZ$25-1)*5 + 1) &amp; ""), 2, IF((INDEX(E$8:CE$57, MATCH(CZ37, C$8:C$57, 0), ($CZ$25-1)*5 + 3) &amp; "") = (INDEX(E$5:CE$5, 1, ($CZ$25-1)*5 + 1) &amp; ""), 3, ""))))</f>
        <v/>
      </c>
      <c r="DB37" s="605">
        <f>BASE01[[#This Row],[COD]]</f>
        <v/>
      </c>
      <c r="DC37" s="395">
        <f t="array" ref="DC37">IFERROR(IF(AND(INDEX($E$8:$CE$57, MATCH($C37, $C$8:$C$57, 0), (COLUMNS($DC37:DC37)-1)*5 + 1) = INDEX($E$5:$CE$5, 1, (COLUMNS($DC37:DC37)-1)*5 + 1), INDEX($E$8:$CE$57, MATCH($C37, $C$8:$C$57, 0), (COLUMNS($DC37:DC37)-1)*5 + 4) = "F"), INDEX($CZ$8:$CZ$23, COLUMNS($DC37:DC37)), "0"), "")</f>
        <v/>
      </c>
      <c r="DD37" s="395">
        <f t="array" ref="DD37">IFERROR(IF(AND(INDEX($E$8:$CE$57, MATCH($C37, $C$8:$C$57, 0), (COLUMNS($DC37:DD37)-1)*5 + 1) = INDEX($E$5:$CE$5, 1, (COLUMNS($DC37:DD37)-1)*5 + 1), INDEX($E$8:$CE$57, MATCH($C37, $C$8:$C$57, 0), (COLUMNS($DC37:DD37)-1)*5 + 4) = "F"), INDEX($CZ$8:$CZ$23, COLUMNS($DC37:DD37)), "0"), "")</f>
        <v/>
      </c>
      <c r="DE37" s="395">
        <f t="array" ref="DE37">IFERROR(IF(AND(INDEX($E$8:$CE$57, MATCH($C37, $C$8:$C$57, 0), (COLUMNS($DC37:DE37)-1)*5 + 1) = INDEX($E$5:$CE$5, 1, (COLUMNS($DC37:DE37)-1)*5 + 1), INDEX($E$8:$CE$57, MATCH($C37, $C$8:$C$57, 0), (COLUMNS($DC37:DE37)-1)*5 + 4) = "F"), INDEX($CZ$8:$CZ$23, COLUMNS($DC37:DE37)), "0"), "")</f>
        <v/>
      </c>
      <c r="DF37" s="395">
        <f t="array" ref="DF37">IFERROR(IF(AND(INDEX($E$8:$CE$57, MATCH($C37, $C$8:$C$57, 0), (COLUMNS($DC37:DF37)-1)*5 + 1) = INDEX($E$5:$CE$5, 1, (COLUMNS($DC37:DF37)-1)*5 + 1), INDEX($E$8:$CE$57, MATCH($C37, $C$8:$C$57, 0), (COLUMNS($DC37:DF37)-1)*5 + 4) = "F"), INDEX($CZ$8:$CZ$23, COLUMNS($DC37:DF37)), "0"), "")</f>
        <v/>
      </c>
      <c r="DG37" s="395">
        <f t="array" ref="DG37">IFERROR(IF(AND(INDEX($E$8:$CE$57, MATCH($C37, $C$8:$C$57, 0), (COLUMNS($DC37:DG37)-1)*5 + 1) = INDEX($E$5:$CE$5, 1, (COLUMNS($DC37:DG37)-1)*5 + 1), INDEX($E$8:$CE$57, MATCH($C37, $C$8:$C$57, 0), (COLUMNS($DC37:DG37)-1)*5 + 4) = "F"), INDEX($CZ$8:$CZ$23, COLUMNS($DC37:DG37)), "0"), "")</f>
        <v/>
      </c>
      <c r="DH37" s="395">
        <f t="array" ref="DH37">IFERROR(IF(AND(INDEX($E$8:$CE$57, MATCH($C37, $C$8:$C$57, 0), (COLUMNS($DC37:DH37)-1)*5 + 1) = INDEX($E$5:$CE$5, 1, (COLUMNS($DC37:DH37)-1)*5 + 1), INDEX($E$8:$CE$57, MATCH($C37, $C$8:$C$57, 0), (COLUMNS($DC37:DH37)-1)*5 + 4) = "F"), INDEX($CZ$8:$CZ$23, COLUMNS($DC37:DH37)), "0"), "")</f>
        <v/>
      </c>
      <c r="DI37" s="395">
        <f t="array" ref="DI37">IFERROR(IF(AND(INDEX($E$8:$CE$57, MATCH($C37, $C$8:$C$57, 0), (COLUMNS($DC37:DI37)-1)*5 + 1) = INDEX($E$5:$CE$5, 1, (COLUMNS($DC37:DI37)-1)*5 + 1), INDEX($E$8:$CE$57, MATCH($C37, $C$8:$C$57, 0), (COLUMNS($DC37:DI37)-1)*5 + 4) = "F"), INDEX($CZ$8:$CZ$23, COLUMNS($DC37:DI37)), "0"), "")</f>
        <v/>
      </c>
      <c r="DJ37" s="395">
        <f t="array" ref="DJ37">IFERROR(IF(AND(INDEX($E$8:$CE$57, MATCH($C37, $C$8:$C$57, 0), (COLUMNS($DC37:DJ37)-1)*5 + 1) = INDEX($E$5:$CE$5, 1, (COLUMNS($DC37:DJ37)-1)*5 + 1), INDEX($E$8:$CE$57, MATCH($C37, $C$8:$C$57, 0), (COLUMNS($DC37:DJ37)-1)*5 + 4) = "F"), INDEX($CZ$8:$CZ$23, COLUMNS($DC37:DJ37)), "0"), "")</f>
        <v/>
      </c>
      <c r="DK37" s="395">
        <f t="array" ref="DK37">IFERROR(IF(AND(INDEX($E$8:$CE$57, MATCH($C37, $C$8:$C$57, 0), (COLUMNS($DC37:DK37)-1)*5 + 1) = INDEX($E$5:$CE$5, 1, (COLUMNS($DC37:DK37)-1)*5 + 1), INDEX($E$8:$CE$57, MATCH($C37, $C$8:$C$57, 0), (COLUMNS($DC37:DK37)-1)*5 + 4) = "F"), INDEX($CZ$8:$CZ$23, COLUMNS($DC37:DK37)), "0"), "")</f>
        <v/>
      </c>
      <c r="DL37" s="395">
        <f t="array" ref="DL37">IFERROR(IF(AND(INDEX($E$8:$CE$57, MATCH($C37, $C$8:$C$57, 0), (COLUMNS($DC37:DL37)-1)*5 + 1) = INDEX($E$5:$CE$5, 1, (COLUMNS($DC37:DL37)-1)*5 + 1), INDEX($E$8:$CE$57, MATCH($C37, $C$8:$C$57, 0), (COLUMNS($DC37:DL37)-1)*5 + 4) = "F"), INDEX($CZ$8:$CZ$23, COLUMNS($DC37:DL37)), "0"), "")</f>
        <v/>
      </c>
      <c r="DM37" s="395">
        <f t="array" ref="DM37">IFERROR(IF(AND(INDEX($E$8:$CE$57, MATCH($C37, $C$8:$C$57, 0), (COLUMNS($DC37:DM37)-1)*5 + 1) = INDEX($E$5:$CE$5, 1, (COLUMNS($DC37:DM37)-1)*5 + 1), INDEX($E$8:$CE$57, MATCH($C37, $C$8:$C$57, 0), (COLUMNS($DC37:DM37)-1)*5 + 4) = "F"), INDEX($CZ$8:$CZ$23, COLUMNS($DC37:DM37)), "0"), "")</f>
        <v/>
      </c>
      <c r="DN37" s="395">
        <f t="array" ref="DN37">IFERROR(IF(AND(INDEX($E$8:$CE$57, MATCH($C37, $C$8:$C$57, 0), (COLUMNS($DC37:DN37)-1)*5 + 1) = INDEX($E$5:$CE$5, 1, (COLUMNS($DC37:DN37)-1)*5 + 1), INDEX($E$8:$CE$57, MATCH($C37, $C$8:$C$57, 0), (COLUMNS($DC37:DN37)-1)*5 + 4) = "F"), INDEX($CZ$8:$CZ$23, COLUMNS($DC37:DN37)), "0"), "")</f>
        <v/>
      </c>
      <c r="DO37" s="395">
        <f t="array" ref="DO37">IFERROR(IF(AND(INDEX($E$8:$CE$57, MATCH($C37, $C$8:$C$57, 0), (COLUMNS($DC37:DO37)-1)*5 + 1) = INDEX($E$5:$CE$5, 1, (COLUMNS($DC37:DO37)-1)*5 + 1), INDEX($E$8:$CE$57, MATCH($C37, $C$8:$C$57, 0), (COLUMNS($DC37:DO37)-1)*5 + 4) = "F"), INDEX($CZ$8:$CZ$23, COLUMNS($DC37:DO37)), "0"), "")</f>
        <v/>
      </c>
      <c r="DP37" s="395">
        <f t="array" ref="DP37">IFERROR(IF(AND(INDEX($E$8:$CE$57, MATCH($C37, $C$8:$C$57, 0), (COLUMNS($DC37:DP37)-1)*5 + 1) = INDEX($E$5:$CE$5, 1, (COLUMNS($DC37:DP37)-1)*5 + 1), INDEX($E$8:$CE$57, MATCH($C37, $C$8:$C$57, 0), (COLUMNS($DC37:DP37)-1)*5 + 4) = "F"), INDEX($CZ$8:$CZ$23, COLUMNS($DC37:DP37)), "0"), "")</f>
        <v/>
      </c>
      <c r="DQ37" s="395">
        <f t="array" ref="DQ37">IFERROR(IF(AND(INDEX($E$8:$CE$57, MATCH($C37, $C$8:$C$57, 0), (COLUMNS($DC37:DQ37)-1)*5 + 1) = INDEX($E$5:$CE$5, 1, (COLUMNS($DC37:DQ37)-1)*5 + 1), INDEX($E$8:$CE$57, MATCH($C37, $C$8:$C$57, 0), (COLUMNS($DC37:DQ37)-1)*5 + 4) = "F"), INDEX($CZ$8:$CZ$23, COLUMNS($DC37:DQ37)), "0"), "")</f>
        <v/>
      </c>
      <c r="DR37" s="395">
        <f t="array" ref="DR37">IFERROR(IF(AND(INDEX($E$8:$CE$57, MATCH($C37, $C$8:$C$57, 0), (COLUMNS($DC37:DR37)-1)*5 + 1) = INDEX($E$5:$CE$5, 1, (COLUMNS($DC37:DR37)-1)*5 + 1), INDEX($E$8:$CE$57, MATCH($C37, $C$8:$C$57, 0), (COLUMNS($DC37:DR37)-1)*5 + 4) = "F"), INDEX($CZ$8:$CZ$23, COLUMNS($DC37:DR37)), "0"), "")</f>
        <v/>
      </c>
      <c r="DT37" s="605">
        <f>BASE01[[#This Row],[COD]]</f>
        <v/>
      </c>
      <c r="DU37" s="395">
        <f t="array" ref="DU37">IFERROR(IF(AND(INDEX($E$8:$CE$57, MATCH($C37, $C$8:$C$57, 0), (COLUMNS($DU37:DU37)-1)*5 + 1) = INDEX($E$5:$CE$5, 1, (COLUMNS($DU37:DU37)-1)*5 + 1), INDEX($E$8:$CE$57, MATCH($C37, $C$8:$C$57, 0), (COLUMNS($DU37:DU37)-1)*5 + 4) = "SF"), INDEX($CZ$8:$CZ$23, COLUMNS($DU37:DU37)), "0"), "")</f>
        <v/>
      </c>
      <c r="DV37" s="395">
        <f t="array" ref="DV37">IFERROR(IF(AND(INDEX($E$8:$CE$57, MATCH($C37, $C$8:$C$57, 0), (COLUMNS($DU37:DV37)-1)*5 + 1) = INDEX($E$5:$CE$5, 1, (COLUMNS($DU37:DV37)-1)*5 + 1), INDEX($E$8:$CE$57, MATCH($C37, $C$8:$C$57, 0), (COLUMNS($DU37:DV37)-1)*5 + 4) = "SF"), INDEX($CZ$8:$CZ$23, COLUMNS($DU37:DV37)), "0"), "")</f>
        <v/>
      </c>
      <c r="DW37" s="395">
        <f t="array" ref="DW37">IFERROR(IF(AND(INDEX($E$8:$CE$57, MATCH($C37, $C$8:$C$57, 0), (COLUMNS($DU37:DW37)-1)*5 + 1) = INDEX($E$5:$CE$5, 1, (COLUMNS($DU37:DW37)-1)*5 + 1), INDEX($E$8:$CE$57, MATCH($C37, $C$8:$C$57, 0), (COLUMNS($DU37:DW37)-1)*5 + 4) = "SF"), INDEX($CZ$8:$CZ$23, COLUMNS($DU37:DW37)), "0"), "")</f>
        <v/>
      </c>
      <c r="DX37" s="395">
        <f t="array" ref="DX37">IFERROR(IF(AND(INDEX($E$8:$CE$57, MATCH($C37, $C$8:$C$57, 0), (COLUMNS($DU37:DX37)-1)*5 + 1) = INDEX($E$5:$CE$5, 1, (COLUMNS($DU37:DX37)-1)*5 + 1), INDEX($E$8:$CE$57, MATCH($C37, $C$8:$C$57, 0), (COLUMNS($DU37:DX37)-1)*5 + 4) = "SF"), INDEX($CZ$8:$CZ$23, COLUMNS($DU37:DX37)), "0"), "")</f>
        <v/>
      </c>
      <c r="DY37" s="395">
        <f t="array" ref="DY37">IFERROR(IF(AND(INDEX($E$8:$CE$57, MATCH($C37, $C$8:$C$57, 0), (COLUMNS($DU37:DY37)-1)*5 + 1) = INDEX($E$5:$CE$5, 1, (COLUMNS($DU37:DY37)-1)*5 + 1), INDEX($E$8:$CE$57, MATCH($C37, $C$8:$C$57, 0), (COLUMNS($DU37:DY37)-1)*5 + 4) = "SF"), INDEX($CZ$8:$CZ$23, COLUMNS($DU37:DY37)), "0"), "")</f>
        <v/>
      </c>
      <c r="DZ37" s="395">
        <f t="array" ref="DZ37">IFERROR(IF(AND(INDEX($E$8:$CE$57, MATCH($C37, $C$8:$C$57, 0), (COLUMNS($DU37:DZ37)-1)*5 + 1) = INDEX($E$5:$CE$5, 1, (COLUMNS($DU37:DZ37)-1)*5 + 1), INDEX($E$8:$CE$57, MATCH($C37, $C$8:$C$57, 0), (COLUMNS($DU37:DZ37)-1)*5 + 4) = "SF"), INDEX($CZ$8:$CZ$23, COLUMNS($DU37:DZ37)), "0"), "")</f>
        <v/>
      </c>
      <c r="EA37" s="395">
        <f t="array" ref="EA37">IFERROR(IF(AND(INDEX($E$8:$CE$57, MATCH($C37, $C$8:$C$57, 0), (COLUMNS($DU37:EA37)-1)*5 + 1) = INDEX($E$5:$CE$5, 1, (COLUMNS($DU37:EA37)-1)*5 + 1), INDEX($E$8:$CE$57, MATCH($C37, $C$8:$C$57, 0), (COLUMNS($DU37:EA37)-1)*5 + 4) = "SF"), INDEX($CZ$8:$CZ$23, COLUMNS($DU37:EA37)), "0"), "")</f>
        <v/>
      </c>
      <c r="EB37" s="395">
        <f t="array" ref="EB37">IFERROR(IF(AND(INDEX($E$8:$CE$57, MATCH($C37, $C$8:$C$57, 0), (COLUMNS($DU37:EB37)-1)*5 + 1) = INDEX($E$5:$CE$5, 1, (COLUMNS($DU37:EB37)-1)*5 + 1), INDEX($E$8:$CE$57, MATCH($C37, $C$8:$C$57, 0), (COLUMNS($DU37:EB37)-1)*5 + 4) = "SF"), INDEX($CZ$8:$CZ$23, COLUMNS($DU37:EB37)), "0"), "")</f>
        <v/>
      </c>
      <c r="EC37" s="395">
        <f t="array" ref="EC37">IFERROR(IF(AND(INDEX($E$8:$CE$57, MATCH($C37, $C$8:$C$57, 0), (COLUMNS($DU37:EC37)-1)*5 + 1) = INDEX($E$5:$CE$5, 1, (COLUMNS($DU37:EC37)-1)*5 + 1), INDEX($E$8:$CE$57, MATCH($C37, $C$8:$C$57, 0), (COLUMNS($DU37:EC37)-1)*5 + 4) = "SF"), INDEX($CZ$8:$CZ$23, COLUMNS($DU37:EC37)), "0"), "")</f>
        <v/>
      </c>
      <c r="ED37" s="395">
        <f t="array" ref="ED37">IFERROR(IF(AND(INDEX($E$8:$CE$57, MATCH($C37, $C$8:$C$57, 0), (COLUMNS($DU37:ED37)-1)*5 + 1) = INDEX($E$5:$CE$5, 1, (COLUMNS($DU37:ED37)-1)*5 + 1), INDEX($E$8:$CE$57, MATCH($C37, $C$8:$C$57, 0), (COLUMNS($DU37:ED37)-1)*5 + 4) = "SF"), INDEX($CZ$8:$CZ$23, COLUMNS($DU37:ED37)), "0"), "")</f>
        <v/>
      </c>
      <c r="EE37" s="395">
        <f t="array" ref="EE37">IFERROR(IF(AND(INDEX($E$8:$CE$57, MATCH($C37, $C$8:$C$57, 0), (COLUMNS($DU37:EE37)-1)*5 + 1) = INDEX($E$5:$CE$5, 1, (COLUMNS($DU37:EE37)-1)*5 + 1), INDEX($E$8:$CE$57, MATCH($C37, $C$8:$C$57, 0), (COLUMNS($DU37:EE37)-1)*5 + 4) = "SF"), INDEX($CZ$8:$CZ$23, COLUMNS($DU37:EE37)), "0"), "")</f>
        <v/>
      </c>
      <c r="EF37" s="395">
        <f t="array" ref="EF37">IFERROR(IF(AND(INDEX($E$8:$CE$57, MATCH($C37, $C$8:$C$57, 0), (COLUMNS($DU37:EF37)-1)*5 + 1) = INDEX($E$5:$CE$5, 1, (COLUMNS($DU37:EF37)-1)*5 + 1), INDEX($E$8:$CE$57, MATCH($C37, $C$8:$C$57, 0), (COLUMNS($DU37:EF37)-1)*5 + 4) = "SF"), INDEX($CZ$8:$CZ$23, COLUMNS($DU37:EF37)), "0"), "")</f>
        <v/>
      </c>
      <c r="EG37" s="395">
        <f t="array" ref="EG37">IFERROR(IF(AND(INDEX($E$8:$CE$57, MATCH($C37, $C$8:$C$57, 0), (COLUMNS($DU37:EG37)-1)*5 + 1) = INDEX($E$5:$CE$5, 1, (COLUMNS($DU37:EG37)-1)*5 + 1), INDEX($E$8:$CE$57, MATCH($C37, $C$8:$C$57, 0), (COLUMNS($DU37:EG37)-1)*5 + 4) = "SF"), INDEX($CZ$8:$CZ$23, COLUMNS($DU37:EG37)), "0"), "")</f>
        <v/>
      </c>
      <c r="EH37" s="395">
        <f t="array" ref="EH37">IFERROR(IF(AND(INDEX($E$8:$CE$57, MATCH($C37, $C$8:$C$57, 0), (COLUMNS($DU37:EH37)-1)*5 + 1) = INDEX($E$5:$CE$5, 1, (COLUMNS($DU37:EH37)-1)*5 + 1), INDEX($E$8:$CE$57, MATCH($C37, $C$8:$C$57, 0), (COLUMNS($DU37:EH37)-1)*5 + 4) = "SF"), INDEX($CZ$8:$CZ$23, COLUMNS($DU37:EH37)), "0"), "")</f>
        <v/>
      </c>
      <c r="EI37" s="395">
        <f t="array" ref="EI37">IFERROR(IF(AND(INDEX($E$8:$CE$57, MATCH($C37, $C$8:$C$57, 0), (COLUMNS($DU37:EI37)-1)*5 + 1) = INDEX($E$5:$CE$5, 1, (COLUMNS($DU37:EI37)-1)*5 + 1), INDEX($E$8:$CE$57, MATCH($C37, $C$8:$C$57, 0), (COLUMNS($DU37:EI37)-1)*5 + 4) = "SF"), INDEX($CZ$8:$CZ$23, COLUMNS($DU37:EI37)), "0"), "")</f>
        <v/>
      </c>
      <c r="EJ37" s="395">
        <f t="array" ref="EJ37">IFERROR(IF(AND(INDEX($E$8:$CE$57, MATCH($C37, $C$8:$C$57, 0), (COLUMNS($DU37:EJ37)-1)*5 + 1) = INDEX($E$5:$CE$5, 1, (COLUMNS($DU37:EJ37)-1)*5 + 1), INDEX($E$8:$CE$57, MATCH($C37, $C$8:$C$57, 0), (COLUMNS($DU37:EJ37)-1)*5 + 4) = "SF"), INDEX($CZ$8:$CZ$23, COLUMNS($DU37:EJ37)), "0"), "")</f>
        <v/>
      </c>
    </row>
    <row r="38" ht="19.5" customHeight="1" s="568">
      <c r="A38" s="576" t="n"/>
      <c r="B38" s="92">
        <f>IF(BASE01[[#This Row],[COD]]&lt;&gt;"",B37+1,"")</f>
        <v/>
      </c>
      <c r="C38" s="601" t="inlineStr">
        <is>
          <t>COD 31</t>
        </is>
      </c>
      <c r="D38" s="93">
        <f t="array" ref="D38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8" s="145" t="n">
        <v>8</v>
      </c>
      <c r="F38" s="146" t="n">
        <v>6</v>
      </c>
      <c r="G38" s="146" t="n">
        <v>1</v>
      </c>
      <c r="H38" s="146" t="n"/>
      <c r="I38" s="602">
        <f>SUM(IF(E38=E$5,4,0),IF(E38&amp;F38=E$5&amp;F$5,1,0),
IF(AND(E38=E$5,F$6&gt;=$D$115),1,0),
IF(AND(F38=E$5,F$6&gt;=$D$115),1,0),
IF(AND(G38=E$5,F$6&gt;=$D$115),1,0),
IF(E38&amp;H38=I$5,1,0),
IF(F38=E$5,2,0),
IF(G38=E$5,1,0),
IF(OR(E38&amp;F38&amp;G38=E$5&amp;F$5&amp;G$5,E38&amp;F38&amp;G38=E$5&amp;G$5&amp;F$5,E38&amp;F38&amp;G38=F$5&amp;E$5&amp;G$5,E38&amp;F38&amp;G38=F$5&amp;G$5&amp;E$5,E38&amp;F38&amp;G38=G$5&amp;E$5&amp;F$5,E38&amp;F38&amp;G38=G$5&amp;F$5&amp;E$5),2,0),IF(AND(E38=E$5,F$6&gt;=$D$129),1,0),IF(AND(F38=E$5,F$6&gt;=$D$129),1,0),IF(AND(G38=E$5,F$6&gt;=$D$129),1,0),IF(E38&amp;H38=H$5,4,0),IF(AND(E38=E$5,F$6&lt;=$D$104),-0.5,0),IF(AND(F38=E$5,F$6&lt;=$D$104),-0.5,0),IF(AND(G38=E$5,F$6&lt;=$D$104),-0.5,0))</f>
        <v/>
      </c>
      <c r="J38" s="145" t="n">
        <v>8</v>
      </c>
      <c r="K38" s="146" t="n">
        <v>3</v>
      </c>
      <c r="L38" s="146" t="n">
        <v>5</v>
      </c>
      <c r="M38" s="146" t="inlineStr">
        <is>
          <t>F</t>
        </is>
      </c>
      <c r="N38" s="602">
        <f>SUM(IF(J38=J$5,4,0),IF(J38&amp;K38=J$5&amp;K$5,1,0),
IF(AND(J38=J$5,K$6&gt;=$D$115),1,0),
IF(AND(K38=J$5,K$6&gt;=$D$115),1,0),
IF(AND(L38=J$5,K$6&gt;=$D$115),1,0),
IF(J38&amp;M38=N$5,1,0),
IF(K38=J$5,2,0),
IF(L38=J$5,1,0),
IF(OR(J38&amp;K38&amp;L38=J$5&amp;K$5&amp;L$5,J38&amp;K38&amp;L38=J$5&amp;L$5&amp;K$5,J38&amp;K38&amp;L38=K$5&amp;J$5&amp;L$5,J38&amp;K38&amp;L38=K$5&amp;L$5&amp;J$5,J38&amp;K38&amp;L38=L$5&amp;J$5&amp;K$5,J38&amp;K38&amp;L38=L$5&amp;K$5&amp;J$5),2,0),IF(AND(J38=J$5,K$6&gt;=$D$129),1,0),IF(AND(K38=J$5,K$6&gt;=$D$129),1,0),IF(AND(L38=J$5,K$6&gt;=$D$129),1,0),IF(J38&amp;M38=M$5,4,0),IF(AND(J38=J$5,K$6&lt;=$D$104),-0.5,0),IF(AND(K38=J$5,K$6&lt;=$D$104),-0.5,0),IF(AND(L38=J$5,K$6&lt;=$D$104),-0.5,0))</f>
        <v/>
      </c>
      <c r="O38" s="145" t="n">
        <v>8</v>
      </c>
      <c r="P38" s="146" t="n">
        <v>3</v>
      </c>
      <c r="Q38" s="146" t="n">
        <v>5</v>
      </c>
      <c r="R38" s="146" t="n"/>
      <c r="S38" s="602">
        <f>SUM(IF(O38=O$5,4,0),IF(O38&amp;P38=O$5&amp;P$5,1,0),
IF(AND(O38=O$5,P$6&gt;=$D$115),1,0),
IF(AND(P38=O$5,P$6&gt;=$D$115),1,0),
IF(AND(Q38=O$5,P$6&gt;=$D$115),1,0),
IF(O38&amp;R38=S$5,1,0),
IF(P38=O$5,2,0),
IF(Q38=O$5,1,0),
IF(OR(O38&amp;P38&amp;Q38=O$5&amp;P$5&amp;Q$5,O38&amp;P38&amp;Q38=O$5&amp;Q$5&amp;P$5,O38&amp;P38&amp;Q38=P$5&amp;O$5&amp;Q$5,O38&amp;P38&amp;Q38=P$5&amp;Q$5&amp;O$5,O38&amp;P38&amp;Q38=Q$5&amp;O$5&amp;P$5,O38&amp;P38&amp;Q38=Q$5&amp;P$5&amp;O$5),2,0),IF(AND(O38=O$5,P$6&gt;=$D$129),1,0),IF(AND(P38=O$5,P$6&gt;=$D$129),1,0),IF(AND(Q38=O$5,P$6&gt;=$D$129),1,0),IF(O38&amp;R38=R$5,4,0),IF(AND(O38=O$5,P$6&lt;=$D$104),-0.5,0),IF(AND(P38=O$5,P$6&lt;=$D$104),-0.5,0),IF(AND(Q38=O$5,P$6&lt;=$D$104),-0.5,0))</f>
        <v/>
      </c>
      <c r="T38" s="145" t="n">
        <v>6</v>
      </c>
      <c r="U38" s="146" t="n">
        <v>8</v>
      </c>
      <c r="V38" s="146" t="n">
        <v>7</v>
      </c>
      <c r="W38" s="146" t="n"/>
      <c r="X38" s="602">
        <f>SUM(IF(T38=T$5,4,0),IF(T38&amp;U38=T$5&amp;U$5,1,0),
IF(AND(T38=T$5,U$6&gt;=$D$115),1,0),
IF(AND(U38=T$5,U$6&gt;=$D$115),1,0),
IF(AND(V38=T$5,U$6&gt;=$D$115),1,0),
IF(T38&amp;W38=X$5,1,0),
IF(U38=T$5,2,0),
IF(V38=T$5,1,0),
IF(OR(T38&amp;U38&amp;V38=T$5&amp;U$5&amp;V$5,T38&amp;U38&amp;V38=T$5&amp;V$5&amp;U$5,T38&amp;U38&amp;V38=U$5&amp;T$5&amp;V$5,T38&amp;U38&amp;V38=U$5&amp;V$5&amp;T$5,T38&amp;U38&amp;V38=V$5&amp;T$5&amp;U$5,T38&amp;U38&amp;V38=V$5&amp;U$5&amp;T$5),2,0),IF(AND(T38=T$5,U$6&gt;=$D$129),1,0),IF(AND(U38=T$5,U$6&gt;=$D$129),1,0),IF(AND(V38=T$5,U$6&gt;=$D$129),1,0),IF(T38&amp;W38=W$5,4,0),IF(AND(T38=T$5,U$6&lt;=$D$104),-0.5,0),IF(AND(U38=T$5,U$6&lt;=$D$104),-0.5,0),IF(AND(V38=T$5,U$6&lt;=$D$104),-0.5,0))</f>
        <v/>
      </c>
      <c r="Y38" s="145" t="n">
        <v>5</v>
      </c>
      <c r="Z38" s="146" t="n"/>
      <c r="AA38" s="146" t="n"/>
      <c r="AB38" s="146" t="inlineStr">
        <is>
          <t>SF</t>
        </is>
      </c>
      <c r="AC38" s="602">
        <f>SUM(IF(Y38=Y$5,4,0),IF(Y38&amp;Z38=Y$5&amp;Z$5,1,0),
IF(AND(Y38=Y$5,Z$6&gt;=$D$115),1,0),
IF(AND(Z38=Y$5,Z$6&gt;=$D$115),1,0),
IF(AND(AA38=Y$5,Z$6&gt;=$D$115),1,0),
IF(Y38&amp;AB38=AC$5,1,0),
IF(Z38=Y$5,2,0),
IF(AA38=Y$5,1,0),
IF(OR(Y38&amp;Z38&amp;AA38=Y$5&amp;Z$5&amp;AA$5,Y38&amp;Z38&amp;AA38=Y$5&amp;AA$5&amp;Z$5,Y38&amp;Z38&amp;AA38=Z$5&amp;Y$5&amp;AA$5,Y38&amp;Z38&amp;AA38=Z$5&amp;AA$5&amp;Y$5,Y38&amp;Z38&amp;AA38=AA$5&amp;Y$5&amp;Z$5,Y38&amp;Z38&amp;AA38=AA$5&amp;Z$5&amp;Y$5),2,0),IF(AND(Y38=Y$5,Z$6&gt;=$D$129),1,0),IF(AND(Z38=Y$5,Z$6&gt;=$D$129),1,0),IF(AND(AA38=Y$5,Z$6&gt;=$D$129),1,0),IF(Y38&amp;AB38=AB$5,4,0),IF(AND(Y38=Y$5,Z$6&lt;=$D$104),-0.5,0),IF(AND(Z38=Y$5,Z$6&lt;=$D$104),-0.5,0),IF(AND(AA38=Y$5,Z$6&lt;=$D$104),-0.5,0))</f>
        <v/>
      </c>
      <c r="AD38" s="145" t="n">
        <v>7</v>
      </c>
      <c r="AE38" s="146" t="n">
        <v>2</v>
      </c>
      <c r="AF38" s="146" t="n">
        <v>9</v>
      </c>
      <c r="AG38" s="146" t="n"/>
      <c r="AH38" s="602">
        <f>SUM(IF(AD38=AD$5,4,0),IF(AD38&amp;AE38=AD$5&amp;AE$5,1,0),
IF(AND(AD38=AD$5,AE$6&gt;=$D$115),1,0),
IF(AND(AE38=AD$5,AE$6&gt;=$D$115),1,0),
IF(AND(AF38=AD$5,AE$6&gt;=$D$115),1,0),
IF(AD38&amp;AG38=AH$5,1,0),
IF(AE38=AD$5,2,0),
IF(AF38=AD$5,1,0),
IF(OR(AD38&amp;AE38&amp;AF38=AD$5&amp;AE$5&amp;AF$5,AD38&amp;AE38&amp;AF38=AD$5&amp;AF$5&amp;AE$5,AD38&amp;AE38&amp;AF38=AE$5&amp;AD$5&amp;AF$5,AD38&amp;AE38&amp;AF38=AE$5&amp;AF$5&amp;AD$5,AD38&amp;AE38&amp;AF38=AF$5&amp;AD$5&amp;AE$5,AD38&amp;AE38&amp;AF38=AF$5&amp;AE$5&amp;AD$5),2,0),IF(AND(AD38=AD$5,AE$6&gt;=$D$129),1,0),IF(AND(AE38=AD$5,AE$6&gt;=$D$129),1,0),IF(AND(AF38=AD$5,AE$6&gt;=$D$129),1,0),IF(AD38&amp;AG38=AG$5,4,0),IF(AND(AD38=AD$5,AE$6&lt;=$D$104),-0.5,0),IF(AND(AE38=AD$5,AE$6&lt;=$D$104),-0.5,0),IF(AND(AF38=AD$5,AE$6&lt;=$D$104),-0.5,0))</f>
        <v/>
      </c>
      <c r="AI38" s="145" t="n">
        <v>3</v>
      </c>
      <c r="AJ38" s="146" t="n">
        <v>7</v>
      </c>
      <c r="AK38" s="146" t="n">
        <v>1</v>
      </c>
      <c r="AL38" s="146" t="n"/>
      <c r="AM38" s="602">
        <f>SUM(IF(AI38=AI$5,4,0),IF(AI38&amp;AJ38=AI$5&amp;AJ$5,1,0),
IF(AND(AI38=AI$5,AJ$6&gt;=$D$115),1,0),
IF(AND(AJ38=AI$5,AJ$6&gt;=$D$115),1,0),
IF(AND(AK38=AI$5,AJ$6&gt;=$D$115),1,0),
IF(AI38&amp;AL38=AM$5,1,0),
IF(AJ38=AI$5,2,0),
IF(AK38=AI$5,1,0),
IF(OR(AI38&amp;AJ38&amp;AK38=AI$5&amp;AJ$5&amp;AK$5,AI38&amp;AJ38&amp;AK38=AI$5&amp;AK$5&amp;AJ$5,AI38&amp;AJ38&amp;AK38=AJ$5&amp;AI$5&amp;AK$5,AI38&amp;AJ38&amp;AK38=AJ$5&amp;AK$5&amp;AI$5,AI38&amp;AJ38&amp;AK38=AK$5&amp;AI$5&amp;AJ$5,AI38&amp;AJ38&amp;AK38=AK$5&amp;AJ$5&amp;AI$5),2,0),IF(AND(AI38=AI$5,AJ$6&gt;=$D$129),1,0),IF(AND(AJ38=AI$5,AJ$6&gt;=$D$129),1,0),IF(AND(AK38=AI$5,AJ$6&gt;=$D$129),1,0),IF(AI38&amp;AL38=AL$5,4,0),IF(AND(AI38=AI$5,AJ$6&lt;=$D$104),-0.5,0),IF(AND(AJ38=AI$5,AJ$6&lt;=$D$104),-0.5,0),IF(AND(AK38=AI$5,AJ$6&lt;=$D$104),-0.5,0))</f>
        <v/>
      </c>
      <c r="AN38" s="145" t="n">
        <v>8</v>
      </c>
      <c r="AO38" s="146" t="n">
        <v>9</v>
      </c>
      <c r="AP38" s="146" t="n">
        <v>12</v>
      </c>
      <c r="AQ38" s="146" t="n"/>
      <c r="AR38" s="602">
        <f>SUM(IF(AN38=AN$5,4,0),IF(AN38&amp;AO38=AN$5&amp;AO$5,1,0),
IF(AND(AN38=AN$5,AO$6&gt;=$D$115),1,0),
IF(AND(AO38=AN$5,AO$6&gt;=$D$115),1,0),
IF(AND(AP38=AN$5,AO$6&gt;=$D$115),1,0),
IF(AN38&amp;AQ38=AR$5,1,0),
IF(AO38=AN$5,2,0),
IF(AP38=AN$5,1,0),
IF(OR(AN38&amp;AO38&amp;AP38=AN$5&amp;AO$5&amp;AP$5,AN38&amp;AO38&amp;AP38=AN$5&amp;AP$5&amp;AO$5,AN38&amp;AO38&amp;AP38=AO$5&amp;AN$5&amp;AP$5,AN38&amp;AO38&amp;AP38=AO$5&amp;AP$5&amp;AN$5,AN38&amp;AO38&amp;AP38=AP$5&amp;AN$5&amp;AO$5,AN38&amp;AO38&amp;AP38=AP$5&amp;AO$5&amp;AN$5),2,0),IF(AND(AN38=AN$5,AO$6&gt;=$D$129),1,0),IF(AND(AO38=AN$5,AO$6&gt;=$D$129),1,0),IF(AND(AP38=AN$5,AO$6&gt;=$D$129),1,0),IF(AN38&amp;AQ38=AQ$5,4,0),IF(AND(AN38=AN$5,AO$6&lt;=$D$104),-0.5,0),IF(AND(AO38=AN$5,AO$6&lt;=$D$104),-0.5,0),IF(AND(AP38=AN$5,AO$6&lt;=$D$104),-0.5,0))</f>
        <v/>
      </c>
      <c r="AS38" s="145" t="n">
        <v>1</v>
      </c>
      <c r="AT38" s="146" t="n">
        <v>7</v>
      </c>
      <c r="AU38" s="146" t="n">
        <v>2</v>
      </c>
      <c r="AV38" s="146" t="inlineStr">
        <is>
          <t>F</t>
        </is>
      </c>
      <c r="AW38" s="602">
        <f>SUM(IF(AS38=AS$5,4,0),IF(AS38&amp;AT38=AS$5&amp;AT$5,1,0),
IF(AND(AS38=AS$5,AT$6&gt;=$D$115),1,0),
IF(AND(AT38=AS$5,AT$6&gt;=$D$115),1,0),
IF(AND(AU38=AS$5,AT$6&gt;=$D$115),1,0),
IF(AS38&amp;AV38=AW$5,1,0),
IF(AT38=AS$5,2,0),
IF(AU38=AS$5,1,0),
IF(OR(AS38&amp;AT38&amp;AU38=AS$5&amp;AT$5&amp;AU$5,AS38&amp;AT38&amp;AU38=AS$5&amp;AU$5&amp;AT$5,AS38&amp;AT38&amp;AU38=AT$5&amp;AS$5&amp;AU$5,AS38&amp;AT38&amp;AU38=AT$5&amp;AU$5&amp;AS$5,AS38&amp;AT38&amp;AU38=AU$5&amp;AS$5&amp;AT$5,AS38&amp;AT38&amp;AU38=AU$5&amp;AT$5&amp;AS$5),2,0),IF(AND(AS38=AS$5,AT$6&gt;=$D$129),1,0),IF(AND(AT38=AS$5,AT$6&gt;=$D$129),1,0),IF(AND(AU38=AS$5,AT$6&gt;=$D$129),1,0),IF(AS38&amp;AV38=AV$5,4,0),IF(AND(AS38=AS$5,AT$6&lt;=$D$104),-0.5,0),IF(AND(AT38=AS$5,AT$6&lt;=$D$104),-0.5,0),IF(AND(AU38=AS$5,AT$6&lt;=$D$104),-0.5,0))</f>
        <v/>
      </c>
      <c r="AX38" s="145" t="n">
        <v>9</v>
      </c>
      <c r="AY38" s="146" t="n">
        <v>1</v>
      </c>
      <c r="AZ38" s="146" t="n">
        <v>8</v>
      </c>
      <c r="BA38" s="146" t="n"/>
      <c r="BB38" s="602">
        <f>SUM(IF(AX38=AX$5,4,0),IF(AX38&amp;AY38=AX$5&amp;AY$5,1,0),
IF(AND(AX38=AX$5,AY$6&gt;=$D$115),1,0),
IF(AND(AY38=AX$5,AY$6&gt;=$D$115),1,0),
IF(AND(AZ38=AX$5,AY$6&gt;=$D$115),1,0),
IF(AX38&amp;BA38=BB$5,1,0),
IF(AY38=AX$5,2,0),
IF(AZ38=AX$5,1,0),
IF(OR(AX38&amp;AY38&amp;AZ38=AX$5&amp;AY$5&amp;AZ$5,AX38&amp;AY38&amp;AZ38=AX$5&amp;AZ$5&amp;AY$5,AX38&amp;AY38&amp;AZ38=AY$5&amp;AX$5&amp;AZ$5,AX38&amp;AY38&amp;AZ38=AY$5&amp;AZ$5&amp;AX$5,AX38&amp;AY38&amp;AZ38=AZ$5&amp;AX$5&amp;AY$5,AX38&amp;AY38&amp;AZ38=AZ$5&amp;AY$5&amp;AX$5),2,0),IF(AND(AX38=AX$5,AY$6&gt;=$D$129),1,0),IF(AND(AY38=AX$5,AY$6&gt;=$D$129),1,0),IF(AND(AZ38=AX$5,AY$6&gt;=$D$129),1,0),IF(AX38&amp;BA38=BA$5,4,0),IF(AND(AX38=AX$5,AY$6&lt;=$D$104),-0.5,0),IF(AND(AY38=AX$5,AY$6&lt;=$D$104),-0.5,0),IF(AND(AZ38=AX$5,AY$6&lt;=$D$104),-0.5,0))</f>
        <v/>
      </c>
      <c r="BC38" s="145" t="n">
        <v>4</v>
      </c>
      <c r="BD38" s="146" t="n">
        <v>5</v>
      </c>
      <c r="BE38" s="146" t="n">
        <v>3</v>
      </c>
      <c r="BF38" s="146" t="n"/>
      <c r="BG38" s="602">
        <f>SUM(IF(BC38=BC$5,4,0),IF(BC38&amp;BD38=BC$5&amp;BD$5,1,0),
IF(AND(BC38=BC$5,BD$6&gt;=$D$115),1,0),
IF(AND(BD38=BC$5,BD$6&gt;=$D$115),1,0),
IF(AND(BE38=BC$5,BD$6&gt;=$D$115),1,0),
IF(BC38&amp;BF38=BG$5,1,0),
IF(BD38=BC$5,2,0),
IF(BE38=BC$5,1,0),
IF(OR(BC38&amp;BD38&amp;BE38=BC$5&amp;BD$5&amp;BE$5,BC38&amp;BD38&amp;BE38=BC$5&amp;BE$5&amp;BD$5,BC38&amp;BD38&amp;BE38=BD$5&amp;BC$5&amp;BE$5,BC38&amp;BD38&amp;BE38=BD$5&amp;BE$5&amp;BC$5,BC38&amp;BD38&amp;BE38=BE$5&amp;BC$5&amp;BD$5,BC38&amp;BD38&amp;BE38=BE$5&amp;BD$5&amp;BC$5),2,0),IF(AND(BC38=BC$5,BD$6&gt;=$D$129),1,0),IF(AND(BD38=BC$5,BD$6&gt;=$D$129),1,0),IF(AND(BE38=BC$5,BD$6&gt;=$D$129),1,0),IF(BC38&amp;BF38=BF$5,4,0),IF(AND(BC38=BC$5,BD$6&lt;=$D$104),-0.5,0),IF(AND(BD38=BC$5,BD$6&lt;=$D$104),-0.5,0),IF(AND(BE38=BC$5,BD$6&lt;=$D$104),-0.5,0))</f>
        <v/>
      </c>
      <c r="BH38" s="145" t="n">
        <v>2</v>
      </c>
      <c r="BI38" s="146" t="n">
        <v>5</v>
      </c>
      <c r="BJ38" s="146" t="n">
        <v>1</v>
      </c>
      <c r="BK38" s="146" t="n"/>
      <c r="BL38" s="602">
        <f>SUM(IF(BH38=BH$5,4,0),IF(BH38&amp;BI38=BH$5&amp;BI$5,1,0),
IF(AND(BH38=BH$5,BI$6&gt;=$D$115),1,0),
IF(AND(BI38=BH$5,BI$6&gt;=$D$115),1,0),
IF(AND(BJ38=BH$5,BI$6&gt;=$D$115),1,0),
IF(BH38&amp;BK38=BL$5,1,0),
IF(BI38=BH$5,2,0),
IF(BJ38=BH$5,1,0),
IF(OR(BH38&amp;BI38&amp;BJ38=BH$5&amp;BI$5&amp;BJ$5,BH38&amp;BI38&amp;BJ38=BH$5&amp;BJ$5&amp;BI$5,BH38&amp;BI38&amp;BJ38=BI$5&amp;BH$5&amp;BJ$5,BH38&amp;BI38&amp;BJ38=BI$5&amp;BJ$5&amp;BH$5,BH38&amp;BI38&amp;BJ38=BJ$5&amp;BH$5&amp;BI$5,BH38&amp;BI38&amp;BJ38=BJ$5&amp;BI$5&amp;BH$5),2,0),IF(AND(BH38=BH$5,BI$6&gt;=$D$129),1,0),IF(AND(BI38=BH$5,BI$6&gt;=$D$129),1,0),IF(AND(BJ38=BH$5,BI$6&gt;=$D$129),1,0),IF(BH38&amp;BK38=BK$5,4,0),IF(AND(BH38=BH$5,BI$6&lt;=$D$104),-0.5,0),IF(AND(BI38=BH$5,BI$6&lt;=$D$104),-0.5,0),IF(AND(BJ38=BH$5,BI$6&lt;=$D$104),-0.5,0))</f>
        <v/>
      </c>
      <c r="BM38" s="145" t="n">
        <v>12</v>
      </c>
      <c r="BN38" s="146" t="n">
        <v>3</v>
      </c>
      <c r="BO38" s="146" t="n">
        <v>1</v>
      </c>
      <c r="BP38" s="146" t="n"/>
      <c r="BQ38" s="602">
        <f>SUM(IF(BM38=BM$5,4,0),IF(BM38&amp;BN38=BM$5&amp;BN$5,1,0),
IF(AND(BM38=BM$5,BN$6&gt;=$D$115),1,0),
IF(AND(BN38=BM$5,BN$6&gt;=$D$115),1,0),
IF(AND(BO38=BM$5,BN$6&gt;=$D$115),1,0),
IF(BM38&amp;BP38=BQ$5,1,0),
IF(BN38=BM$5,2,0),
IF(BO38=BM$5,1,0),
IF(OR(BM38&amp;BN38&amp;BO38=BM$5&amp;BN$5&amp;BO$5,BM38&amp;BN38&amp;BO38=BM$5&amp;BO$5&amp;BN$5,BM38&amp;BN38&amp;BO38=BN$5&amp;BM$5&amp;BO$5,BM38&amp;BN38&amp;BO38=BN$5&amp;BO$5&amp;BM$5,BM38&amp;BN38&amp;BO38=BO$5&amp;BM$5&amp;BN$5,BM38&amp;BN38&amp;BO38=BO$5&amp;BN$5&amp;BM$5),2,0),IF(AND(BM38=BM$5,BN$6&gt;=$D$129),1,0),IF(AND(BN38=BM$5,BN$6&gt;=$D$129),1,0),IF(AND(BO38=BM$5,BN$6&gt;=$D$129),1,0),IF(BM38&amp;BP38=BP$5,4,0),IF(AND(BM38=BM$5,BN$6&lt;=$D$104),-0.5,0),IF(AND(BN38=BM$5,BN$6&lt;=$D$104),-0.5,0),IF(AND(BO38=BM$5,BN$6&lt;=$D$104),-0.5,0))</f>
        <v/>
      </c>
      <c r="BR38" s="145" t="n"/>
      <c r="BS38" s="146" t="n"/>
      <c r="BT38" s="146" t="n"/>
      <c r="BU38" s="146" t="n"/>
      <c r="BV38" s="602">
        <f>SUM(IF(BR38=BR$5,4,0),IF(BR38&amp;BS38=BR$5&amp;BS$5,1,0),
IF(AND(BR38=BR$5,BS$6&gt;=$D$115),1,0),
IF(AND(BS38=BR$5,BS$6&gt;=$D$115),1,0),
IF(AND(BT38=BR$5,BS$6&gt;=$D$115),1,0),
IF(BR38&amp;BU38=BV$5,1,0),
IF(BS38=BR$5,2,0),
IF(BT38=BR$5,1,0),
IF(OR(BR38&amp;BS38&amp;BT38=BR$5&amp;BS$5&amp;BT$5,BR38&amp;BS38&amp;BT38=BR$5&amp;BT$5&amp;BS$5,BR38&amp;BS38&amp;BT38=BS$5&amp;BR$5&amp;BT$5,BR38&amp;BS38&amp;BT38=BS$5&amp;BT$5&amp;BR$5,BR38&amp;BS38&amp;BT38=BT$5&amp;BR$5&amp;BS$5,BR38&amp;BS38&amp;BT38=BT$5&amp;BS$5&amp;BR$5),2,0),IF(AND(BR38=BR$5,BS$6&gt;=$D$129),1,0),IF(AND(BS38=BR$5,BS$6&gt;=$D$129),1,0),IF(AND(BT38=BR$5,BS$6&gt;=$D$129),1,0),IF(BR38&amp;BU38=BU$5,4,0),IF(AND(BR38=BR$5,BS$6&lt;=$D$104),-0.5,0),IF(AND(BS38=BR$5,BS$6&lt;=$D$104),-0.5,0),IF(AND(BT38=BR$5,BS$6&lt;=$D$104),-0.5,0))</f>
        <v/>
      </c>
      <c r="BW38" s="145" t="n"/>
      <c r="BX38" s="146" t="n"/>
      <c r="BY38" s="146" t="n"/>
      <c r="BZ38" s="146" t="n"/>
      <c r="CA38" s="602">
        <f>SUM(IF(BW38=BW$5,4,0),IF(BW38&amp;BX38=BW$5&amp;BX$5,1,0),
IF(AND(BW38=BW$5,BX$6&gt;=$D$115),1,0),
IF(AND(BX38=BW$5,BX$6&gt;=$D$115),1,0),
IF(AND(BY38=BW$5,BX$6&gt;=$D$115),1,0),
IF(BW38&amp;BZ38=CA$5,1,0),
IF(BX38=BW$5,2,0),
IF(BY38=BW$5,1,0),
IF(OR(BW38&amp;BX38&amp;BY38=BW$5&amp;BX$5&amp;BY$5,BW38&amp;BX38&amp;BY38=BW$5&amp;BY$5&amp;BX$5,BW38&amp;BX38&amp;BY38=BX$5&amp;BW$5&amp;BY$5,BW38&amp;BX38&amp;BY38=BX$5&amp;BY$5&amp;BW$5,BW38&amp;BX38&amp;BY38=BY$5&amp;BW$5&amp;BX$5,BW38&amp;BX38&amp;BY38=BY$5&amp;BX$5&amp;BW$5),2,0),IF(AND(BW38=BW$5,BX$6&gt;=$D$129),1,0),IF(AND(BX38=BW$5,BX$6&gt;=$D$129),1,0),IF(AND(BY38=BW$5,BX$6&gt;=$D$129),1,0),IF(BW38&amp;BZ38=BZ$5,4,0),IF(AND(BW38=BW$5,BX$6&lt;=$D$104),-0.5,0),IF(AND(BX38=BW$5,BX$6&lt;=$D$104),-0.5,0),IF(AND(BY38=BW$5,BX$6&lt;=$D$104),-0.5,0))</f>
        <v/>
      </c>
      <c r="CB38" s="145" t="n"/>
      <c r="CC38" s="146" t="n"/>
      <c r="CD38" s="146" t="n"/>
      <c r="CE38" s="146" t="n"/>
      <c r="CF38" s="602">
        <f>SUM(IF(CB38=CB$5,4,0),IF(CB38&amp;CC38=CB$5&amp;CC$5,1,0),
IF(AND(CB38=CB$5,CC$6&gt;=$D$115),1,0),
IF(AND(CC38=CB$5,CC$6&gt;=$D$115),1,0),
IF(AND(CD38=CB$5,CC$6&gt;=$D$115),1,0),
IF(CB38&amp;CE38=CF$5,1,0),
IF(CC38=CB$5,2,0),
IF(CD38=CB$5,1,0),
IF(OR(CB38&amp;CC38&amp;CD38=CB$5&amp;CC$5&amp;CD$5,CB38&amp;CC38&amp;CD38=CB$5&amp;CD$5&amp;CC$5,CB38&amp;CC38&amp;CD38=CC$5&amp;CB$5&amp;CD$5,CB38&amp;CC38&amp;CD38=CC$5&amp;CD$5&amp;CB$5,CB38&amp;CC38&amp;CD38=CD$5&amp;CB$5&amp;CC$5,CB38&amp;CC38&amp;CD38=CD$5&amp;CC$5&amp;CB$5),2,0),IF(AND(CB38=CB$5,CC$6&gt;=$D$129),1,0),IF(AND(CC38=CB$5,CC$6&gt;=$D$129),1,0),IF(AND(CD38=CB$5,CC$6&gt;=$D$129),1,0),IF(CB38&amp;CE38=CE$5,4,0),IF(AND(CB38=CB$5,CC$6&lt;=$D$104),-0.5,0),IF(AND(CC38=CB$5,CC$6&lt;=$D$104),-0.5,0),IF(AND(CD38=CB$5,CC$6&lt;=$D$104),-0.5,0))</f>
        <v/>
      </c>
      <c r="CG38" s="164">
        <f>IF(BASE01[[#This Row],[1]]="",0,$B$4)</f>
        <v/>
      </c>
      <c r="CH38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8" s="166">
        <f>IF(BASE01[[#This Row],[Columna14]]=0,0,(CH38/CG38))</f>
        <v/>
      </c>
      <c r="CJ38" s="165">
        <f>IF(BASE01[[#This Row],[1]]="",0,$B$4)</f>
        <v/>
      </c>
      <c r="CK38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8" s="166">
        <f>IF(BASE01[[#This Row],[Columna14]]=0,0,(CK38/CJ38))</f>
        <v/>
      </c>
      <c r="CM38" s="164">
        <f>IF(BASE01[[#This Row],[1]]="",0,$B$4)</f>
        <v/>
      </c>
      <c r="CN38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8" s="166">
        <f>IF(BASE01[[#This Row],[Columna14]]=0,0,(CN38/CM38))</f>
        <v/>
      </c>
      <c r="CP38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8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Row],[Columna25]],$AX$5,BA38,"SF")+COUNTIFS(BASE01[[#This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8" s="166">
        <f>IF(BASE01[[#This Row],[Columna14]]=0,0,(CQ38/CP38))</f>
        <v/>
      </c>
      <c r="CS38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8" s="95" t="n"/>
      <c r="CU38" s="604">
        <f>SUM(CS38,CT38)</f>
        <v/>
      </c>
      <c r="CV38" s="96">
        <f>IF(BASE01[[#This Row],[TIPO]]="PREMIO",$O$3,"0,00")</f>
        <v/>
      </c>
      <c r="CW38" s="576" t="n"/>
      <c r="CY38" s="606">
        <f>IF(CZ38="","",$CZ$25)</f>
        <v/>
      </c>
      <c r="CZ38" s="392" t="n"/>
      <c r="DA38" s="392">
        <f t="array" ref="DA38">IF(CZ38="", "", IF((INDEX(E$8:CE$57, MATCH(CZ38, C$8:C$57, 0), ($CZ$25-1)*5 + 1) &amp; "") = (INDEX(E$5:CE$5, 1, ($CZ$25-1)*5 + 1) &amp; ""), 1, IF((INDEX(E$8:CE$57, MATCH(CZ38, C$8:C$57, 0), ($CZ$25-1)*5 + 2) &amp; "") = (INDEX(E$5:CE$5, 1, ($CZ$25-1)*5 + 1) &amp; ""), 2, IF((INDEX(E$8:CE$57, MATCH(CZ38, C$8:C$57, 0), ($CZ$25-1)*5 + 3) &amp; "") = (INDEX(E$5:CE$5, 1, ($CZ$25-1)*5 + 1) &amp; ""), 3, ""))))</f>
        <v/>
      </c>
      <c r="DB38" s="605">
        <f>BASE01[[#This Row],[COD]]</f>
        <v/>
      </c>
      <c r="DC38" s="395">
        <f t="array" ref="DC38">IFERROR(IF(AND(INDEX($E$8:$CE$57, MATCH($C38, $C$8:$C$57, 0), (COLUMNS($DC38:DC38)-1)*5 + 1) = INDEX($E$5:$CE$5, 1, (COLUMNS($DC38:DC38)-1)*5 + 1), INDEX($E$8:$CE$57, MATCH($C38, $C$8:$C$57, 0), (COLUMNS($DC38:DC38)-1)*5 + 4) = "F"), INDEX($CZ$8:$CZ$23, COLUMNS($DC38:DC38)), "0"), "")</f>
        <v/>
      </c>
      <c r="DD38" s="395">
        <f t="array" ref="DD38">IFERROR(IF(AND(INDEX($E$8:$CE$57, MATCH($C38, $C$8:$C$57, 0), (COLUMNS($DC38:DD38)-1)*5 + 1) = INDEX($E$5:$CE$5, 1, (COLUMNS($DC38:DD38)-1)*5 + 1), INDEX($E$8:$CE$57, MATCH($C38, $C$8:$C$57, 0), (COLUMNS($DC38:DD38)-1)*5 + 4) = "F"), INDEX($CZ$8:$CZ$23, COLUMNS($DC38:DD38)), "0"), "")</f>
        <v/>
      </c>
      <c r="DE38" s="395">
        <f t="array" ref="DE38">IFERROR(IF(AND(INDEX($E$8:$CE$57, MATCH($C38, $C$8:$C$57, 0), (COLUMNS($DC38:DE38)-1)*5 + 1) = INDEX($E$5:$CE$5, 1, (COLUMNS($DC38:DE38)-1)*5 + 1), INDEX($E$8:$CE$57, MATCH($C38, $C$8:$C$57, 0), (COLUMNS($DC38:DE38)-1)*5 + 4) = "F"), INDEX($CZ$8:$CZ$23, COLUMNS($DC38:DE38)), "0"), "")</f>
        <v/>
      </c>
      <c r="DF38" s="395">
        <f t="array" ref="DF38">IFERROR(IF(AND(INDEX($E$8:$CE$57, MATCH($C38, $C$8:$C$57, 0), (COLUMNS($DC38:DF38)-1)*5 + 1) = INDEX($E$5:$CE$5, 1, (COLUMNS($DC38:DF38)-1)*5 + 1), INDEX($E$8:$CE$57, MATCH($C38, $C$8:$C$57, 0), (COLUMNS($DC38:DF38)-1)*5 + 4) = "F"), INDEX($CZ$8:$CZ$23, COLUMNS($DC38:DF38)), "0"), "")</f>
        <v/>
      </c>
      <c r="DG38" s="395">
        <f t="array" ref="DG38">IFERROR(IF(AND(INDEX($E$8:$CE$57, MATCH($C38, $C$8:$C$57, 0), (COLUMNS($DC38:DG38)-1)*5 + 1) = INDEX($E$5:$CE$5, 1, (COLUMNS($DC38:DG38)-1)*5 + 1), INDEX($E$8:$CE$57, MATCH($C38, $C$8:$C$57, 0), (COLUMNS($DC38:DG38)-1)*5 + 4) = "F"), INDEX($CZ$8:$CZ$23, COLUMNS($DC38:DG38)), "0"), "")</f>
        <v/>
      </c>
      <c r="DH38" s="395">
        <f t="array" ref="DH38">IFERROR(IF(AND(INDEX($E$8:$CE$57, MATCH($C38, $C$8:$C$57, 0), (COLUMNS($DC38:DH38)-1)*5 + 1) = INDEX($E$5:$CE$5, 1, (COLUMNS($DC38:DH38)-1)*5 + 1), INDEX($E$8:$CE$57, MATCH($C38, $C$8:$C$57, 0), (COLUMNS($DC38:DH38)-1)*5 + 4) = "F"), INDEX($CZ$8:$CZ$23, COLUMNS($DC38:DH38)), "0"), "")</f>
        <v/>
      </c>
      <c r="DI38" s="395">
        <f t="array" ref="DI38">IFERROR(IF(AND(INDEX($E$8:$CE$57, MATCH($C38, $C$8:$C$57, 0), (COLUMNS($DC38:DI38)-1)*5 + 1) = INDEX($E$5:$CE$5, 1, (COLUMNS($DC38:DI38)-1)*5 + 1), INDEX($E$8:$CE$57, MATCH($C38, $C$8:$C$57, 0), (COLUMNS($DC38:DI38)-1)*5 + 4) = "F"), INDEX($CZ$8:$CZ$23, COLUMNS($DC38:DI38)), "0"), "")</f>
        <v/>
      </c>
      <c r="DJ38" s="395">
        <f t="array" ref="DJ38">IFERROR(IF(AND(INDEX($E$8:$CE$57, MATCH($C38, $C$8:$C$57, 0), (COLUMNS($DC38:DJ38)-1)*5 + 1) = INDEX($E$5:$CE$5, 1, (COLUMNS($DC38:DJ38)-1)*5 + 1), INDEX($E$8:$CE$57, MATCH($C38, $C$8:$C$57, 0), (COLUMNS($DC38:DJ38)-1)*5 + 4) = "F"), INDEX($CZ$8:$CZ$23, COLUMNS($DC38:DJ38)), "0"), "")</f>
        <v/>
      </c>
      <c r="DK38" s="395">
        <f t="array" ref="DK38">IFERROR(IF(AND(INDEX($E$8:$CE$57, MATCH($C38, $C$8:$C$57, 0), (COLUMNS($DC38:DK38)-1)*5 + 1) = INDEX($E$5:$CE$5, 1, (COLUMNS($DC38:DK38)-1)*5 + 1), INDEX($E$8:$CE$57, MATCH($C38, $C$8:$C$57, 0), (COLUMNS($DC38:DK38)-1)*5 + 4) = "F"), INDEX($CZ$8:$CZ$23, COLUMNS($DC38:DK38)), "0"), "")</f>
        <v/>
      </c>
      <c r="DL38" s="395">
        <f t="array" ref="DL38">IFERROR(IF(AND(INDEX($E$8:$CE$57, MATCH($C38, $C$8:$C$57, 0), (COLUMNS($DC38:DL38)-1)*5 + 1) = INDEX($E$5:$CE$5, 1, (COLUMNS($DC38:DL38)-1)*5 + 1), INDEX($E$8:$CE$57, MATCH($C38, $C$8:$C$57, 0), (COLUMNS($DC38:DL38)-1)*5 + 4) = "F"), INDEX($CZ$8:$CZ$23, COLUMNS($DC38:DL38)), "0"), "")</f>
        <v/>
      </c>
      <c r="DM38" s="395">
        <f t="array" ref="DM38">IFERROR(IF(AND(INDEX($E$8:$CE$57, MATCH($C38, $C$8:$C$57, 0), (COLUMNS($DC38:DM38)-1)*5 + 1) = INDEX($E$5:$CE$5, 1, (COLUMNS($DC38:DM38)-1)*5 + 1), INDEX($E$8:$CE$57, MATCH($C38, $C$8:$C$57, 0), (COLUMNS($DC38:DM38)-1)*5 + 4) = "F"), INDEX($CZ$8:$CZ$23, COLUMNS($DC38:DM38)), "0"), "")</f>
        <v/>
      </c>
      <c r="DN38" s="395">
        <f t="array" ref="DN38">IFERROR(IF(AND(INDEX($E$8:$CE$57, MATCH($C38, $C$8:$C$57, 0), (COLUMNS($DC38:DN38)-1)*5 + 1) = INDEX($E$5:$CE$5, 1, (COLUMNS($DC38:DN38)-1)*5 + 1), INDEX($E$8:$CE$57, MATCH($C38, $C$8:$C$57, 0), (COLUMNS($DC38:DN38)-1)*5 + 4) = "F"), INDEX($CZ$8:$CZ$23, COLUMNS($DC38:DN38)), "0"), "")</f>
        <v/>
      </c>
      <c r="DO38" s="395">
        <f t="array" ref="DO38">IFERROR(IF(AND(INDEX($E$8:$CE$57, MATCH($C38, $C$8:$C$57, 0), (COLUMNS($DC38:DO38)-1)*5 + 1) = INDEX($E$5:$CE$5, 1, (COLUMNS($DC38:DO38)-1)*5 + 1), INDEX($E$8:$CE$57, MATCH($C38, $C$8:$C$57, 0), (COLUMNS($DC38:DO38)-1)*5 + 4) = "F"), INDEX($CZ$8:$CZ$23, COLUMNS($DC38:DO38)), "0"), "")</f>
        <v/>
      </c>
      <c r="DP38" s="395">
        <f t="array" ref="DP38">IFERROR(IF(AND(INDEX($E$8:$CE$57, MATCH($C38, $C$8:$C$57, 0), (COLUMNS($DC38:DP38)-1)*5 + 1) = INDEX($E$5:$CE$5, 1, (COLUMNS($DC38:DP38)-1)*5 + 1), INDEX($E$8:$CE$57, MATCH($C38, $C$8:$C$57, 0), (COLUMNS($DC38:DP38)-1)*5 + 4) = "F"), INDEX($CZ$8:$CZ$23, COLUMNS($DC38:DP38)), "0"), "")</f>
        <v/>
      </c>
      <c r="DQ38" s="395">
        <f t="array" ref="DQ38">IFERROR(IF(AND(INDEX($E$8:$CE$57, MATCH($C38, $C$8:$C$57, 0), (COLUMNS($DC38:DQ38)-1)*5 + 1) = INDEX($E$5:$CE$5, 1, (COLUMNS($DC38:DQ38)-1)*5 + 1), INDEX($E$8:$CE$57, MATCH($C38, $C$8:$C$57, 0), (COLUMNS($DC38:DQ38)-1)*5 + 4) = "F"), INDEX($CZ$8:$CZ$23, COLUMNS($DC38:DQ38)), "0"), "")</f>
        <v/>
      </c>
      <c r="DR38" s="395">
        <f t="array" ref="DR38">IFERROR(IF(AND(INDEX($E$8:$CE$57, MATCH($C38, $C$8:$C$57, 0), (COLUMNS($DC38:DR38)-1)*5 + 1) = INDEX($E$5:$CE$5, 1, (COLUMNS($DC38:DR38)-1)*5 + 1), INDEX($E$8:$CE$57, MATCH($C38, $C$8:$C$57, 0), (COLUMNS($DC38:DR38)-1)*5 + 4) = "F"), INDEX($CZ$8:$CZ$23, COLUMNS($DC38:DR38)), "0"), "")</f>
        <v/>
      </c>
      <c r="DT38" s="605">
        <f>BASE01[[#This Row],[COD]]</f>
        <v/>
      </c>
      <c r="DU38" s="395">
        <f t="array" ref="DU38">IFERROR(IF(AND(INDEX($E$8:$CE$57, MATCH($C38, $C$8:$C$57, 0), (COLUMNS($DU38:DU38)-1)*5 + 1) = INDEX($E$5:$CE$5, 1, (COLUMNS($DU38:DU38)-1)*5 + 1), INDEX($E$8:$CE$57, MATCH($C38, $C$8:$C$57, 0), (COLUMNS($DU38:DU38)-1)*5 + 4) = "SF"), INDEX($CZ$8:$CZ$23, COLUMNS($DU38:DU38)), "0"), "")</f>
        <v/>
      </c>
      <c r="DV38" s="395">
        <f t="array" ref="DV38">IFERROR(IF(AND(INDEX($E$8:$CE$57, MATCH($C38, $C$8:$C$57, 0), (COLUMNS($DU38:DV38)-1)*5 + 1) = INDEX($E$5:$CE$5, 1, (COLUMNS($DU38:DV38)-1)*5 + 1), INDEX($E$8:$CE$57, MATCH($C38, $C$8:$C$57, 0), (COLUMNS($DU38:DV38)-1)*5 + 4) = "SF"), INDEX($CZ$8:$CZ$23, COLUMNS($DU38:DV38)), "0"), "")</f>
        <v/>
      </c>
      <c r="DW38" s="395">
        <f t="array" ref="DW38">IFERROR(IF(AND(INDEX($E$8:$CE$57, MATCH($C38, $C$8:$C$57, 0), (COLUMNS($DU38:DW38)-1)*5 + 1) = INDEX($E$5:$CE$5, 1, (COLUMNS($DU38:DW38)-1)*5 + 1), INDEX($E$8:$CE$57, MATCH($C38, $C$8:$C$57, 0), (COLUMNS($DU38:DW38)-1)*5 + 4) = "SF"), INDEX($CZ$8:$CZ$23, COLUMNS($DU38:DW38)), "0"), "")</f>
        <v/>
      </c>
      <c r="DX38" s="395">
        <f t="array" ref="DX38">IFERROR(IF(AND(INDEX($E$8:$CE$57, MATCH($C38, $C$8:$C$57, 0), (COLUMNS($DU38:DX38)-1)*5 + 1) = INDEX($E$5:$CE$5, 1, (COLUMNS($DU38:DX38)-1)*5 + 1), INDEX($E$8:$CE$57, MATCH($C38, $C$8:$C$57, 0), (COLUMNS($DU38:DX38)-1)*5 + 4) = "SF"), INDEX($CZ$8:$CZ$23, COLUMNS($DU38:DX38)), "0"), "")</f>
        <v/>
      </c>
      <c r="DY38" s="395">
        <f t="array" ref="DY38">IFERROR(IF(AND(INDEX($E$8:$CE$57, MATCH($C38, $C$8:$C$57, 0), (COLUMNS($DU38:DY38)-1)*5 + 1) = INDEX($E$5:$CE$5, 1, (COLUMNS($DU38:DY38)-1)*5 + 1), INDEX($E$8:$CE$57, MATCH($C38, $C$8:$C$57, 0), (COLUMNS($DU38:DY38)-1)*5 + 4) = "SF"), INDEX($CZ$8:$CZ$23, COLUMNS($DU38:DY38)), "0"), "")</f>
        <v/>
      </c>
      <c r="DZ38" s="395">
        <f t="array" ref="DZ38">IFERROR(IF(AND(INDEX($E$8:$CE$57, MATCH($C38, $C$8:$C$57, 0), (COLUMNS($DU38:DZ38)-1)*5 + 1) = INDEX($E$5:$CE$5, 1, (COLUMNS($DU38:DZ38)-1)*5 + 1), INDEX($E$8:$CE$57, MATCH($C38, $C$8:$C$57, 0), (COLUMNS($DU38:DZ38)-1)*5 + 4) = "SF"), INDEX($CZ$8:$CZ$23, COLUMNS($DU38:DZ38)), "0"), "")</f>
        <v/>
      </c>
      <c r="EA38" s="395">
        <f t="array" ref="EA38">IFERROR(IF(AND(INDEX($E$8:$CE$57, MATCH($C38, $C$8:$C$57, 0), (COLUMNS($DU38:EA38)-1)*5 + 1) = INDEX($E$5:$CE$5, 1, (COLUMNS($DU38:EA38)-1)*5 + 1), INDEX($E$8:$CE$57, MATCH($C38, $C$8:$C$57, 0), (COLUMNS($DU38:EA38)-1)*5 + 4) = "SF"), INDEX($CZ$8:$CZ$23, COLUMNS($DU38:EA38)), "0"), "")</f>
        <v/>
      </c>
      <c r="EB38" s="395">
        <f t="array" ref="EB38">IFERROR(IF(AND(INDEX($E$8:$CE$57, MATCH($C38, $C$8:$C$57, 0), (COLUMNS($DU38:EB38)-1)*5 + 1) = INDEX($E$5:$CE$5, 1, (COLUMNS($DU38:EB38)-1)*5 + 1), INDEX($E$8:$CE$57, MATCH($C38, $C$8:$C$57, 0), (COLUMNS($DU38:EB38)-1)*5 + 4) = "SF"), INDEX($CZ$8:$CZ$23, COLUMNS($DU38:EB38)), "0"), "")</f>
        <v/>
      </c>
      <c r="EC38" s="395">
        <f t="array" ref="EC38">IFERROR(IF(AND(INDEX($E$8:$CE$57, MATCH($C38, $C$8:$C$57, 0), (COLUMNS($DU38:EC38)-1)*5 + 1) = INDEX($E$5:$CE$5, 1, (COLUMNS($DU38:EC38)-1)*5 + 1), INDEX($E$8:$CE$57, MATCH($C38, $C$8:$C$57, 0), (COLUMNS($DU38:EC38)-1)*5 + 4) = "SF"), INDEX($CZ$8:$CZ$23, COLUMNS($DU38:EC38)), "0"), "")</f>
        <v/>
      </c>
      <c r="ED38" s="395">
        <f t="array" ref="ED38">IFERROR(IF(AND(INDEX($E$8:$CE$57, MATCH($C38, $C$8:$C$57, 0), (COLUMNS($DU38:ED38)-1)*5 + 1) = INDEX($E$5:$CE$5, 1, (COLUMNS($DU38:ED38)-1)*5 + 1), INDEX($E$8:$CE$57, MATCH($C38, $C$8:$C$57, 0), (COLUMNS($DU38:ED38)-1)*5 + 4) = "SF"), INDEX($CZ$8:$CZ$23, COLUMNS($DU38:ED38)), "0"), "")</f>
        <v/>
      </c>
      <c r="EE38" s="395">
        <f t="array" ref="EE38">IFERROR(IF(AND(INDEX($E$8:$CE$57, MATCH($C38, $C$8:$C$57, 0), (COLUMNS($DU38:EE38)-1)*5 + 1) = INDEX($E$5:$CE$5, 1, (COLUMNS($DU38:EE38)-1)*5 + 1), INDEX($E$8:$CE$57, MATCH($C38, $C$8:$C$57, 0), (COLUMNS($DU38:EE38)-1)*5 + 4) = "SF"), INDEX($CZ$8:$CZ$23, COLUMNS($DU38:EE38)), "0"), "")</f>
        <v/>
      </c>
      <c r="EF38" s="395">
        <f t="array" ref="EF38">IFERROR(IF(AND(INDEX($E$8:$CE$57, MATCH($C38, $C$8:$C$57, 0), (COLUMNS($DU38:EF38)-1)*5 + 1) = INDEX($E$5:$CE$5, 1, (COLUMNS($DU38:EF38)-1)*5 + 1), INDEX($E$8:$CE$57, MATCH($C38, $C$8:$C$57, 0), (COLUMNS($DU38:EF38)-1)*5 + 4) = "SF"), INDEX($CZ$8:$CZ$23, COLUMNS($DU38:EF38)), "0"), "")</f>
        <v/>
      </c>
      <c r="EG38" s="395">
        <f t="array" ref="EG38">IFERROR(IF(AND(INDEX($E$8:$CE$57, MATCH($C38, $C$8:$C$57, 0), (COLUMNS($DU38:EG38)-1)*5 + 1) = INDEX($E$5:$CE$5, 1, (COLUMNS($DU38:EG38)-1)*5 + 1), INDEX($E$8:$CE$57, MATCH($C38, $C$8:$C$57, 0), (COLUMNS($DU38:EG38)-1)*5 + 4) = "SF"), INDEX($CZ$8:$CZ$23, COLUMNS($DU38:EG38)), "0"), "")</f>
        <v/>
      </c>
      <c r="EH38" s="395">
        <f t="array" ref="EH38">IFERROR(IF(AND(INDEX($E$8:$CE$57, MATCH($C38, $C$8:$C$57, 0), (COLUMNS($DU38:EH38)-1)*5 + 1) = INDEX($E$5:$CE$5, 1, (COLUMNS($DU38:EH38)-1)*5 + 1), INDEX($E$8:$CE$57, MATCH($C38, $C$8:$C$57, 0), (COLUMNS($DU38:EH38)-1)*5 + 4) = "SF"), INDEX($CZ$8:$CZ$23, COLUMNS($DU38:EH38)), "0"), "")</f>
        <v/>
      </c>
      <c r="EI38" s="395">
        <f t="array" ref="EI38">IFERROR(IF(AND(INDEX($E$8:$CE$57, MATCH($C38, $C$8:$C$57, 0), (COLUMNS($DU38:EI38)-1)*5 + 1) = INDEX($E$5:$CE$5, 1, (COLUMNS($DU38:EI38)-1)*5 + 1), INDEX($E$8:$CE$57, MATCH($C38, $C$8:$C$57, 0), (COLUMNS($DU38:EI38)-1)*5 + 4) = "SF"), INDEX($CZ$8:$CZ$23, COLUMNS($DU38:EI38)), "0"), "")</f>
        <v/>
      </c>
      <c r="EJ38" s="395">
        <f t="array" ref="EJ38">IFERROR(IF(AND(INDEX($E$8:$CE$57, MATCH($C38, $C$8:$C$57, 0), (COLUMNS($DU38:EJ38)-1)*5 + 1) = INDEX($E$5:$CE$5, 1, (COLUMNS($DU38:EJ38)-1)*5 + 1), INDEX($E$8:$CE$57, MATCH($C38, $C$8:$C$57, 0), (COLUMNS($DU38:EJ38)-1)*5 + 4) = "SF"), INDEX($CZ$8:$CZ$23, COLUMNS($DU38:EJ38)), "0"), "")</f>
        <v/>
      </c>
    </row>
    <row r="39" ht="19.5" customHeight="1" s="568">
      <c r="A39" s="576" t="n"/>
      <c r="B39" s="92">
        <f>IF(BASE01[[#This Row],[COD]]&lt;&gt;"",B38+1,"")</f>
        <v/>
      </c>
      <c r="C39" s="601" t="inlineStr">
        <is>
          <t>COD 32</t>
        </is>
      </c>
      <c r="D39" s="93">
        <f t="array" ref="D39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39" s="145" t="n">
        <v>1</v>
      </c>
      <c r="F39" s="146" t="n">
        <v>6</v>
      </c>
      <c r="G39" s="146" t="n">
        <v>8</v>
      </c>
      <c r="H39" s="146" t="n"/>
      <c r="I39" s="602">
        <f>SUM(IF(E39=E$5,4,0),IF(E39&amp;F39=E$5&amp;F$5,1,0),
IF(AND(E39=E$5,F$6&gt;=$D$115),1,0),
IF(AND(F39=E$5,F$6&gt;=$D$115),1,0),
IF(AND(G39=E$5,F$6&gt;=$D$115),1,0),
IF(E39&amp;H39=I$5,1,0),
IF(F39=E$5,2,0),
IF(G39=E$5,1,0),
IF(OR(E39&amp;F39&amp;G39=E$5&amp;F$5&amp;G$5,E39&amp;F39&amp;G39=E$5&amp;G$5&amp;F$5,E39&amp;F39&amp;G39=F$5&amp;E$5&amp;G$5,E39&amp;F39&amp;G39=F$5&amp;G$5&amp;E$5,E39&amp;F39&amp;G39=G$5&amp;E$5&amp;F$5,E39&amp;F39&amp;G39=G$5&amp;F$5&amp;E$5),2,0),IF(AND(E39=E$5,F$6&gt;=$D$129),1,0),IF(AND(F39=E$5,F$6&gt;=$D$129),1,0),IF(AND(G39=E$5,F$6&gt;=$D$129),1,0),IF(E39&amp;H39=H$5,4,0),IF(AND(E39=E$5,F$6&lt;=$D$104),-0.5,0),IF(AND(F39=E$5,F$6&lt;=$D$104),-0.5,0),IF(AND(G39=E$5,F$6&lt;=$D$104),-0.5,0))</f>
        <v/>
      </c>
      <c r="J39" s="145" t="n">
        <v>3</v>
      </c>
      <c r="K39" s="146" t="n">
        <v>8</v>
      </c>
      <c r="L39" s="146" t="n">
        <v>2</v>
      </c>
      <c r="M39" s="146" t="n"/>
      <c r="N39" s="602">
        <f>SUM(IF(J39=J$5,4,0),IF(J39&amp;K39=J$5&amp;K$5,1,0),
IF(AND(J39=J$5,K$6&gt;=$D$115),1,0),
IF(AND(K39=J$5,K$6&gt;=$D$115),1,0),
IF(AND(L39=J$5,K$6&gt;=$D$115),1,0),
IF(J39&amp;M39=N$5,1,0),
IF(K39=J$5,2,0),
IF(L39=J$5,1,0),
IF(OR(J39&amp;K39&amp;L39=J$5&amp;K$5&amp;L$5,J39&amp;K39&amp;L39=J$5&amp;L$5&amp;K$5,J39&amp;K39&amp;L39=K$5&amp;J$5&amp;L$5,J39&amp;K39&amp;L39=K$5&amp;L$5&amp;J$5,J39&amp;K39&amp;L39=L$5&amp;J$5&amp;K$5,J39&amp;K39&amp;L39=L$5&amp;K$5&amp;J$5),2,0),IF(AND(J39=J$5,K$6&gt;=$D$129),1,0),IF(AND(K39=J$5,K$6&gt;=$D$129),1,0),IF(AND(L39=J$5,K$6&gt;=$D$129),1,0),IF(J39&amp;M39=M$5,4,0),IF(AND(J39=J$5,K$6&lt;=$D$104),-0.5,0),IF(AND(K39=J$5,K$6&lt;=$D$104),-0.5,0),IF(AND(L39=J$5,K$6&lt;=$D$104),-0.5,0))</f>
        <v/>
      </c>
      <c r="O39" s="145" t="n">
        <v>3</v>
      </c>
      <c r="P39" s="146" t="n">
        <v>1</v>
      </c>
      <c r="Q39" s="146" t="n">
        <v>8</v>
      </c>
      <c r="R39" s="146" t="n"/>
      <c r="S39" s="602">
        <f>SUM(IF(O39=O$5,4,0),IF(O39&amp;P39=O$5&amp;P$5,1,0),
IF(AND(O39=O$5,P$6&gt;=$D$115),1,0),
IF(AND(P39=O$5,P$6&gt;=$D$115),1,0),
IF(AND(Q39=O$5,P$6&gt;=$D$115),1,0),
IF(O39&amp;R39=S$5,1,0),
IF(P39=O$5,2,0),
IF(Q39=O$5,1,0),
IF(OR(O39&amp;P39&amp;Q39=O$5&amp;P$5&amp;Q$5,O39&amp;P39&amp;Q39=O$5&amp;Q$5&amp;P$5,O39&amp;P39&amp;Q39=P$5&amp;O$5&amp;Q$5,O39&amp;P39&amp;Q39=P$5&amp;Q$5&amp;O$5,O39&amp;P39&amp;Q39=Q$5&amp;O$5&amp;P$5,O39&amp;P39&amp;Q39=Q$5&amp;P$5&amp;O$5),2,0),IF(AND(O39=O$5,P$6&gt;=$D$129),1,0),IF(AND(P39=O$5,P$6&gt;=$D$129),1,0),IF(AND(Q39=O$5,P$6&gt;=$D$129),1,0),IF(O39&amp;R39=R$5,4,0),IF(AND(O39=O$5,P$6&lt;=$D$104),-0.5,0),IF(AND(P39=O$5,P$6&lt;=$D$104),-0.5,0),IF(AND(Q39=O$5,P$6&lt;=$D$104),-0.5,0))</f>
        <v/>
      </c>
      <c r="T39" s="145" t="n">
        <v>6</v>
      </c>
      <c r="U39" s="146" t="n">
        <v>9</v>
      </c>
      <c r="V39" s="146" t="n">
        <v>8</v>
      </c>
      <c r="W39" s="146" t="inlineStr">
        <is>
          <t>F</t>
        </is>
      </c>
      <c r="X39" s="602">
        <f>SUM(IF(T39=T$5,4,0),IF(T39&amp;U39=T$5&amp;U$5,1,0),
IF(AND(T39=T$5,U$6&gt;=$D$115),1,0),
IF(AND(U39=T$5,U$6&gt;=$D$115),1,0),
IF(AND(V39=T$5,U$6&gt;=$D$115),1,0),
IF(T39&amp;W39=X$5,1,0),
IF(U39=T$5,2,0),
IF(V39=T$5,1,0),
IF(OR(T39&amp;U39&amp;V39=T$5&amp;U$5&amp;V$5,T39&amp;U39&amp;V39=T$5&amp;V$5&amp;U$5,T39&amp;U39&amp;V39=U$5&amp;T$5&amp;V$5,T39&amp;U39&amp;V39=U$5&amp;V$5&amp;T$5,T39&amp;U39&amp;V39=V$5&amp;T$5&amp;U$5,T39&amp;U39&amp;V39=V$5&amp;U$5&amp;T$5),2,0),IF(AND(T39=T$5,U$6&gt;=$D$129),1,0),IF(AND(U39=T$5,U$6&gt;=$D$129),1,0),IF(AND(V39=T$5,U$6&gt;=$D$129),1,0),IF(T39&amp;W39=W$5,4,0),IF(AND(T39=T$5,U$6&lt;=$D$104),-0.5,0),IF(AND(U39=T$5,U$6&lt;=$D$104),-0.5,0),IF(AND(V39=T$5,U$6&lt;=$D$104),-0.5,0))</f>
        <v/>
      </c>
      <c r="Y39" s="145" t="n">
        <v>5</v>
      </c>
      <c r="Z39" s="146" t="n">
        <v>10</v>
      </c>
      <c r="AA39" s="146" t="n">
        <v>4</v>
      </c>
      <c r="AB39" s="146" t="n"/>
      <c r="AC39" s="602">
        <f>SUM(IF(Y39=Y$5,4,0),IF(Y39&amp;Z39=Y$5&amp;Z$5,1,0),
IF(AND(Y39=Y$5,Z$6&gt;=$D$115),1,0),
IF(AND(Z39=Y$5,Z$6&gt;=$D$115),1,0),
IF(AND(AA39=Y$5,Z$6&gt;=$D$115),1,0),
IF(Y39&amp;AB39=AC$5,1,0),
IF(Z39=Y$5,2,0),
IF(AA39=Y$5,1,0),
IF(OR(Y39&amp;Z39&amp;AA39=Y$5&amp;Z$5&amp;AA$5,Y39&amp;Z39&amp;AA39=Y$5&amp;AA$5&amp;Z$5,Y39&amp;Z39&amp;AA39=Z$5&amp;Y$5&amp;AA$5,Y39&amp;Z39&amp;AA39=Z$5&amp;AA$5&amp;Y$5,Y39&amp;Z39&amp;AA39=AA$5&amp;Y$5&amp;Z$5,Y39&amp;Z39&amp;AA39=AA$5&amp;Z$5&amp;Y$5),2,0),IF(AND(Y39=Y$5,Z$6&gt;=$D$129),1,0),IF(AND(Z39=Y$5,Z$6&gt;=$D$129),1,0),IF(AND(AA39=Y$5,Z$6&gt;=$D$129),1,0),IF(Y39&amp;AB39=AB$5,4,0),IF(AND(Y39=Y$5,Z$6&lt;=$D$104),-0.5,0),IF(AND(Z39=Y$5,Z$6&lt;=$D$104),-0.5,0),IF(AND(AA39=Y$5,Z$6&lt;=$D$104),-0.5,0))</f>
        <v/>
      </c>
      <c r="AD39" s="145" t="n">
        <v>7</v>
      </c>
      <c r="AE39" s="146" t="n">
        <v>2</v>
      </c>
      <c r="AF39" s="146" t="n">
        <v>3</v>
      </c>
      <c r="AG39" s="146" t="n"/>
      <c r="AH39" s="602">
        <f>SUM(IF(AD39=AD$5,4,0),IF(AD39&amp;AE39=AD$5&amp;AE$5,1,0),
IF(AND(AD39=AD$5,AE$6&gt;=$D$115),1,0),
IF(AND(AE39=AD$5,AE$6&gt;=$D$115),1,0),
IF(AND(AF39=AD$5,AE$6&gt;=$D$115),1,0),
IF(AD39&amp;AG39=AH$5,1,0),
IF(AE39=AD$5,2,0),
IF(AF39=AD$5,1,0),
IF(OR(AD39&amp;AE39&amp;AF39=AD$5&amp;AE$5&amp;AF$5,AD39&amp;AE39&amp;AF39=AD$5&amp;AF$5&amp;AE$5,AD39&amp;AE39&amp;AF39=AE$5&amp;AD$5&amp;AF$5,AD39&amp;AE39&amp;AF39=AE$5&amp;AF$5&amp;AD$5,AD39&amp;AE39&amp;AF39=AF$5&amp;AD$5&amp;AE$5,AD39&amp;AE39&amp;AF39=AF$5&amp;AE$5&amp;AD$5),2,0),IF(AND(AD39=AD$5,AE$6&gt;=$D$129),1,0),IF(AND(AE39=AD$5,AE$6&gt;=$D$129),1,0),IF(AND(AF39=AD$5,AE$6&gt;=$D$129),1,0),IF(AD39&amp;AG39=AG$5,4,0),IF(AND(AD39=AD$5,AE$6&lt;=$D$104),-0.5,0),IF(AND(AE39=AD$5,AE$6&lt;=$D$104),-0.5,0),IF(AND(AF39=AD$5,AE$6&lt;=$D$104),-0.5,0))</f>
        <v/>
      </c>
      <c r="AI39" s="145" t="n">
        <v>4</v>
      </c>
      <c r="AJ39" s="146" t="n">
        <v>7</v>
      </c>
      <c r="AK39" s="146" t="n">
        <v>3</v>
      </c>
      <c r="AL39" s="146" t="n"/>
      <c r="AM39" s="602">
        <f>SUM(IF(AI39=AI$5,4,0),IF(AI39&amp;AJ39=AI$5&amp;AJ$5,1,0),
IF(AND(AI39=AI$5,AJ$6&gt;=$D$115),1,0),
IF(AND(AJ39=AI$5,AJ$6&gt;=$D$115),1,0),
IF(AND(AK39=AI$5,AJ$6&gt;=$D$115),1,0),
IF(AI39&amp;AL39=AM$5,1,0),
IF(AJ39=AI$5,2,0),
IF(AK39=AI$5,1,0),
IF(OR(AI39&amp;AJ39&amp;AK39=AI$5&amp;AJ$5&amp;AK$5,AI39&amp;AJ39&amp;AK39=AI$5&amp;AK$5&amp;AJ$5,AI39&amp;AJ39&amp;AK39=AJ$5&amp;AI$5&amp;AK$5,AI39&amp;AJ39&amp;AK39=AJ$5&amp;AK$5&amp;AI$5,AI39&amp;AJ39&amp;AK39=AK$5&amp;AI$5&amp;AJ$5,AI39&amp;AJ39&amp;AK39=AK$5&amp;AJ$5&amp;AI$5),2,0),IF(AND(AI39=AI$5,AJ$6&gt;=$D$129),1,0),IF(AND(AJ39=AI$5,AJ$6&gt;=$D$129),1,0),IF(AND(AK39=AI$5,AJ$6&gt;=$D$129),1,0),IF(AI39&amp;AL39=AL$5,4,0),IF(AND(AI39=AI$5,AJ$6&lt;=$D$104),-0.5,0),IF(AND(AJ39=AI$5,AJ$6&lt;=$D$104),-0.5,0),IF(AND(AK39=AI$5,AJ$6&lt;=$D$104),-0.5,0))</f>
        <v/>
      </c>
      <c r="AN39" s="145" t="n">
        <v>9</v>
      </c>
      <c r="AO39" s="146" t="n">
        <v>8</v>
      </c>
      <c r="AP39" s="146" t="n">
        <v>11</v>
      </c>
      <c r="AQ39" s="146" t="n"/>
      <c r="AR39" s="602">
        <f>SUM(IF(AN39=AN$5,4,0),IF(AN39&amp;AO39=AN$5&amp;AO$5,1,0),
IF(AND(AN39=AN$5,AO$6&gt;=$D$115),1,0),
IF(AND(AO39=AN$5,AO$6&gt;=$D$115),1,0),
IF(AND(AP39=AN$5,AO$6&gt;=$D$115),1,0),
IF(AN39&amp;AQ39=AR$5,1,0),
IF(AO39=AN$5,2,0),
IF(AP39=AN$5,1,0),
IF(OR(AN39&amp;AO39&amp;AP39=AN$5&amp;AO$5&amp;AP$5,AN39&amp;AO39&amp;AP39=AN$5&amp;AP$5&amp;AO$5,AN39&amp;AO39&amp;AP39=AO$5&amp;AN$5&amp;AP$5,AN39&amp;AO39&amp;AP39=AO$5&amp;AP$5&amp;AN$5,AN39&amp;AO39&amp;AP39=AP$5&amp;AN$5&amp;AO$5,AN39&amp;AO39&amp;AP39=AP$5&amp;AO$5&amp;AN$5),2,0),IF(AND(AN39=AN$5,AO$6&gt;=$D$129),1,0),IF(AND(AO39=AN$5,AO$6&gt;=$D$129),1,0),IF(AND(AP39=AN$5,AO$6&gt;=$D$129),1,0),IF(AN39&amp;AQ39=AQ$5,4,0),IF(AND(AN39=AN$5,AO$6&lt;=$D$104),-0.5,0),IF(AND(AO39=AN$5,AO$6&lt;=$D$104),-0.5,0),IF(AND(AP39=AN$5,AO$6&lt;=$D$104),-0.5,0))</f>
        <v/>
      </c>
      <c r="AS39" s="145" t="n">
        <v>1</v>
      </c>
      <c r="AT39" s="146" t="n">
        <v>2</v>
      </c>
      <c r="AU39" s="146" t="n">
        <v>6</v>
      </c>
      <c r="AV39" s="146" t="n"/>
      <c r="AW39" s="602">
        <f>SUM(IF(AS39=AS$5,4,0),IF(AS39&amp;AT39=AS$5&amp;AT$5,1,0),
IF(AND(AS39=AS$5,AT$6&gt;=$D$115),1,0),
IF(AND(AT39=AS$5,AT$6&gt;=$D$115),1,0),
IF(AND(AU39=AS$5,AT$6&gt;=$D$115),1,0),
IF(AS39&amp;AV39=AW$5,1,0),
IF(AT39=AS$5,2,0),
IF(AU39=AS$5,1,0),
IF(OR(AS39&amp;AT39&amp;AU39=AS$5&amp;AT$5&amp;AU$5,AS39&amp;AT39&amp;AU39=AS$5&amp;AU$5&amp;AT$5,AS39&amp;AT39&amp;AU39=AT$5&amp;AS$5&amp;AU$5,AS39&amp;AT39&amp;AU39=AT$5&amp;AU$5&amp;AS$5,AS39&amp;AT39&amp;AU39=AU$5&amp;AS$5&amp;AT$5,AS39&amp;AT39&amp;AU39=AU$5&amp;AT$5&amp;AS$5),2,0),IF(AND(AS39=AS$5,AT$6&gt;=$D$129),1,0),IF(AND(AT39=AS$5,AT$6&gt;=$D$129),1,0),IF(AND(AU39=AS$5,AT$6&gt;=$D$129),1,0),IF(AS39&amp;AV39=AV$5,4,0),IF(AND(AS39=AS$5,AT$6&lt;=$D$104),-0.5,0),IF(AND(AT39=AS$5,AT$6&lt;=$D$104),-0.5,0),IF(AND(AU39=AS$5,AT$6&lt;=$D$104),-0.5,0))</f>
        <v/>
      </c>
      <c r="AX39" s="145" t="n">
        <v>1</v>
      </c>
      <c r="AY39" s="146" t="n">
        <v>9</v>
      </c>
      <c r="AZ39" s="146" t="n">
        <v>8</v>
      </c>
      <c r="BA39" s="146" t="n"/>
      <c r="BB39" s="602">
        <f>SUM(IF(AX39=AX$5,4,0),IF(AX39&amp;AY39=AX$5&amp;AY$5,1,0),
IF(AND(AX39=AX$5,AY$6&gt;=$D$115),1,0),
IF(AND(AY39=AX$5,AY$6&gt;=$D$115),1,0),
IF(AND(AZ39=AX$5,AY$6&gt;=$D$115),1,0),
IF(AX39&amp;BA39=BB$5,1,0),
IF(AY39=AX$5,2,0),
IF(AZ39=AX$5,1,0),
IF(OR(AX39&amp;AY39&amp;AZ39=AX$5&amp;AY$5&amp;AZ$5,AX39&amp;AY39&amp;AZ39=AX$5&amp;AZ$5&amp;AY$5,AX39&amp;AY39&amp;AZ39=AY$5&amp;AX$5&amp;AZ$5,AX39&amp;AY39&amp;AZ39=AY$5&amp;AZ$5&amp;AX$5,AX39&amp;AY39&amp;AZ39=AZ$5&amp;AX$5&amp;AY$5,AX39&amp;AY39&amp;AZ39=AZ$5&amp;AY$5&amp;AX$5),2,0),IF(AND(AX39=AX$5,AY$6&gt;=$D$129),1,0),IF(AND(AY39=AX$5,AY$6&gt;=$D$129),1,0),IF(AND(AZ39=AX$5,AY$6&gt;=$D$129),1,0),IF(AX39&amp;BA39=BA$5,4,0),IF(AND(AX39=AX$5,AY$6&lt;=$D$104),-0.5,0),IF(AND(AY39=AX$5,AY$6&lt;=$D$104),-0.5,0),IF(AND(AZ39=AX$5,AY$6&lt;=$D$104),-0.5,0))</f>
        <v/>
      </c>
      <c r="BC39" s="145" t="n">
        <v>4</v>
      </c>
      <c r="BD39" s="146" t="n"/>
      <c r="BE39" s="146" t="n"/>
      <c r="BF39" s="146" t="inlineStr">
        <is>
          <t>SF</t>
        </is>
      </c>
      <c r="BG39" s="602">
        <f>SUM(IF(BC39=BC$5,4,0),IF(BC39&amp;BD39=BC$5&amp;BD$5,1,0),
IF(AND(BC39=BC$5,BD$6&gt;=$D$115),1,0),
IF(AND(BD39=BC$5,BD$6&gt;=$D$115),1,0),
IF(AND(BE39=BC$5,BD$6&gt;=$D$115),1,0),
IF(BC39&amp;BF39=BG$5,1,0),
IF(BD39=BC$5,2,0),
IF(BE39=BC$5,1,0),
IF(OR(BC39&amp;BD39&amp;BE39=BC$5&amp;BD$5&amp;BE$5,BC39&amp;BD39&amp;BE39=BC$5&amp;BE$5&amp;BD$5,BC39&amp;BD39&amp;BE39=BD$5&amp;BC$5&amp;BE$5,BC39&amp;BD39&amp;BE39=BD$5&amp;BE$5&amp;BC$5,BC39&amp;BD39&amp;BE39=BE$5&amp;BC$5&amp;BD$5,BC39&amp;BD39&amp;BE39=BE$5&amp;BD$5&amp;BC$5),2,0),IF(AND(BC39=BC$5,BD$6&gt;=$D$129),1,0),IF(AND(BD39=BC$5,BD$6&gt;=$D$129),1,0),IF(AND(BE39=BC$5,BD$6&gt;=$D$129),1,0),IF(BC39&amp;BF39=BF$5,4,0),IF(AND(BC39=BC$5,BD$6&lt;=$D$104),-0.5,0),IF(AND(BD39=BC$5,BD$6&lt;=$D$104),-0.5,0),IF(AND(BE39=BC$5,BD$6&lt;=$D$104),-0.5,0))</f>
        <v/>
      </c>
      <c r="BH39" s="145" t="n">
        <v>5</v>
      </c>
      <c r="BI39" s="146" t="n">
        <v>2</v>
      </c>
      <c r="BJ39" s="146" t="n">
        <v>6</v>
      </c>
      <c r="BK39" s="146" t="inlineStr">
        <is>
          <t>F</t>
        </is>
      </c>
      <c r="BL39" s="602">
        <f>SUM(IF(BH39=BH$5,4,0),IF(BH39&amp;BI39=BH$5&amp;BI$5,1,0),
IF(AND(BH39=BH$5,BI$6&gt;=$D$115),1,0),
IF(AND(BI39=BH$5,BI$6&gt;=$D$115),1,0),
IF(AND(BJ39=BH$5,BI$6&gt;=$D$115),1,0),
IF(BH39&amp;BK39=BL$5,1,0),
IF(BI39=BH$5,2,0),
IF(BJ39=BH$5,1,0),
IF(OR(BH39&amp;BI39&amp;BJ39=BH$5&amp;BI$5&amp;BJ$5,BH39&amp;BI39&amp;BJ39=BH$5&amp;BJ$5&amp;BI$5,BH39&amp;BI39&amp;BJ39=BI$5&amp;BH$5&amp;BJ$5,BH39&amp;BI39&amp;BJ39=BI$5&amp;BJ$5&amp;BH$5,BH39&amp;BI39&amp;BJ39=BJ$5&amp;BH$5&amp;BI$5,BH39&amp;BI39&amp;BJ39=BJ$5&amp;BI$5&amp;BH$5),2,0),IF(AND(BH39=BH$5,BI$6&gt;=$D$129),1,0),IF(AND(BI39=BH$5,BI$6&gt;=$D$129),1,0),IF(AND(BJ39=BH$5,BI$6&gt;=$D$129),1,0),IF(BH39&amp;BK39=BK$5,4,0),IF(AND(BH39=BH$5,BI$6&lt;=$D$104),-0.5,0),IF(AND(BI39=BH$5,BI$6&lt;=$D$104),-0.5,0),IF(AND(BJ39=BH$5,BI$6&lt;=$D$104),-0.5,0))</f>
        <v/>
      </c>
      <c r="BM39" s="145" t="n">
        <v>1</v>
      </c>
      <c r="BN39" s="146" t="n">
        <v>2</v>
      </c>
      <c r="BO39" s="146" t="n">
        <v>3</v>
      </c>
      <c r="BP39" s="146" t="n"/>
      <c r="BQ39" s="602">
        <f>SUM(IF(BM39=BM$5,4,0),IF(BM39&amp;BN39=BM$5&amp;BN$5,1,0),
IF(AND(BM39=BM$5,BN$6&gt;=$D$115),1,0),
IF(AND(BN39=BM$5,BN$6&gt;=$D$115),1,0),
IF(AND(BO39=BM$5,BN$6&gt;=$D$115),1,0),
IF(BM39&amp;BP39=BQ$5,1,0),
IF(BN39=BM$5,2,0),
IF(BO39=BM$5,1,0),
IF(OR(BM39&amp;BN39&amp;BO39=BM$5&amp;BN$5&amp;BO$5,BM39&amp;BN39&amp;BO39=BM$5&amp;BO$5&amp;BN$5,BM39&amp;BN39&amp;BO39=BN$5&amp;BM$5&amp;BO$5,BM39&amp;BN39&amp;BO39=BN$5&amp;BO$5&amp;BM$5,BM39&amp;BN39&amp;BO39=BO$5&amp;BM$5&amp;BN$5,BM39&amp;BN39&amp;BO39=BO$5&amp;BN$5&amp;BM$5),2,0),IF(AND(BM39=BM$5,BN$6&gt;=$D$129),1,0),IF(AND(BN39=BM$5,BN$6&gt;=$D$129),1,0),IF(AND(BO39=BM$5,BN$6&gt;=$D$129),1,0),IF(BM39&amp;BP39=BP$5,4,0),IF(AND(BM39=BM$5,BN$6&lt;=$D$104),-0.5,0),IF(AND(BN39=BM$5,BN$6&lt;=$D$104),-0.5,0),IF(AND(BO39=BM$5,BN$6&lt;=$D$104),-0.5,0))</f>
        <v/>
      </c>
      <c r="BR39" s="145" t="n"/>
      <c r="BS39" s="146" t="n"/>
      <c r="BT39" s="146" t="n"/>
      <c r="BU39" s="146" t="n"/>
      <c r="BV39" s="602">
        <f>SUM(IF(BR39=BR$5,4,0),IF(BR39&amp;BS39=BR$5&amp;BS$5,1,0),
IF(AND(BR39=BR$5,BS$6&gt;=$D$115),1,0),
IF(AND(BS39=BR$5,BS$6&gt;=$D$115),1,0),
IF(AND(BT39=BR$5,BS$6&gt;=$D$115),1,0),
IF(BR39&amp;BU39=BV$5,1,0),
IF(BS39=BR$5,2,0),
IF(BT39=BR$5,1,0),
IF(OR(BR39&amp;BS39&amp;BT39=BR$5&amp;BS$5&amp;BT$5,BR39&amp;BS39&amp;BT39=BR$5&amp;BT$5&amp;BS$5,BR39&amp;BS39&amp;BT39=BS$5&amp;BR$5&amp;BT$5,BR39&amp;BS39&amp;BT39=BS$5&amp;BT$5&amp;BR$5,BR39&amp;BS39&amp;BT39=BT$5&amp;BR$5&amp;BS$5,BR39&amp;BS39&amp;BT39=BT$5&amp;BS$5&amp;BR$5),2,0),IF(AND(BR39=BR$5,BS$6&gt;=$D$129),1,0),IF(AND(BS39=BR$5,BS$6&gt;=$D$129),1,0),IF(AND(BT39=BR$5,BS$6&gt;=$D$129),1,0),IF(BR39&amp;BU39=BU$5,4,0),IF(AND(BR39=BR$5,BS$6&lt;=$D$104),-0.5,0),IF(AND(BS39=BR$5,BS$6&lt;=$D$104),-0.5,0),IF(AND(BT39=BR$5,BS$6&lt;=$D$104),-0.5,0))</f>
        <v/>
      </c>
      <c r="BW39" s="145" t="n"/>
      <c r="BX39" s="146" t="n"/>
      <c r="BY39" s="146" t="n"/>
      <c r="BZ39" s="146" t="n"/>
      <c r="CA39" s="602">
        <f>SUM(IF(BW39=BW$5,4,0),IF(BW39&amp;BX39=BW$5&amp;BX$5,1,0),
IF(AND(BW39=BW$5,BX$6&gt;=$D$115),1,0),
IF(AND(BX39=BW$5,BX$6&gt;=$D$115),1,0),
IF(AND(BY39=BW$5,BX$6&gt;=$D$115),1,0),
IF(BW39&amp;BZ39=CA$5,1,0),
IF(BX39=BW$5,2,0),
IF(BY39=BW$5,1,0),
IF(OR(BW39&amp;BX39&amp;BY39=BW$5&amp;BX$5&amp;BY$5,BW39&amp;BX39&amp;BY39=BW$5&amp;BY$5&amp;BX$5,BW39&amp;BX39&amp;BY39=BX$5&amp;BW$5&amp;BY$5,BW39&amp;BX39&amp;BY39=BX$5&amp;BY$5&amp;BW$5,BW39&amp;BX39&amp;BY39=BY$5&amp;BW$5&amp;BX$5,BW39&amp;BX39&amp;BY39=BY$5&amp;BX$5&amp;BW$5),2,0),IF(AND(BW39=BW$5,BX$6&gt;=$D$129),1,0),IF(AND(BX39=BW$5,BX$6&gt;=$D$129),1,0),IF(AND(BY39=BW$5,BX$6&gt;=$D$129),1,0),IF(BW39&amp;BZ39=BZ$5,4,0),IF(AND(BW39=BW$5,BX$6&lt;=$D$104),-0.5,0),IF(AND(BX39=BW$5,BX$6&lt;=$D$104),-0.5,0),IF(AND(BY39=BW$5,BX$6&lt;=$D$104),-0.5,0))</f>
        <v/>
      </c>
      <c r="CB39" s="145" t="n"/>
      <c r="CC39" s="146" t="n"/>
      <c r="CD39" s="146" t="n"/>
      <c r="CE39" s="146" t="n"/>
      <c r="CF39" s="602">
        <f>SUM(IF(CB39=CB$5,4,0),IF(CB39&amp;CC39=CB$5&amp;CC$5,1,0),
IF(AND(CB39=CB$5,CC$6&gt;=$D$115),1,0),
IF(AND(CC39=CB$5,CC$6&gt;=$D$115),1,0),
IF(AND(CD39=CB$5,CC$6&gt;=$D$115),1,0),
IF(CB39&amp;CE39=CF$5,1,0),
IF(CC39=CB$5,2,0),
IF(CD39=CB$5,1,0),
IF(OR(CB39&amp;CC39&amp;CD39=CB$5&amp;CC$5&amp;CD$5,CB39&amp;CC39&amp;CD39=CB$5&amp;CD$5&amp;CC$5,CB39&amp;CC39&amp;CD39=CC$5&amp;CB$5&amp;CD$5,CB39&amp;CC39&amp;CD39=CC$5&amp;CD$5&amp;CB$5,CB39&amp;CC39&amp;CD39=CD$5&amp;CB$5&amp;CC$5,CB39&amp;CC39&amp;CD39=CD$5&amp;CC$5&amp;CB$5),2,0),IF(AND(CB39=CB$5,CC$6&gt;=$D$129),1,0),IF(AND(CC39=CB$5,CC$6&gt;=$D$129),1,0),IF(AND(CD39=CB$5,CC$6&gt;=$D$129),1,0),IF(CB39&amp;CE39=CE$5,4,0),IF(AND(CB39=CB$5,CC$6&lt;=$D$104),-0.5,0),IF(AND(CC39=CB$5,CC$6&lt;=$D$104),-0.5,0),IF(AND(CD39=CB$5,CC$6&lt;=$D$104),-0.5,0))</f>
        <v/>
      </c>
      <c r="CG39" s="164">
        <f>IF(BASE01[[#This Row],[1]]="",0,$B$4)</f>
        <v/>
      </c>
      <c r="CH39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39" s="166">
        <f>IF(BASE01[[#This Row],[Columna14]]=0,0,(CH39/CG39))</f>
        <v/>
      </c>
      <c r="CJ39" s="165">
        <f>IF(BASE01[[#This Row],[1]]="",0,$B$4)</f>
        <v/>
      </c>
      <c r="CK39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39" s="166">
        <f>IF(BASE01[[#This Row],[Columna14]]=0,0,(CK39/CJ39))</f>
        <v/>
      </c>
      <c r="CM39" s="164">
        <f>IF(BASE01[[#This Row],[1]]="",0,$B$4)</f>
        <v/>
      </c>
      <c r="CN39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39" s="166">
        <f>IF(BASE01[[#This Row],[Columna14]]=0,0,(CN39/CM39))</f>
        <v/>
      </c>
      <c r="CP39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39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Row],[Columna25]],$AX$5,BA39,"SF")+COUNTIFS(BASE01[[#This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39" s="166">
        <f>IF(BASE01[[#This Row],[Columna14]]=0,0,(CQ39/CP39))</f>
        <v/>
      </c>
      <c r="CS39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39" s="95" t="n"/>
      <c r="CU39" s="604">
        <f>SUM(CS39,CT39)</f>
        <v/>
      </c>
      <c r="CV39" s="96">
        <f>IF(BASE01[[#This Row],[TIPO]]="PREMIO",$O$3,"0,00")</f>
        <v/>
      </c>
      <c r="CW39" s="576" t="n"/>
      <c r="CY39" s="606">
        <f>IF(CZ39="","",$CZ$25)</f>
        <v/>
      </c>
      <c r="CZ39" s="392" t="n"/>
      <c r="DA39" s="392">
        <f t="array" ref="DA39">IF(CZ39="", "", IF((INDEX(E$8:CE$57, MATCH(CZ39, C$8:C$57, 0), ($CZ$25-1)*5 + 1) &amp; "") = (INDEX(E$5:CE$5, 1, ($CZ$25-1)*5 + 1) &amp; ""), 1, IF((INDEX(E$8:CE$57, MATCH(CZ39, C$8:C$57, 0), ($CZ$25-1)*5 + 2) &amp; "") = (INDEX(E$5:CE$5, 1, ($CZ$25-1)*5 + 1) &amp; ""), 2, IF((INDEX(E$8:CE$57, MATCH(CZ39, C$8:C$57, 0), ($CZ$25-1)*5 + 3) &amp; "") = (INDEX(E$5:CE$5, 1, ($CZ$25-1)*5 + 1) &amp; ""), 3, ""))))</f>
        <v/>
      </c>
      <c r="DB39" s="605">
        <f>BASE01[[#This Row],[COD]]</f>
        <v/>
      </c>
      <c r="DC39" s="395">
        <f t="array" ref="DC39">IFERROR(IF(AND(INDEX($E$8:$CE$57, MATCH($C39, $C$8:$C$57, 0), (COLUMNS($DC39:DC39)-1)*5 + 1) = INDEX($E$5:$CE$5, 1, (COLUMNS($DC39:DC39)-1)*5 + 1), INDEX($E$8:$CE$57, MATCH($C39, $C$8:$C$57, 0), (COLUMNS($DC39:DC39)-1)*5 + 4) = "F"), INDEX($CZ$8:$CZ$23, COLUMNS($DC39:DC39)), "0"), "")</f>
        <v/>
      </c>
      <c r="DD39" s="395">
        <f t="array" ref="DD39">IFERROR(IF(AND(INDEX($E$8:$CE$57, MATCH($C39, $C$8:$C$57, 0), (COLUMNS($DC39:DD39)-1)*5 + 1) = INDEX($E$5:$CE$5, 1, (COLUMNS($DC39:DD39)-1)*5 + 1), INDEX($E$8:$CE$57, MATCH($C39, $C$8:$C$57, 0), (COLUMNS($DC39:DD39)-1)*5 + 4) = "F"), INDEX($CZ$8:$CZ$23, COLUMNS($DC39:DD39)), "0"), "")</f>
        <v/>
      </c>
      <c r="DE39" s="395">
        <f t="array" ref="DE39">IFERROR(IF(AND(INDEX($E$8:$CE$57, MATCH($C39, $C$8:$C$57, 0), (COLUMNS($DC39:DE39)-1)*5 + 1) = INDEX($E$5:$CE$5, 1, (COLUMNS($DC39:DE39)-1)*5 + 1), INDEX($E$8:$CE$57, MATCH($C39, $C$8:$C$57, 0), (COLUMNS($DC39:DE39)-1)*5 + 4) = "F"), INDEX($CZ$8:$CZ$23, COLUMNS($DC39:DE39)), "0"), "")</f>
        <v/>
      </c>
      <c r="DF39" s="395">
        <f t="array" ref="DF39">IFERROR(IF(AND(INDEX($E$8:$CE$57, MATCH($C39, $C$8:$C$57, 0), (COLUMNS($DC39:DF39)-1)*5 + 1) = INDEX($E$5:$CE$5, 1, (COLUMNS($DC39:DF39)-1)*5 + 1), INDEX($E$8:$CE$57, MATCH($C39, $C$8:$C$57, 0), (COLUMNS($DC39:DF39)-1)*5 + 4) = "F"), INDEX($CZ$8:$CZ$23, COLUMNS($DC39:DF39)), "0"), "")</f>
        <v/>
      </c>
      <c r="DG39" s="395">
        <f t="array" ref="DG39">IFERROR(IF(AND(INDEX($E$8:$CE$57, MATCH($C39, $C$8:$C$57, 0), (COLUMNS($DC39:DG39)-1)*5 + 1) = INDEX($E$5:$CE$5, 1, (COLUMNS($DC39:DG39)-1)*5 + 1), INDEX($E$8:$CE$57, MATCH($C39, $C$8:$C$57, 0), (COLUMNS($DC39:DG39)-1)*5 + 4) = "F"), INDEX($CZ$8:$CZ$23, COLUMNS($DC39:DG39)), "0"), "")</f>
        <v/>
      </c>
      <c r="DH39" s="395">
        <f t="array" ref="DH39">IFERROR(IF(AND(INDEX($E$8:$CE$57, MATCH($C39, $C$8:$C$57, 0), (COLUMNS($DC39:DH39)-1)*5 + 1) = INDEX($E$5:$CE$5, 1, (COLUMNS($DC39:DH39)-1)*5 + 1), INDEX($E$8:$CE$57, MATCH($C39, $C$8:$C$57, 0), (COLUMNS($DC39:DH39)-1)*5 + 4) = "F"), INDEX($CZ$8:$CZ$23, COLUMNS($DC39:DH39)), "0"), "")</f>
        <v/>
      </c>
      <c r="DI39" s="395">
        <f t="array" ref="DI39">IFERROR(IF(AND(INDEX($E$8:$CE$57, MATCH($C39, $C$8:$C$57, 0), (COLUMNS($DC39:DI39)-1)*5 + 1) = INDEX($E$5:$CE$5, 1, (COLUMNS($DC39:DI39)-1)*5 + 1), INDEX($E$8:$CE$57, MATCH($C39, $C$8:$C$57, 0), (COLUMNS($DC39:DI39)-1)*5 + 4) = "F"), INDEX($CZ$8:$CZ$23, COLUMNS($DC39:DI39)), "0"), "")</f>
        <v/>
      </c>
      <c r="DJ39" s="395">
        <f t="array" ref="DJ39">IFERROR(IF(AND(INDEX($E$8:$CE$57, MATCH($C39, $C$8:$C$57, 0), (COLUMNS($DC39:DJ39)-1)*5 + 1) = INDEX($E$5:$CE$5, 1, (COLUMNS($DC39:DJ39)-1)*5 + 1), INDEX($E$8:$CE$57, MATCH($C39, $C$8:$C$57, 0), (COLUMNS($DC39:DJ39)-1)*5 + 4) = "F"), INDEX($CZ$8:$CZ$23, COLUMNS($DC39:DJ39)), "0"), "")</f>
        <v/>
      </c>
      <c r="DK39" s="395">
        <f t="array" ref="DK39">IFERROR(IF(AND(INDEX($E$8:$CE$57, MATCH($C39, $C$8:$C$57, 0), (COLUMNS($DC39:DK39)-1)*5 + 1) = INDEX($E$5:$CE$5, 1, (COLUMNS($DC39:DK39)-1)*5 + 1), INDEX($E$8:$CE$57, MATCH($C39, $C$8:$C$57, 0), (COLUMNS($DC39:DK39)-1)*5 + 4) = "F"), INDEX($CZ$8:$CZ$23, COLUMNS($DC39:DK39)), "0"), "")</f>
        <v/>
      </c>
      <c r="DL39" s="395">
        <f t="array" ref="DL39">IFERROR(IF(AND(INDEX($E$8:$CE$57, MATCH($C39, $C$8:$C$57, 0), (COLUMNS($DC39:DL39)-1)*5 + 1) = INDEX($E$5:$CE$5, 1, (COLUMNS($DC39:DL39)-1)*5 + 1), INDEX($E$8:$CE$57, MATCH($C39, $C$8:$C$57, 0), (COLUMNS($DC39:DL39)-1)*5 + 4) = "F"), INDEX($CZ$8:$CZ$23, COLUMNS($DC39:DL39)), "0"), "")</f>
        <v/>
      </c>
      <c r="DM39" s="395">
        <f t="array" ref="DM39">IFERROR(IF(AND(INDEX($E$8:$CE$57, MATCH($C39, $C$8:$C$57, 0), (COLUMNS($DC39:DM39)-1)*5 + 1) = INDEX($E$5:$CE$5, 1, (COLUMNS($DC39:DM39)-1)*5 + 1), INDEX($E$8:$CE$57, MATCH($C39, $C$8:$C$57, 0), (COLUMNS($DC39:DM39)-1)*5 + 4) = "F"), INDEX($CZ$8:$CZ$23, COLUMNS($DC39:DM39)), "0"), "")</f>
        <v/>
      </c>
      <c r="DN39" s="395">
        <f t="array" ref="DN39">IFERROR(IF(AND(INDEX($E$8:$CE$57, MATCH($C39, $C$8:$C$57, 0), (COLUMNS($DC39:DN39)-1)*5 + 1) = INDEX($E$5:$CE$5, 1, (COLUMNS($DC39:DN39)-1)*5 + 1), INDEX($E$8:$CE$57, MATCH($C39, $C$8:$C$57, 0), (COLUMNS($DC39:DN39)-1)*5 + 4) = "F"), INDEX($CZ$8:$CZ$23, COLUMNS($DC39:DN39)), "0"), "")</f>
        <v/>
      </c>
      <c r="DO39" s="395">
        <f t="array" ref="DO39">IFERROR(IF(AND(INDEX($E$8:$CE$57, MATCH($C39, $C$8:$C$57, 0), (COLUMNS($DC39:DO39)-1)*5 + 1) = INDEX($E$5:$CE$5, 1, (COLUMNS($DC39:DO39)-1)*5 + 1), INDEX($E$8:$CE$57, MATCH($C39, $C$8:$C$57, 0), (COLUMNS($DC39:DO39)-1)*5 + 4) = "F"), INDEX($CZ$8:$CZ$23, COLUMNS($DC39:DO39)), "0"), "")</f>
        <v/>
      </c>
      <c r="DP39" s="395">
        <f t="array" ref="DP39">IFERROR(IF(AND(INDEX($E$8:$CE$57, MATCH($C39, $C$8:$C$57, 0), (COLUMNS($DC39:DP39)-1)*5 + 1) = INDEX($E$5:$CE$5, 1, (COLUMNS($DC39:DP39)-1)*5 + 1), INDEX($E$8:$CE$57, MATCH($C39, $C$8:$C$57, 0), (COLUMNS($DC39:DP39)-1)*5 + 4) = "F"), INDEX($CZ$8:$CZ$23, COLUMNS($DC39:DP39)), "0"), "")</f>
        <v/>
      </c>
      <c r="DQ39" s="395">
        <f t="array" ref="DQ39">IFERROR(IF(AND(INDEX($E$8:$CE$57, MATCH($C39, $C$8:$C$57, 0), (COLUMNS($DC39:DQ39)-1)*5 + 1) = INDEX($E$5:$CE$5, 1, (COLUMNS($DC39:DQ39)-1)*5 + 1), INDEX($E$8:$CE$57, MATCH($C39, $C$8:$C$57, 0), (COLUMNS($DC39:DQ39)-1)*5 + 4) = "F"), INDEX($CZ$8:$CZ$23, COLUMNS($DC39:DQ39)), "0"), "")</f>
        <v/>
      </c>
      <c r="DR39" s="395">
        <f t="array" ref="DR39">IFERROR(IF(AND(INDEX($E$8:$CE$57, MATCH($C39, $C$8:$C$57, 0), (COLUMNS($DC39:DR39)-1)*5 + 1) = INDEX($E$5:$CE$5, 1, (COLUMNS($DC39:DR39)-1)*5 + 1), INDEX($E$8:$CE$57, MATCH($C39, $C$8:$C$57, 0), (COLUMNS($DC39:DR39)-1)*5 + 4) = "F"), INDEX($CZ$8:$CZ$23, COLUMNS($DC39:DR39)), "0"), "")</f>
        <v/>
      </c>
      <c r="DT39" s="605">
        <f>BASE01[[#This Row],[COD]]</f>
        <v/>
      </c>
      <c r="DU39" s="395">
        <f t="array" ref="DU39">IFERROR(IF(AND(INDEX($E$8:$CE$57, MATCH($C39, $C$8:$C$57, 0), (COLUMNS($DU39:DU39)-1)*5 + 1) = INDEX($E$5:$CE$5, 1, (COLUMNS($DU39:DU39)-1)*5 + 1), INDEX($E$8:$CE$57, MATCH($C39, $C$8:$C$57, 0), (COLUMNS($DU39:DU39)-1)*5 + 4) = "SF"), INDEX($CZ$8:$CZ$23, COLUMNS($DU39:DU39)), "0"), "")</f>
        <v/>
      </c>
      <c r="DV39" s="395">
        <f t="array" ref="DV39">IFERROR(IF(AND(INDEX($E$8:$CE$57, MATCH($C39, $C$8:$C$57, 0), (COLUMNS($DU39:DV39)-1)*5 + 1) = INDEX($E$5:$CE$5, 1, (COLUMNS($DU39:DV39)-1)*5 + 1), INDEX($E$8:$CE$57, MATCH($C39, $C$8:$C$57, 0), (COLUMNS($DU39:DV39)-1)*5 + 4) = "SF"), INDEX($CZ$8:$CZ$23, COLUMNS($DU39:DV39)), "0"), "")</f>
        <v/>
      </c>
      <c r="DW39" s="395">
        <f t="array" ref="DW39">IFERROR(IF(AND(INDEX($E$8:$CE$57, MATCH($C39, $C$8:$C$57, 0), (COLUMNS($DU39:DW39)-1)*5 + 1) = INDEX($E$5:$CE$5, 1, (COLUMNS($DU39:DW39)-1)*5 + 1), INDEX($E$8:$CE$57, MATCH($C39, $C$8:$C$57, 0), (COLUMNS($DU39:DW39)-1)*5 + 4) = "SF"), INDEX($CZ$8:$CZ$23, COLUMNS($DU39:DW39)), "0"), "")</f>
        <v/>
      </c>
      <c r="DX39" s="395">
        <f t="array" ref="DX39">IFERROR(IF(AND(INDEX($E$8:$CE$57, MATCH($C39, $C$8:$C$57, 0), (COLUMNS($DU39:DX39)-1)*5 + 1) = INDEX($E$5:$CE$5, 1, (COLUMNS($DU39:DX39)-1)*5 + 1), INDEX($E$8:$CE$57, MATCH($C39, $C$8:$C$57, 0), (COLUMNS($DU39:DX39)-1)*5 + 4) = "SF"), INDEX($CZ$8:$CZ$23, COLUMNS($DU39:DX39)), "0"), "")</f>
        <v/>
      </c>
      <c r="DY39" s="395">
        <f t="array" ref="DY39">IFERROR(IF(AND(INDEX($E$8:$CE$57, MATCH($C39, $C$8:$C$57, 0), (COLUMNS($DU39:DY39)-1)*5 + 1) = INDEX($E$5:$CE$5, 1, (COLUMNS($DU39:DY39)-1)*5 + 1), INDEX($E$8:$CE$57, MATCH($C39, $C$8:$C$57, 0), (COLUMNS($DU39:DY39)-1)*5 + 4) = "SF"), INDEX($CZ$8:$CZ$23, COLUMNS($DU39:DY39)), "0"), "")</f>
        <v/>
      </c>
      <c r="DZ39" s="395">
        <f t="array" ref="DZ39">IFERROR(IF(AND(INDEX($E$8:$CE$57, MATCH($C39, $C$8:$C$57, 0), (COLUMNS($DU39:DZ39)-1)*5 + 1) = INDEX($E$5:$CE$5, 1, (COLUMNS($DU39:DZ39)-1)*5 + 1), INDEX($E$8:$CE$57, MATCH($C39, $C$8:$C$57, 0), (COLUMNS($DU39:DZ39)-1)*5 + 4) = "SF"), INDEX($CZ$8:$CZ$23, COLUMNS($DU39:DZ39)), "0"), "")</f>
        <v/>
      </c>
      <c r="EA39" s="395">
        <f t="array" ref="EA39">IFERROR(IF(AND(INDEX($E$8:$CE$57, MATCH($C39, $C$8:$C$57, 0), (COLUMNS($DU39:EA39)-1)*5 + 1) = INDEX($E$5:$CE$5, 1, (COLUMNS($DU39:EA39)-1)*5 + 1), INDEX($E$8:$CE$57, MATCH($C39, $C$8:$C$57, 0), (COLUMNS($DU39:EA39)-1)*5 + 4) = "SF"), INDEX($CZ$8:$CZ$23, COLUMNS($DU39:EA39)), "0"), "")</f>
        <v/>
      </c>
      <c r="EB39" s="395">
        <f t="array" ref="EB39">IFERROR(IF(AND(INDEX($E$8:$CE$57, MATCH($C39, $C$8:$C$57, 0), (COLUMNS($DU39:EB39)-1)*5 + 1) = INDEX($E$5:$CE$5, 1, (COLUMNS($DU39:EB39)-1)*5 + 1), INDEX($E$8:$CE$57, MATCH($C39, $C$8:$C$57, 0), (COLUMNS($DU39:EB39)-1)*5 + 4) = "SF"), INDEX($CZ$8:$CZ$23, COLUMNS($DU39:EB39)), "0"), "")</f>
        <v/>
      </c>
      <c r="EC39" s="395">
        <f t="array" ref="EC39">IFERROR(IF(AND(INDEX($E$8:$CE$57, MATCH($C39, $C$8:$C$57, 0), (COLUMNS($DU39:EC39)-1)*5 + 1) = INDEX($E$5:$CE$5, 1, (COLUMNS($DU39:EC39)-1)*5 + 1), INDEX($E$8:$CE$57, MATCH($C39, $C$8:$C$57, 0), (COLUMNS($DU39:EC39)-1)*5 + 4) = "SF"), INDEX($CZ$8:$CZ$23, COLUMNS($DU39:EC39)), "0"), "")</f>
        <v/>
      </c>
      <c r="ED39" s="395">
        <f t="array" ref="ED39">IFERROR(IF(AND(INDEX($E$8:$CE$57, MATCH($C39, $C$8:$C$57, 0), (COLUMNS($DU39:ED39)-1)*5 + 1) = INDEX($E$5:$CE$5, 1, (COLUMNS($DU39:ED39)-1)*5 + 1), INDEX($E$8:$CE$57, MATCH($C39, $C$8:$C$57, 0), (COLUMNS($DU39:ED39)-1)*5 + 4) = "SF"), INDEX($CZ$8:$CZ$23, COLUMNS($DU39:ED39)), "0"), "")</f>
        <v/>
      </c>
      <c r="EE39" s="395">
        <f t="array" ref="EE39">IFERROR(IF(AND(INDEX($E$8:$CE$57, MATCH($C39, $C$8:$C$57, 0), (COLUMNS($DU39:EE39)-1)*5 + 1) = INDEX($E$5:$CE$5, 1, (COLUMNS($DU39:EE39)-1)*5 + 1), INDEX($E$8:$CE$57, MATCH($C39, $C$8:$C$57, 0), (COLUMNS($DU39:EE39)-1)*5 + 4) = "SF"), INDEX($CZ$8:$CZ$23, COLUMNS($DU39:EE39)), "0"), "")</f>
        <v/>
      </c>
      <c r="EF39" s="395">
        <f t="array" ref="EF39">IFERROR(IF(AND(INDEX($E$8:$CE$57, MATCH($C39, $C$8:$C$57, 0), (COLUMNS($DU39:EF39)-1)*5 + 1) = INDEX($E$5:$CE$5, 1, (COLUMNS($DU39:EF39)-1)*5 + 1), INDEX($E$8:$CE$57, MATCH($C39, $C$8:$C$57, 0), (COLUMNS($DU39:EF39)-1)*5 + 4) = "SF"), INDEX($CZ$8:$CZ$23, COLUMNS($DU39:EF39)), "0"), "")</f>
        <v/>
      </c>
      <c r="EG39" s="395">
        <f t="array" ref="EG39">IFERROR(IF(AND(INDEX($E$8:$CE$57, MATCH($C39, $C$8:$C$57, 0), (COLUMNS($DU39:EG39)-1)*5 + 1) = INDEX($E$5:$CE$5, 1, (COLUMNS($DU39:EG39)-1)*5 + 1), INDEX($E$8:$CE$57, MATCH($C39, $C$8:$C$57, 0), (COLUMNS($DU39:EG39)-1)*5 + 4) = "SF"), INDEX($CZ$8:$CZ$23, COLUMNS($DU39:EG39)), "0"), "")</f>
        <v/>
      </c>
      <c r="EH39" s="395">
        <f t="array" ref="EH39">IFERROR(IF(AND(INDEX($E$8:$CE$57, MATCH($C39, $C$8:$C$57, 0), (COLUMNS($DU39:EH39)-1)*5 + 1) = INDEX($E$5:$CE$5, 1, (COLUMNS($DU39:EH39)-1)*5 + 1), INDEX($E$8:$CE$57, MATCH($C39, $C$8:$C$57, 0), (COLUMNS($DU39:EH39)-1)*5 + 4) = "SF"), INDEX($CZ$8:$CZ$23, COLUMNS($DU39:EH39)), "0"), "")</f>
        <v/>
      </c>
      <c r="EI39" s="395">
        <f t="array" ref="EI39">IFERROR(IF(AND(INDEX($E$8:$CE$57, MATCH($C39, $C$8:$C$57, 0), (COLUMNS($DU39:EI39)-1)*5 + 1) = INDEX($E$5:$CE$5, 1, (COLUMNS($DU39:EI39)-1)*5 + 1), INDEX($E$8:$CE$57, MATCH($C39, $C$8:$C$57, 0), (COLUMNS($DU39:EI39)-1)*5 + 4) = "SF"), INDEX($CZ$8:$CZ$23, COLUMNS($DU39:EI39)), "0"), "")</f>
        <v/>
      </c>
      <c r="EJ39" s="395">
        <f t="array" ref="EJ39">IFERROR(IF(AND(INDEX($E$8:$CE$57, MATCH($C39, $C$8:$C$57, 0), (COLUMNS($DU39:EJ39)-1)*5 + 1) = INDEX($E$5:$CE$5, 1, (COLUMNS($DU39:EJ39)-1)*5 + 1), INDEX($E$8:$CE$57, MATCH($C39, $C$8:$C$57, 0), (COLUMNS($DU39:EJ39)-1)*5 + 4) = "SF"), INDEX($CZ$8:$CZ$23, COLUMNS($DU39:EJ39)), "0"), "")</f>
        <v/>
      </c>
    </row>
    <row r="40" ht="20.1" customHeight="1" s="568">
      <c r="A40" s="576" t="n"/>
      <c r="B40" s="92">
        <f>IF(BASE01[[#This Row],[COD]]&lt;&gt;"",B39+1,"")</f>
        <v/>
      </c>
      <c r="C40" s="601" t="inlineStr">
        <is>
          <t>COD 33</t>
        </is>
      </c>
      <c r="D40" s="93">
        <f t="array" ref="D40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0" s="145" t="n">
        <v>8</v>
      </c>
      <c r="F40" s="151" t="n">
        <v>6</v>
      </c>
      <c r="G40" s="151" t="n">
        <v>1</v>
      </c>
      <c r="H40" s="151" t="n"/>
      <c r="I40" s="602">
        <f>SUM(IF(E40=E$5,4,0),IF(E40&amp;F40=E$5&amp;F$5,1,0),
IF(AND(E40=E$5,F$6&gt;=$D$115),1,0),
IF(AND(F40=E$5,F$6&gt;=$D$115),1,0),
IF(AND(G40=E$5,F$6&gt;=$D$115),1,0),
IF(E40&amp;H40=I$5,1,0),
IF(F40=E$5,2,0),
IF(G40=E$5,1,0),
IF(OR(E40&amp;F40&amp;G40=E$5&amp;F$5&amp;G$5,E40&amp;F40&amp;G40=E$5&amp;G$5&amp;F$5,E40&amp;F40&amp;G40=F$5&amp;E$5&amp;G$5,E40&amp;F40&amp;G40=F$5&amp;G$5&amp;E$5,E40&amp;F40&amp;G40=G$5&amp;E$5&amp;F$5,E40&amp;F40&amp;G40=G$5&amp;F$5&amp;E$5),2,0),IF(AND(E40=E$5,F$6&gt;=$D$129),1,0),IF(AND(F40=E$5,F$6&gt;=$D$129),1,0),IF(AND(G40=E$5,F$6&gt;=$D$129),1,0),IF(E40&amp;H40=H$5,4,0),IF(AND(E40=E$5,F$6&lt;=$D$104),-0.5,0),IF(AND(F40=E$5,F$6&lt;=$D$104),-0.5,0),IF(AND(G40=E$5,F$6&lt;=$D$104),-0.5,0))</f>
        <v/>
      </c>
      <c r="J40" s="145" t="n">
        <v>8</v>
      </c>
      <c r="K40" s="151" t="n">
        <v>3</v>
      </c>
      <c r="L40" s="151" t="n">
        <v>5</v>
      </c>
      <c r="M40" s="151" t="n"/>
      <c r="N40" s="602">
        <f>SUM(IF(J40=J$5,4,0),IF(J40&amp;K40=J$5&amp;K$5,1,0),
IF(AND(J40=J$5,K$6&gt;=$D$115),1,0),
IF(AND(K40=J$5,K$6&gt;=$D$115),1,0),
IF(AND(L40=J$5,K$6&gt;=$D$115),1,0),
IF(J40&amp;M40=N$5,1,0),
IF(K40=J$5,2,0),
IF(L40=J$5,1,0),
IF(OR(J40&amp;K40&amp;L40=J$5&amp;K$5&amp;L$5,J40&amp;K40&amp;L40=J$5&amp;L$5&amp;K$5,J40&amp;K40&amp;L40=K$5&amp;J$5&amp;L$5,J40&amp;K40&amp;L40=K$5&amp;L$5&amp;J$5,J40&amp;K40&amp;L40=L$5&amp;J$5&amp;K$5,J40&amp;K40&amp;L40=L$5&amp;K$5&amp;J$5),2,0),IF(AND(J40=J$5,K$6&gt;=$D$129),1,0),IF(AND(K40=J$5,K$6&gt;=$D$129),1,0),IF(AND(L40=J$5,K$6&gt;=$D$129),1,0),IF(J40&amp;M40=M$5,4,0),IF(AND(J40=J$5,K$6&lt;=$D$104),-0.5,0),IF(AND(K40=J$5,K$6&lt;=$D$104),-0.5,0),IF(AND(L40=J$5,K$6&lt;=$D$104),-0.5,0))</f>
        <v/>
      </c>
      <c r="O40" s="145" t="n">
        <v>3</v>
      </c>
      <c r="P40" s="151" t="n">
        <v>8</v>
      </c>
      <c r="Q40" s="151" t="n">
        <v>1</v>
      </c>
      <c r="R40" s="151" t="n"/>
      <c r="S40" s="602">
        <f>SUM(IF(O40=O$5,4,0),IF(O40&amp;P40=O$5&amp;P$5,1,0),
IF(AND(O40=O$5,P$6&gt;=$D$115),1,0),
IF(AND(P40=O$5,P$6&gt;=$D$115),1,0),
IF(AND(Q40=O$5,P$6&gt;=$D$115),1,0),
IF(O40&amp;R40=S$5,1,0),
IF(P40=O$5,2,0),
IF(Q40=O$5,1,0),
IF(OR(O40&amp;P40&amp;Q40=O$5&amp;P$5&amp;Q$5,O40&amp;P40&amp;Q40=O$5&amp;Q$5&amp;P$5,O40&amp;P40&amp;Q40=P$5&amp;O$5&amp;Q$5,O40&amp;P40&amp;Q40=P$5&amp;Q$5&amp;O$5,O40&amp;P40&amp;Q40=Q$5&amp;O$5&amp;P$5,O40&amp;P40&amp;Q40=Q$5&amp;P$5&amp;O$5),2,0),IF(AND(O40=O$5,P$6&gt;=$D$129),1,0),IF(AND(P40=O$5,P$6&gt;=$D$129),1,0),IF(AND(Q40=O$5,P$6&gt;=$D$129),1,0),IF(O40&amp;R40=R$5,4,0),IF(AND(O40=O$5,P$6&lt;=$D$104),-0.5,0),IF(AND(P40=O$5,P$6&lt;=$D$104),-0.5,0),IF(AND(Q40=O$5,P$6&lt;=$D$104),-0.5,0))</f>
        <v/>
      </c>
      <c r="T40" s="145" t="n">
        <v>6</v>
      </c>
      <c r="U40" s="151" t="n">
        <v>7</v>
      </c>
      <c r="V40" s="151" t="n">
        <v>4</v>
      </c>
      <c r="W40" s="151" t="n"/>
      <c r="X40" s="602">
        <f>SUM(IF(T40=T$5,4,0),IF(T40&amp;U40=T$5&amp;U$5,1,0),
IF(AND(T40=T$5,U$6&gt;=$D$115),1,0),
IF(AND(U40=T$5,U$6&gt;=$D$115),1,0),
IF(AND(V40=T$5,U$6&gt;=$D$115),1,0),
IF(T40&amp;W40=X$5,1,0),
IF(U40=T$5,2,0),
IF(V40=T$5,1,0),
IF(OR(T40&amp;U40&amp;V40=T$5&amp;U$5&amp;V$5,T40&amp;U40&amp;V40=T$5&amp;V$5&amp;U$5,T40&amp;U40&amp;V40=U$5&amp;T$5&amp;V$5,T40&amp;U40&amp;V40=U$5&amp;V$5&amp;T$5,T40&amp;U40&amp;V40=V$5&amp;T$5&amp;U$5,T40&amp;U40&amp;V40=V$5&amp;U$5&amp;T$5),2,0),IF(AND(T40=T$5,U$6&gt;=$D$129),1,0),IF(AND(U40=T$5,U$6&gt;=$D$129),1,0),IF(AND(V40=T$5,U$6&gt;=$D$129),1,0),IF(T40&amp;W40=W$5,4,0),IF(AND(T40=T$5,U$6&lt;=$D$104),-0.5,0),IF(AND(U40=T$5,U$6&lt;=$D$104),-0.5,0),IF(AND(V40=T$5,U$6&lt;=$D$104),-0.5,0))</f>
        <v/>
      </c>
      <c r="Y40" s="145" t="n">
        <v>5</v>
      </c>
      <c r="Z40" s="151" t="n">
        <v>3</v>
      </c>
      <c r="AA40" s="151" t="n">
        <v>10</v>
      </c>
      <c r="AB40" s="151" t="inlineStr">
        <is>
          <t>F</t>
        </is>
      </c>
      <c r="AC40" s="602">
        <f>SUM(IF(Y40=Y$5,4,0),IF(Y40&amp;Z40=Y$5&amp;Z$5,1,0),
IF(AND(Y40=Y$5,Z$6&gt;=$D$115),1,0),
IF(AND(Z40=Y$5,Z$6&gt;=$D$115),1,0),
IF(AND(AA40=Y$5,Z$6&gt;=$D$115),1,0),
IF(Y40&amp;AB40=AC$5,1,0),
IF(Z40=Y$5,2,0),
IF(AA40=Y$5,1,0),
IF(OR(Y40&amp;Z40&amp;AA40=Y$5&amp;Z$5&amp;AA$5,Y40&amp;Z40&amp;AA40=Y$5&amp;AA$5&amp;Z$5,Y40&amp;Z40&amp;AA40=Z$5&amp;Y$5&amp;AA$5,Y40&amp;Z40&amp;AA40=Z$5&amp;AA$5&amp;Y$5,Y40&amp;Z40&amp;AA40=AA$5&amp;Y$5&amp;Z$5,Y40&amp;Z40&amp;AA40=AA$5&amp;Z$5&amp;Y$5),2,0),IF(AND(Y40=Y$5,Z$6&gt;=$D$129),1,0),IF(AND(Z40=Y$5,Z$6&gt;=$D$129),1,0),IF(AND(AA40=Y$5,Z$6&gt;=$D$129),1,0),IF(Y40&amp;AB40=AB$5,4,0),IF(AND(Y40=Y$5,Z$6&lt;=$D$104),-0.5,0),IF(AND(Z40=Y$5,Z$6&lt;=$D$104),-0.5,0),IF(AND(AA40=Y$5,Z$6&lt;=$D$104),-0.5,0))</f>
        <v/>
      </c>
      <c r="AD40" s="145" t="n">
        <v>7</v>
      </c>
      <c r="AE40" s="151" t="n">
        <v>2</v>
      </c>
      <c r="AF40" s="151" t="n">
        <v>5</v>
      </c>
      <c r="AG40" s="151" t="n"/>
      <c r="AH40" s="602">
        <f>SUM(IF(AD40=AD$5,4,0),IF(AD40&amp;AE40=AD$5&amp;AE$5,1,0),
IF(AND(AD40=AD$5,AE$6&gt;=$D$115),1,0),
IF(AND(AE40=AD$5,AE$6&gt;=$D$115),1,0),
IF(AND(AF40=AD$5,AE$6&gt;=$D$115),1,0),
IF(AD40&amp;AG40=AH$5,1,0),
IF(AE40=AD$5,2,0),
IF(AF40=AD$5,1,0),
IF(OR(AD40&amp;AE40&amp;AF40=AD$5&amp;AE$5&amp;AF$5,AD40&amp;AE40&amp;AF40=AD$5&amp;AF$5&amp;AE$5,AD40&amp;AE40&amp;AF40=AE$5&amp;AD$5&amp;AF$5,AD40&amp;AE40&amp;AF40=AE$5&amp;AF$5&amp;AD$5,AD40&amp;AE40&amp;AF40=AF$5&amp;AD$5&amp;AE$5,AD40&amp;AE40&amp;AF40=AF$5&amp;AE$5&amp;AD$5),2,0),IF(AND(AD40=AD$5,AE$6&gt;=$D$129),1,0),IF(AND(AE40=AD$5,AE$6&gt;=$D$129),1,0),IF(AND(AF40=AD$5,AE$6&gt;=$D$129),1,0),IF(AD40&amp;AG40=AG$5,4,0),IF(AND(AD40=AD$5,AE$6&lt;=$D$104),-0.5,0),IF(AND(AE40=AD$5,AE$6&lt;=$D$104),-0.5,0),IF(AND(AF40=AD$5,AE$6&lt;=$D$104),-0.5,0))</f>
        <v/>
      </c>
      <c r="AI40" s="145" t="n">
        <v>3</v>
      </c>
      <c r="AJ40" s="151" t="n">
        <v>4</v>
      </c>
      <c r="AK40" s="151" t="n">
        <v>7</v>
      </c>
      <c r="AL40" s="151" t="n"/>
      <c r="AM40" s="602">
        <f>SUM(IF(AI40=AI$5,4,0),IF(AI40&amp;AJ40=AI$5&amp;AJ$5,1,0),
IF(AND(AI40=AI$5,AJ$6&gt;=$D$115),1,0),
IF(AND(AJ40=AI$5,AJ$6&gt;=$D$115),1,0),
IF(AND(AK40=AI$5,AJ$6&gt;=$D$115),1,0),
IF(AI40&amp;AL40=AM$5,1,0),
IF(AJ40=AI$5,2,0),
IF(AK40=AI$5,1,0),
IF(OR(AI40&amp;AJ40&amp;AK40=AI$5&amp;AJ$5&amp;AK$5,AI40&amp;AJ40&amp;AK40=AI$5&amp;AK$5&amp;AJ$5,AI40&amp;AJ40&amp;AK40=AJ$5&amp;AI$5&amp;AK$5,AI40&amp;AJ40&amp;AK40=AJ$5&amp;AK$5&amp;AI$5,AI40&amp;AJ40&amp;AK40=AK$5&amp;AI$5&amp;AJ$5,AI40&amp;AJ40&amp;AK40=AK$5&amp;AJ$5&amp;AI$5),2,0),IF(AND(AI40=AI$5,AJ$6&gt;=$D$129),1,0),IF(AND(AJ40=AI$5,AJ$6&gt;=$D$129),1,0),IF(AND(AK40=AI$5,AJ$6&gt;=$D$129),1,0),IF(AI40&amp;AL40=AL$5,4,0),IF(AND(AI40=AI$5,AJ$6&lt;=$D$104),-0.5,0),IF(AND(AJ40=AI$5,AJ$6&lt;=$D$104),-0.5,0),IF(AND(AK40=AI$5,AJ$6&lt;=$D$104),-0.5,0))</f>
        <v/>
      </c>
      <c r="AN40" s="145" t="n">
        <v>8</v>
      </c>
      <c r="AO40" s="151" t="n">
        <v>9</v>
      </c>
      <c r="AP40" s="151" t="n">
        <v>1</v>
      </c>
      <c r="AQ40" s="151" t="inlineStr">
        <is>
          <t>F</t>
        </is>
      </c>
      <c r="AR40" s="602">
        <f>SUM(IF(AN40=AN$5,4,0),IF(AN40&amp;AO40=AN$5&amp;AO$5,1,0),
IF(AND(AN40=AN$5,AO$6&gt;=$D$115),1,0),
IF(AND(AO40=AN$5,AO$6&gt;=$D$115),1,0),
IF(AND(AP40=AN$5,AO$6&gt;=$D$115),1,0),
IF(AN40&amp;AQ40=AR$5,1,0),
IF(AO40=AN$5,2,0),
IF(AP40=AN$5,1,0),
IF(OR(AN40&amp;AO40&amp;AP40=AN$5&amp;AO$5&amp;AP$5,AN40&amp;AO40&amp;AP40=AN$5&amp;AP$5&amp;AO$5,AN40&amp;AO40&amp;AP40=AO$5&amp;AN$5&amp;AP$5,AN40&amp;AO40&amp;AP40=AO$5&amp;AP$5&amp;AN$5,AN40&amp;AO40&amp;AP40=AP$5&amp;AN$5&amp;AO$5,AN40&amp;AO40&amp;AP40=AP$5&amp;AO$5&amp;AN$5),2,0),IF(AND(AN40=AN$5,AO$6&gt;=$D$129),1,0),IF(AND(AO40=AN$5,AO$6&gt;=$D$129),1,0),IF(AND(AP40=AN$5,AO$6&gt;=$D$129),1,0),IF(AN40&amp;AQ40=AQ$5,4,0),IF(AND(AN40=AN$5,AO$6&lt;=$D$104),-0.5,0),IF(AND(AO40=AN$5,AO$6&lt;=$D$104),-0.5,0),IF(AND(AP40=AN$5,AO$6&lt;=$D$104),-0.5,0))</f>
        <v/>
      </c>
      <c r="AS40" s="145" t="n">
        <v>1</v>
      </c>
      <c r="AT40" s="151" t="n">
        <v>7</v>
      </c>
      <c r="AU40" s="151" t="n">
        <v>3</v>
      </c>
      <c r="AV40" s="151" t="n"/>
      <c r="AW40" s="602">
        <f>SUM(IF(AS40=AS$5,4,0),IF(AS40&amp;AT40=AS$5&amp;AT$5,1,0),
IF(AND(AS40=AS$5,AT$6&gt;=$D$115),1,0),
IF(AND(AT40=AS$5,AT$6&gt;=$D$115),1,0),
IF(AND(AU40=AS$5,AT$6&gt;=$D$115),1,0),
IF(AS40&amp;AV40=AW$5,1,0),
IF(AT40=AS$5,2,0),
IF(AU40=AS$5,1,0),
IF(OR(AS40&amp;AT40&amp;AU40=AS$5&amp;AT$5&amp;AU$5,AS40&amp;AT40&amp;AU40=AS$5&amp;AU$5&amp;AT$5,AS40&amp;AT40&amp;AU40=AT$5&amp;AS$5&amp;AU$5,AS40&amp;AT40&amp;AU40=AT$5&amp;AU$5&amp;AS$5,AS40&amp;AT40&amp;AU40=AU$5&amp;AS$5&amp;AT$5,AS40&amp;AT40&amp;AU40=AU$5&amp;AT$5&amp;AS$5),2,0),IF(AND(AS40=AS$5,AT$6&gt;=$D$129),1,0),IF(AND(AT40=AS$5,AT$6&gt;=$D$129),1,0),IF(AND(AU40=AS$5,AT$6&gt;=$D$129),1,0),IF(AS40&amp;AV40=AV$5,4,0),IF(AND(AS40=AS$5,AT$6&lt;=$D$104),-0.5,0),IF(AND(AT40=AS$5,AT$6&lt;=$D$104),-0.5,0),IF(AND(AU40=AS$5,AT$6&lt;=$D$104),-0.5,0))</f>
        <v/>
      </c>
      <c r="AX40" s="145" t="n">
        <v>1</v>
      </c>
      <c r="AY40" s="151" t="n"/>
      <c r="AZ40" s="151" t="n"/>
      <c r="BA40" s="151" t="inlineStr">
        <is>
          <t>SF</t>
        </is>
      </c>
      <c r="BB40" s="602">
        <f>SUM(IF(AX40=AX$5,4,0),IF(AX40&amp;AY40=AX$5&amp;AY$5,1,0),
IF(AND(AX40=AX$5,AY$6&gt;=$D$115),1,0),
IF(AND(AY40=AX$5,AY$6&gt;=$D$115),1,0),
IF(AND(AZ40=AX$5,AY$6&gt;=$D$115),1,0),
IF(AX40&amp;BA40=BB$5,1,0),
IF(AY40=AX$5,2,0),
IF(AZ40=AX$5,1,0),
IF(OR(AX40&amp;AY40&amp;AZ40=AX$5&amp;AY$5&amp;AZ$5,AX40&amp;AY40&amp;AZ40=AX$5&amp;AZ$5&amp;AY$5,AX40&amp;AY40&amp;AZ40=AY$5&amp;AX$5&amp;AZ$5,AX40&amp;AY40&amp;AZ40=AY$5&amp;AZ$5&amp;AX$5,AX40&amp;AY40&amp;AZ40=AZ$5&amp;AX$5&amp;AY$5,AX40&amp;AY40&amp;AZ40=AZ$5&amp;AY$5&amp;AX$5),2,0),IF(AND(AX40=AX$5,AY$6&gt;=$D$129),1,0),IF(AND(AY40=AX$5,AY$6&gt;=$D$129),1,0),IF(AND(AZ40=AX$5,AY$6&gt;=$D$129),1,0),IF(AX40&amp;BA40=BA$5,4,0),IF(AND(AX40=AX$5,AY$6&lt;=$D$104),-0.5,0),IF(AND(AY40=AX$5,AY$6&lt;=$D$104),-0.5,0),IF(AND(AZ40=AX$5,AY$6&lt;=$D$104),-0.5,0))</f>
        <v/>
      </c>
      <c r="BC40" s="145" t="n">
        <v>4</v>
      </c>
      <c r="BD40" s="151" t="n">
        <v>3</v>
      </c>
      <c r="BE40" s="151" t="n">
        <v>2</v>
      </c>
      <c r="BF40" s="151" t="n"/>
      <c r="BG40" s="602">
        <f>SUM(IF(BC40=BC$5,4,0),IF(BC40&amp;BD40=BC$5&amp;BD$5,1,0),
IF(AND(BC40=BC$5,BD$6&gt;=$D$115),1,0),
IF(AND(BD40=BC$5,BD$6&gt;=$D$115),1,0),
IF(AND(BE40=BC$5,BD$6&gt;=$D$115),1,0),
IF(BC40&amp;BF40=BG$5,1,0),
IF(BD40=BC$5,2,0),
IF(BE40=BC$5,1,0),
IF(OR(BC40&amp;BD40&amp;BE40=BC$5&amp;BD$5&amp;BE$5,BC40&amp;BD40&amp;BE40=BC$5&amp;BE$5&amp;BD$5,BC40&amp;BD40&amp;BE40=BD$5&amp;BC$5&amp;BE$5,BC40&amp;BD40&amp;BE40=BD$5&amp;BE$5&amp;BC$5,BC40&amp;BD40&amp;BE40=BE$5&amp;BC$5&amp;BD$5,BC40&amp;BD40&amp;BE40=BE$5&amp;BD$5&amp;BC$5),2,0),IF(AND(BC40=BC$5,BD$6&gt;=$D$129),1,0),IF(AND(BD40=BC$5,BD$6&gt;=$D$129),1,0),IF(AND(BE40=BC$5,BD$6&gt;=$D$129),1,0),IF(BC40&amp;BF40=BF$5,4,0),IF(AND(BC40=BC$5,BD$6&lt;=$D$104),-0.5,0),IF(AND(BD40=BC$5,BD$6&lt;=$D$104),-0.5,0),IF(AND(BE40=BC$5,BD$6&lt;=$D$104),-0.5,0))</f>
        <v/>
      </c>
      <c r="BH40" s="145" t="n">
        <v>5</v>
      </c>
      <c r="BI40" s="151" t="n">
        <v>1</v>
      </c>
      <c r="BJ40" s="151" t="n">
        <v>3</v>
      </c>
      <c r="BK40" s="151" t="n"/>
      <c r="BL40" s="602">
        <f>SUM(IF(BH40=BH$5,4,0),IF(BH40&amp;BI40=BH$5&amp;BI$5,1,0),
IF(AND(BH40=BH$5,BI$6&gt;=$D$115),1,0),
IF(AND(BI40=BH$5,BI$6&gt;=$D$115),1,0),
IF(AND(BJ40=BH$5,BI$6&gt;=$D$115),1,0),
IF(BH40&amp;BK40=BL$5,1,0),
IF(BI40=BH$5,2,0),
IF(BJ40=BH$5,1,0),
IF(OR(BH40&amp;BI40&amp;BJ40=BH$5&amp;BI$5&amp;BJ$5,BH40&amp;BI40&amp;BJ40=BH$5&amp;BJ$5&amp;BI$5,BH40&amp;BI40&amp;BJ40=BI$5&amp;BH$5&amp;BJ$5,BH40&amp;BI40&amp;BJ40=BI$5&amp;BJ$5&amp;BH$5,BH40&amp;BI40&amp;BJ40=BJ$5&amp;BH$5&amp;BI$5,BH40&amp;BI40&amp;BJ40=BJ$5&amp;BI$5&amp;BH$5),2,0),IF(AND(BH40=BH$5,BI$6&gt;=$D$129),1,0),IF(AND(BI40=BH$5,BI$6&gt;=$D$129),1,0),IF(AND(BJ40=BH$5,BI$6&gt;=$D$129),1,0),IF(BH40&amp;BK40=BK$5,4,0),IF(AND(BH40=BH$5,BI$6&lt;=$D$104),-0.5,0),IF(AND(BI40=BH$5,BI$6&lt;=$D$104),-0.5,0),IF(AND(BJ40=BH$5,BI$6&lt;=$D$104),-0.5,0))</f>
        <v/>
      </c>
      <c r="BM40" s="145" t="n">
        <v>12</v>
      </c>
      <c r="BN40" s="151" t="n">
        <v>3</v>
      </c>
      <c r="BO40" s="151" t="n">
        <v>1</v>
      </c>
      <c r="BP40" s="151" t="n"/>
      <c r="BQ40" s="602">
        <f>SUM(IF(BM40=BM$5,4,0),IF(BM40&amp;BN40=BM$5&amp;BN$5,1,0),
IF(AND(BM40=BM$5,BN$6&gt;=$D$115),1,0),
IF(AND(BN40=BM$5,BN$6&gt;=$D$115),1,0),
IF(AND(BO40=BM$5,BN$6&gt;=$D$115),1,0),
IF(BM40&amp;BP40=BQ$5,1,0),
IF(BN40=BM$5,2,0),
IF(BO40=BM$5,1,0),
IF(OR(BM40&amp;BN40&amp;BO40=BM$5&amp;BN$5&amp;BO$5,BM40&amp;BN40&amp;BO40=BM$5&amp;BO$5&amp;BN$5,BM40&amp;BN40&amp;BO40=BN$5&amp;BM$5&amp;BO$5,BM40&amp;BN40&amp;BO40=BN$5&amp;BO$5&amp;BM$5,BM40&amp;BN40&amp;BO40=BO$5&amp;BM$5&amp;BN$5,BM40&amp;BN40&amp;BO40=BO$5&amp;BN$5&amp;BM$5),2,0),IF(AND(BM40=BM$5,BN$6&gt;=$D$129),1,0),IF(AND(BN40=BM$5,BN$6&gt;=$D$129),1,0),IF(AND(BO40=BM$5,BN$6&gt;=$D$129),1,0),IF(BM40&amp;BP40=BP$5,4,0),IF(AND(BM40=BM$5,BN$6&lt;=$D$104),-0.5,0),IF(AND(BN40=BM$5,BN$6&lt;=$D$104),-0.5,0),IF(AND(BO40=BM$5,BN$6&lt;=$D$104),-0.5,0))</f>
        <v/>
      </c>
      <c r="BR40" s="145" t="n"/>
      <c r="BS40" s="151" t="n"/>
      <c r="BT40" s="151" t="n"/>
      <c r="BU40" s="151" t="n"/>
      <c r="BV40" s="602">
        <f>SUM(IF(BR40=BR$5,4,0),IF(BR40&amp;BS40=BR$5&amp;BS$5,1,0),
IF(AND(BR40=BR$5,BS$6&gt;=$D$115),1,0),
IF(AND(BS40=BR$5,BS$6&gt;=$D$115),1,0),
IF(AND(BT40=BR$5,BS$6&gt;=$D$115),1,0),
IF(BR40&amp;BU40=BV$5,1,0),
IF(BS40=BR$5,2,0),
IF(BT40=BR$5,1,0),
IF(OR(BR40&amp;BS40&amp;BT40=BR$5&amp;BS$5&amp;BT$5,BR40&amp;BS40&amp;BT40=BR$5&amp;BT$5&amp;BS$5,BR40&amp;BS40&amp;BT40=BS$5&amp;BR$5&amp;BT$5,BR40&amp;BS40&amp;BT40=BS$5&amp;BT$5&amp;BR$5,BR40&amp;BS40&amp;BT40=BT$5&amp;BR$5&amp;BS$5,BR40&amp;BS40&amp;BT40=BT$5&amp;BS$5&amp;BR$5),2,0),IF(AND(BR40=BR$5,BS$6&gt;=$D$129),1,0),IF(AND(BS40=BR$5,BS$6&gt;=$D$129),1,0),IF(AND(BT40=BR$5,BS$6&gt;=$D$129),1,0),IF(BR40&amp;BU40=BU$5,4,0),IF(AND(BR40=BR$5,BS$6&lt;=$D$104),-0.5,0),IF(AND(BS40=BR$5,BS$6&lt;=$D$104),-0.5,0),IF(AND(BT40=BR$5,BS$6&lt;=$D$104),-0.5,0))</f>
        <v/>
      </c>
      <c r="BW40" s="145" t="n"/>
      <c r="BX40" s="151" t="n"/>
      <c r="BY40" s="151" t="n"/>
      <c r="BZ40" s="151" t="n"/>
      <c r="CA40" s="602">
        <f>SUM(IF(BW40=BW$5,4,0),IF(BW40&amp;BX40=BW$5&amp;BX$5,1,0),
IF(AND(BW40=BW$5,BX$6&gt;=$D$115),1,0),
IF(AND(BX40=BW$5,BX$6&gt;=$D$115),1,0),
IF(AND(BY40=BW$5,BX$6&gt;=$D$115),1,0),
IF(BW40&amp;BZ40=CA$5,1,0),
IF(BX40=BW$5,2,0),
IF(BY40=BW$5,1,0),
IF(OR(BW40&amp;BX40&amp;BY40=BW$5&amp;BX$5&amp;BY$5,BW40&amp;BX40&amp;BY40=BW$5&amp;BY$5&amp;BX$5,BW40&amp;BX40&amp;BY40=BX$5&amp;BW$5&amp;BY$5,BW40&amp;BX40&amp;BY40=BX$5&amp;BY$5&amp;BW$5,BW40&amp;BX40&amp;BY40=BY$5&amp;BW$5&amp;BX$5,BW40&amp;BX40&amp;BY40=BY$5&amp;BX$5&amp;BW$5),2,0),IF(AND(BW40=BW$5,BX$6&gt;=$D$129),1,0),IF(AND(BX40=BW$5,BX$6&gt;=$D$129),1,0),IF(AND(BY40=BW$5,BX$6&gt;=$D$129),1,0),IF(BW40&amp;BZ40=BZ$5,4,0),IF(AND(BW40=BW$5,BX$6&lt;=$D$104),-0.5,0),IF(AND(BX40=BW$5,BX$6&lt;=$D$104),-0.5,0),IF(AND(BY40=BW$5,BX$6&lt;=$D$104),-0.5,0))</f>
        <v/>
      </c>
      <c r="CB40" s="145" t="n"/>
      <c r="CC40" s="151" t="n"/>
      <c r="CD40" s="151" t="n"/>
      <c r="CE40" s="151" t="n"/>
      <c r="CF40" s="602">
        <f>SUM(IF(CB40=CB$5,4,0),IF(CB40&amp;CC40=CB$5&amp;CC$5,1,0),
IF(AND(CB40=CB$5,CC$6&gt;=$D$115),1,0),
IF(AND(CC40=CB$5,CC$6&gt;=$D$115),1,0),
IF(AND(CD40=CB$5,CC$6&gt;=$D$115),1,0),
IF(CB40&amp;CE40=CF$5,1,0),
IF(CC40=CB$5,2,0),
IF(CD40=CB$5,1,0),
IF(OR(CB40&amp;CC40&amp;CD40=CB$5&amp;CC$5&amp;CD$5,CB40&amp;CC40&amp;CD40=CB$5&amp;CD$5&amp;CC$5,CB40&amp;CC40&amp;CD40=CC$5&amp;CB$5&amp;CD$5,CB40&amp;CC40&amp;CD40=CC$5&amp;CD$5&amp;CB$5,CB40&amp;CC40&amp;CD40=CD$5&amp;CB$5&amp;CC$5,CB40&amp;CC40&amp;CD40=CD$5&amp;CC$5&amp;CB$5),2,0),IF(AND(CB40=CB$5,CC$6&gt;=$D$129),1,0),IF(AND(CC40=CB$5,CC$6&gt;=$D$129),1,0),IF(AND(CD40=CB$5,CC$6&gt;=$D$129),1,0),IF(CB40&amp;CE40=CE$5,4,0),IF(AND(CB40=CB$5,CC$6&lt;=$D$104),-0.5,0),IF(AND(CC40=CB$5,CC$6&lt;=$D$104),-0.5,0),IF(AND(CD40=CB$5,CC$6&lt;=$D$104),-0.5,0))</f>
        <v/>
      </c>
      <c r="CG40" s="164">
        <f>IF(BASE01[[#This Row],[1]]="",0,$B$4)</f>
        <v/>
      </c>
      <c r="CH40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0" s="166">
        <f>IF(BASE01[[#This Row],[Columna14]]=0,0,(CH40/CG40))</f>
        <v/>
      </c>
      <c r="CJ40" s="165">
        <f>IF(BASE01[[#This Row],[1]]="",0,$B$4)</f>
        <v/>
      </c>
      <c r="CK40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0" s="166">
        <f>IF(BASE01[[#This Row],[Columna14]]=0,0,(CK40/CJ40))</f>
        <v/>
      </c>
      <c r="CM40" s="164">
        <f>IF(BASE01[[#This Row],[1]]="",0,$B$4)</f>
        <v/>
      </c>
      <c r="CN40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0" s="166">
        <f>IF(BASE01[[#This Row],[Columna14]]=0,0,(CN40/CM40))</f>
        <v/>
      </c>
      <c r="CP40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0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Row],[Columna25]],$AX$5,BA40,"SF")+COUNTIFS(BASE01[[#This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0" s="166">
        <f>IF(BASE01[[#This Row],[Columna14]]=0,0,(CQ40/CP40))</f>
        <v/>
      </c>
      <c r="CS40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0" s="95" t="n"/>
      <c r="CU40" s="604">
        <f>SUM(CS40,CT40)</f>
        <v/>
      </c>
      <c r="CV40" s="96">
        <f>IF(BASE01[[#This Row],[TIPO]]="PREMIO",$O$3,"0,00")</f>
        <v/>
      </c>
      <c r="CW40" s="576" t="n"/>
      <c r="CY40" s="606">
        <f>IF(CZ40="","",$CZ$25)</f>
        <v/>
      </c>
      <c r="CZ40" s="392" t="n"/>
      <c r="DA40" s="392">
        <f t="array" ref="DA40">IF(CZ40="", "", IF((INDEX(E$8:CE$57, MATCH(CZ40, C$8:C$57, 0), ($CZ$25-1)*5 + 1) &amp; "") = (INDEX(E$5:CE$5, 1, ($CZ$25-1)*5 + 1) &amp; ""), 1, IF((INDEX(E$8:CE$57, MATCH(CZ40, C$8:C$57, 0), ($CZ$25-1)*5 + 2) &amp; "") = (INDEX(E$5:CE$5, 1, ($CZ$25-1)*5 + 1) &amp; ""), 2, IF((INDEX(E$8:CE$57, MATCH(CZ40, C$8:C$57, 0), ($CZ$25-1)*5 + 3) &amp; "") = (INDEX(E$5:CE$5, 1, ($CZ$25-1)*5 + 1) &amp; ""), 3, ""))))</f>
        <v/>
      </c>
      <c r="DB40" s="605">
        <f>BASE01[[#This Row],[COD]]</f>
        <v/>
      </c>
      <c r="DC40" s="395">
        <f t="array" ref="DC40">IFERROR(IF(AND(INDEX($E$8:$CE$57, MATCH($C40, $C$8:$C$57, 0), (COLUMNS($DC40:DC40)-1)*5 + 1) = INDEX($E$5:$CE$5, 1, (COLUMNS($DC40:DC40)-1)*5 + 1), INDEX($E$8:$CE$57, MATCH($C40, $C$8:$C$57, 0), (COLUMNS($DC40:DC40)-1)*5 + 4) = "F"), INDEX($CZ$8:$CZ$23, COLUMNS($DC40:DC40)), "0"), "")</f>
        <v/>
      </c>
      <c r="DD40" s="395">
        <f t="array" ref="DD40">IFERROR(IF(AND(INDEX($E$8:$CE$57, MATCH($C40, $C$8:$C$57, 0), (COLUMNS($DC40:DD40)-1)*5 + 1) = INDEX($E$5:$CE$5, 1, (COLUMNS($DC40:DD40)-1)*5 + 1), INDEX($E$8:$CE$57, MATCH($C40, $C$8:$C$57, 0), (COLUMNS($DC40:DD40)-1)*5 + 4) = "F"), INDEX($CZ$8:$CZ$23, COLUMNS($DC40:DD40)), "0"), "")</f>
        <v/>
      </c>
      <c r="DE40" s="395">
        <f t="array" ref="DE40">IFERROR(IF(AND(INDEX($E$8:$CE$57, MATCH($C40, $C$8:$C$57, 0), (COLUMNS($DC40:DE40)-1)*5 + 1) = INDEX($E$5:$CE$5, 1, (COLUMNS($DC40:DE40)-1)*5 + 1), INDEX($E$8:$CE$57, MATCH($C40, $C$8:$C$57, 0), (COLUMNS($DC40:DE40)-1)*5 + 4) = "F"), INDEX($CZ$8:$CZ$23, COLUMNS($DC40:DE40)), "0"), "")</f>
        <v/>
      </c>
      <c r="DF40" s="395">
        <f t="array" ref="DF40">IFERROR(IF(AND(INDEX($E$8:$CE$57, MATCH($C40, $C$8:$C$57, 0), (COLUMNS($DC40:DF40)-1)*5 + 1) = INDEX($E$5:$CE$5, 1, (COLUMNS($DC40:DF40)-1)*5 + 1), INDEX($E$8:$CE$57, MATCH($C40, $C$8:$C$57, 0), (COLUMNS($DC40:DF40)-1)*5 + 4) = "F"), INDEX($CZ$8:$CZ$23, COLUMNS($DC40:DF40)), "0"), "")</f>
        <v/>
      </c>
      <c r="DG40" s="395">
        <f t="array" ref="DG40">IFERROR(IF(AND(INDEX($E$8:$CE$57, MATCH($C40, $C$8:$C$57, 0), (COLUMNS($DC40:DG40)-1)*5 + 1) = INDEX($E$5:$CE$5, 1, (COLUMNS($DC40:DG40)-1)*5 + 1), INDEX($E$8:$CE$57, MATCH($C40, $C$8:$C$57, 0), (COLUMNS($DC40:DG40)-1)*5 + 4) = "F"), INDEX($CZ$8:$CZ$23, COLUMNS($DC40:DG40)), "0"), "")</f>
        <v/>
      </c>
      <c r="DH40" s="395">
        <f t="array" ref="DH40">IFERROR(IF(AND(INDEX($E$8:$CE$57, MATCH($C40, $C$8:$C$57, 0), (COLUMNS($DC40:DH40)-1)*5 + 1) = INDEX($E$5:$CE$5, 1, (COLUMNS($DC40:DH40)-1)*5 + 1), INDEX($E$8:$CE$57, MATCH($C40, $C$8:$C$57, 0), (COLUMNS($DC40:DH40)-1)*5 + 4) = "F"), INDEX($CZ$8:$CZ$23, COLUMNS($DC40:DH40)), "0"), "")</f>
        <v/>
      </c>
      <c r="DI40" s="395">
        <f t="array" ref="DI40">IFERROR(IF(AND(INDEX($E$8:$CE$57, MATCH($C40, $C$8:$C$57, 0), (COLUMNS($DC40:DI40)-1)*5 + 1) = INDEX($E$5:$CE$5, 1, (COLUMNS($DC40:DI40)-1)*5 + 1), INDEX($E$8:$CE$57, MATCH($C40, $C$8:$C$57, 0), (COLUMNS($DC40:DI40)-1)*5 + 4) = "F"), INDEX($CZ$8:$CZ$23, COLUMNS($DC40:DI40)), "0"), "")</f>
        <v/>
      </c>
      <c r="DJ40" s="395">
        <f t="array" ref="DJ40">IFERROR(IF(AND(INDEX($E$8:$CE$57, MATCH($C40, $C$8:$C$57, 0), (COLUMNS($DC40:DJ40)-1)*5 + 1) = INDEX($E$5:$CE$5, 1, (COLUMNS($DC40:DJ40)-1)*5 + 1), INDEX($E$8:$CE$57, MATCH($C40, $C$8:$C$57, 0), (COLUMNS($DC40:DJ40)-1)*5 + 4) = "F"), INDEX($CZ$8:$CZ$23, COLUMNS($DC40:DJ40)), "0"), "")</f>
        <v/>
      </c>
      <c r="DK40" s="395">
        <f t="array" ref="DK40">IFERROR(IF(AND(INDEX($E$8:$CE$57, MATCH($C40, $C$8:$C$57, 0), (COLUMNS($DC40:DK40)-1)*5 + 1) = INDEX($E$5:$CE$5, 1, (COLUMNS($DC40:DK40)-1)*5 + 1), INDEX($E$8:$CE$57, MATCH($C40, $C$8:$C$57, 0), (COLUMNS($DC40:DK40)-1)*5 + 4) = "F"), INDEX($CZ$8:$CZ$23, COLUMNS($DC40:DK40)), "0"), "")</f>
        <v/>
      </c>
      <c r="DL40" s="395">
        <f t="array" ref="DL40">IFERROR(IF(AND(INDEX($E$8:$CE$57, MATCH($C40, $C$8:$C$57, 0), (COLUMNS($DC40:DL40)-1)*5 + 1) = INDEX($E$5:$CE$5, 1, (COLUMNS($DC40:DL40)-1)*5 + 1), INDEX($E$8:$CE$57, MATCH($C40, $C$8:$C$57, 0), (COLUMNS($DC40:DL40)-1)*5 + 4) = "F"), INDEX($CZ$8:$CZ$23, COLUMNS($DC40:DL40)), "0"), "")</f>
        <v/>
      </c>
      <c r="DM40" s="395">
        <f t="array" ref="DM40">IFERROR(IF(AND(INDEX($E$8:$CE$57, MATCH($C40, $C$8:$C$57, 0), (COLUMNS($DC40:DM40)-1)*5 + 1) = INDEX($E$5:$CE$5, 1, (COLUMNS($DC40:DM40)-1)*5 + 1), INDEX($E$8:$CE$57, MATCH($C40, $C$8:$C$57, 0), (COLUMNS($DC40:DM40)-1)*5 + 4) = "F"), INDEX($CZ$8:$CZ$23, COLUMNS($DC40:DM40)), "0"), "")</f>
        <v/>
      </c>
      <c r="DN40" s="395">
        <f t="array" ref="DN40">IFERROR(IF(AND(INDEX($E$8:$CE$57, MATCH($C40, $C$8:$C$57, 0), (COLUMNS($DC40:DN40)-1)*5 + 1) = INDEX($E$5:$CE$5, 1, (COLUMNS($DC40:DN40)-1)*5 + 1), INDEX($E$8:$CE$57, MATCH($C40, $C$8:$C$57, 0), (COLUMNS($DC40:DN40)-1)*5 + 4) = "F"), INDEX($CZ$8:$CZ$23, COLUMNS($DC40:DN40)), "0"), "")</f>
        <v/>
      </c>
      <c r="DO40" s="395">
        <f t="array" ref="DO40">IFERROR(IF(AND(INDEX($E$8:$CE$57, MATCH($C40, $C$8:$C$57, 0), (COLUMNS($DC40:DO40)-1)*5 + 1) = INDEX($E$5:$CE$5, 1, (COLUMNS($DC40:DO40)-1)*5 + 1), INDEX($E$8:$CE$57, MATCH($C40, $C$8:$C$57, 0), (COLUMNS($DC40:DO40)-1)*5 + 4) = "F"), INDEX($CZ$8:$CZ$23, COLUMNS($DC40:DO40)), "0"), "")</f>
        <v/>
      </c>
      <c r="DP40" s="395">
        <f t="array" ref="DP40">IFERROR(IF(AND(INDEX($E$8:$CE$57, MATCH($C40, $C$8:$C$57, 0), (COLUMNS($DC40:DP40)-1)*5 + 1) = INDEX($E$5:$CE$5, 1, (COLUMNS($DC40:DP40)-1)*5 + 1), INDEX($E$8:$CE$57, MATCH($C40, $C$8:$C$57, 0), (COLUMNS($DC40:DP40)-1)*5 + 4) = "F"), INDEX($CZ$8:$CZ$23, COLUMNS($DC40:DP40)), "0"), "")</f>
        <v/>
      </c>
      <c r="DQ40" s="395">
        <f t="array" ref="DQ40">IFERROR(IF(AND(INDEX($E$8:$CE$57, MATCH($C40, $C$8:$C$57, 0), (COLUMNS($DC40:DQ40)-1)*5 + 1) = INDEX($E$5:$CE$5, 1, (COLUMNS($DC40:DQ40)-1)*5 + 1), INDEX($E$8:$CE$57, MATCH($C40, $C$8:$C$57, 0), (COLUMNS($DC40:DQ40)-1)*5 + 4) = "F"), INDEX($CZ$8:$CZ$23, COLUMNS($DC40:DQ40)), "0"), "")</f>
        <v/>
      </c>
      <c r="DR40" s="395">
        <f t="array" ref="DR40">IFERROR(IF(AND(INDEX($E$8:$CE$57, MATCH($C40, $C$8:$C$57, 0), (COLUMNS($DC40:DR40)-1)*5 + 1) = INDEX($E$5:$CE$5, 1, (COLUMNS($DC40:DR40)-1)*5 + 1), INDEX($E$8:$CE$57, MATCH($C40, $C$8:$C$57, 0), (COLUMNS($DC40:DR40)-1)*5 + 4) = "F"), INDEX($CZ$8:$CZ$23, COLUMNS($DC40:DR40)), "0"), "")</f>
        <v/>
      </c>
      <c r="DT40" s="605">
        <f>BASE01[[#This Row],[COD]]</f>
        <v/>
      </c>
      <c r="DU40" s="395">
        <f t="array" ref="DU40">IFERROR(IF(AND(INDEX($E$8:$CE$57, MATCH($C40, $C$8:$C$57, 0), (COLUMNS($DU40:DU40)-1)*5 + 1) = INDEX($E$5:$CE$5, 1, (COLUMNS($DU40:DU40)-1)*5 + 1), INDEX($E$8:$CE$57, MATCH($C40, $C$8:$C$57, 0), (COLUMNS($DU40:DU40)-1)*5 + 4) = "SF"), INDEX($CZ$8:$CZ$23, COLUMNS($DU40:DU40)), "0"), "")</f>
        <v/>
      </c>
      <c r="DV40" s="395">
        <f t="array" ref="DV40">IFERROR(IF(AND(INDEX($E$8:$CE$57, MATCH($C40, $C$8:$C$57, 0), (COLUMNS($DU40:DV40)-1)*5 + 1) = INDEX($E$5:$CE$5, 1, (COLUMNS($DU40:DV40)-1)*5 + 1), INDEX($E$8:$CE$57, MATCH($C40, $C$8:$C$57, 0), (COLUMNS($DU40:DV40)-1)*5 + 4) = "SF"), INDEX($CZ$8:$CZ$23, COLUMNS($DU40:DV40)), "0"), "")</f>
        <v/>
      </c>
      <c r="DW40" s="395">
        <f t="array" ref="DW40">IFERROR(IF(AND(INDEX($E$8:$CE$57, MATCH($C40, $C$8:$C$57, 0), (COLUMNS($DU40:DW40)-1)*5 + 1) = INDEX($E$5:$CE$5, 1, (COLUMNS($DU40:DW40)-1)*5 + 1), INDEX($E$8:$CE$57, MATCH($C40, $C$8:$C$57, 0), (COLUMNS($DU40:DW40)-1)*5 + 4) = "SF"), INDEX($CZ$8:$CZ$23, COLUMNS($DU40:DW40)), "0"), "")</f>
        <v/>
      </c>
      <c r="DX40" s="395">
        <f t="array" ref="DX40">IFERROR(IF(AND(INDEX($E$8:$CE$57, MATCH($C40, $C$8:$C$57, 0), (COLUMNS($DU40:DX40)-1)*5 + 1) = INDEX($E$5:$CE$5, 1, (COLUMNS($DU40:DX40)-1)*5 + 1), INDEX($E$8:$CE$57, MATCH($C40, $C$8:$C$57, 0), (COLUMNS($DU40:DX40)-1)*5 + 4) = "SF"), INDEX($CZ$8:$CZ$23, COLUMNS($DU40:DX40)), "0"), "")</f>
        <v/>
      </c>
      <c r="DY40" s="395">
        <f t="array" ref="DY40">IFERROR(IF(AND(INDEX($E$8:$CE$57, MATCH($C40, $C$8:$C$57, 0), (COLUMNS($DU40:DY40)-1)*5 + 1) = INDEX($E$5:$CE$5, 1, (COLUMNS($DU40:DY40)-1)*5 + 1), INDEX($E$8:$CE$57, MATCH($C40, $C$8:$C$57, 0), (COLUMNS($DU40:DY40)-1)*5 + 4) = "SF"), INDEX($CZ$8:$CZ$23, COLUMNS($DU40:DY40)), "0"), "")</f>
        <v/>
      </c>
      <c r="DZ40" s="395">
        <f t="array" ref="DZ40">IFERROR(IF(AND(INDEX($E$8:$CE$57, MATCH($C40, $C$8:$C$57, 0), (COLUMNS($DU40:DZ40)-1)*5 + 1) = INDEX($E$5:$CE$5, 1, (COLUMNS($DU40:DZ40)-1)*5 + 1), INDEX($E$8:$CE$57, MATCH($C40, $C$8:$C$57, 0), (COLUMNS($DU40:DZ40)-1)*5 + 4) = "SF"), INDEX($CZ$8:$CZ$23, COLUMNS($DU40:DZ40)), "0"), "")</f>
        <v/>
      </c>
      <c r="EA40" s="395">
        <f t="array" ref="EA40">IFERROR(IF(AND(INDEX($E$8:$CE$57, MATCH($C40, $C$8:$C$57, 0), (COLUMNS($DU40:EA40)-1)*5 + 1) = INDEX($E$5:$CE$5, 1, (COLUMNS($DU40:EA40)-1)*5 + 1), INDEX($E$8:$CE$57, MATCH($C40, $C$8:$C$57, 0), (COLUMNS($DU40:EA40)-1)*5 + 4) = "SF"), INDEX($CZ$8:$CZ$23, COLUMNS($DU40:EA40)), "0"), "")</f>
        <v/>
      </c>
      <c r="EB40" s="395">
        <f t="array" ref="EB40">IFERROR(IF(AND(INDEX($E$8:$CE$57, MATCH($C40, $C$8:$C$57, 0), (COLUMNS($DU40:EB40)-1)*5 + 1) = INDEX($E$5:$CE$5, 1, (COLUMNS($DU40:EB40)-1)*5 + 1), INDEX($E$8:$CE$57, MATCH($C40, $C$8:$C$57, 0), (COLUMNS($DU40:EB40)-1)*5 + 4) = "SF"), INDEX($CZ$8:$CZ$23, COLUMNS($DU40:EB40)), "0"), "")</f>
        <v/>
      </c>
      <c r="EC40" s="395">
        <f t="array" ref="EC40">IFERROR(IF(AND(INDEX($E$8:$CE$57, MATCH($C40, $C$8:$C$57, 0), (COLUMNS($DU40:EC40)-1)*5 + 1) = INDEX($E$5:$CE$5, 1, (COLUMNS($DU40:EC40)-1)*5 + 1), INDEX($E$8:$CE$57, MATCH($C40, $C$8:$C$57, 0), (COLUMNS($DU40:EC40)-1)*5 + 4) = "SF"), INDEX($CZ$8:$CZ$23, COLUMNS($DU40:EC40)), "0"), "")</f>
        <v/>
      </c>
      <c r="ED40" s="395">
        <f t="array" ref="ED40">IFERROR(IF(AND(INDEX($E$8:$CE$57, MATCH($C40, $C$8:$C$57, 0), (COLUMNS($DU40:ED40)-1)*5 + 1) = INDEX($E$5:$CE$5, 1, (COLUMNS($DU40:ED40)-1)*5 + 1), INDEX($E$8:$CE$57, MATCH($C40, $C$8:$C$57, 0), (COLUMNS($DU40:ED40)-1)*5 + 4) = "SF"), INDEX($CZ$8:$CZ$23, COLUMNS($DU40:ED40)), "0"), "")</f>
        <v/>
      </c>
      <c r="EE40" s="395">
        <f t="array" ref="EE40">IFERROR(IF(AND(INDEX($E$8:$CE$57, MATCH($C40, $C$8:$C$57, 0), (COLUMNS($DU40:EE40)-1)*5 + 1) = INDEX($E$5:$CE$5, 1, (COLUMNS($DU40:EE40)-1)*5 + 1), INDEX($E$8:$CE$57, MATCH($C40, $C$8:$C$57, 0), (COLUMNS($DU40:EE40)-1)*5 + 4) = "SF"), INDEX($CZ$8:$CZ$23, COLUMNS($DU40:EE40)), "0"), "")</f>
        <v/>
      </c>
      <c r="EF40" s="395">
        <f t="array" ref="EF40">IFERROR(IF(AND(INDEX($E$8:$CE$57, MATCH($C40, $C$8:$C$57, 0), (COLUMNS($DU40:EF40)-1)*5 + 1) = INDEX($E$5:$CE$5, 1, (COLUMNS($DU40:EF40)-1)*5 + 1), INDEX($E$8:$CE$57, MATCH($C40, $C$8:$C$57, 0), (COLUMNS($DU40:EF40)-1)*5 + 4) = "SF"), INDEX($CZ$8:$CZ$23, COLUMNS($DU40:EF40)), "0"), "")</f>
        <v/>
      </c>
      <c r="EG40" s="395">
        <f t="array" ref="EG40">IFERROR(IF(AND(INDEX($E$8:$CE$57, MATCH($C40, $C$8:$C$57, 0), (COLUMNS($DU40:EG40)-1)*5 + 1) = INDEX($E$5:$CE$5, 1, (COLUMNS($DU40:EG40)-1)*5 + 1), INDEX($E$8:$CE$57, MATCH($C40, $C$8:$C$57, 0), (COLUMNS($DU40:EG40)-1)*5 + 4) = "SF"), INDEX($CZ$8:$CZ$23, COLUMNS($DU40:EG40)), "0"), "")</f>
        <v/>
      </c>
      <c r="EH40" s="395">
        <f t="array" ref="EH40">IFERROR(IF(AND(INDEX($E$8:$CE$57, MATCH($C40, $C$8:$C$57, 0), (COLUMNS($DU40:EH40)-1)*5 + 1) = INDEX($E$5:$CE$5, 1, (COLUMNS($DU40:EH40)-1)*5 + 1), INDEX($E$8:$CE$57, MATCH($C40, $C$8:$C$57, 0), (COLUMNS($DU40:EH40)-1)*5 + 4) = "SF"), INDEX($CZ$8:$CZ$23, COLUMNS($DU40:EH40)), "0"), "")</f>
        <v/>
      </c>
      <c r="EI40" s="395">
        <f t="array" ref="EI40">IFERROR(IF(AND(INDEX($E$8:$CE$57, MATCH($C40, $C$8:$C$57, 0), (COLUMNS($DU40:EI40)-1)*5 + 1) = INDEX($E$5:$CE$5, 1, (COLUMNS($DU40:EI40)-1)*5 + 1), INDEX($E$8:$CE$57, MATCH($C40, $C$8:$C$57, 0), (COLUMNS($DU40:EI40)-1)*5 + 4) = "SF"), INDEX($CZ$8:$CZ$23, COLUMNS($DU40:EI40)), "0"), "")</f>
        <v/>
      </c>
      <c r="EJ40" s="395">
        <f t="array" ref="EJ40">IFERROR(IF(AND(INDEX($E$8:$CE$57, MATCH($C40, $C$8:$C$57, 0), (COLUMNS($DU40:EJ40)-1)*5 + 1) = INDEX($E$5:$CE$5, 1, (COLUMNS($DU40:EJ40)-1)*5 + 1), INDEX($E$8:$CE$57, MATCH($C40, $C$8:$C$57, 0), (COLUMNS($DU40:EJ40)-1)*5 + 4) = "SF"), INDEX($CZ$8:$CZ$23, COLUMNS($DU40:EJ40)), "0"), "")</f>
        <v/>
      </c>
    </row>
    <row r="41" ht="20.1" customHeight="1" s="568">
      <c r="A41" s="576" t="n"/>
      <c r="B41" s="92">
        <f>IF(BASE01[[#This Row],[COD]]&lt;&gt;"",B40+1,"")</f>
        <v/>
      </c>
      <c r="C41" s="601" t="inlineStr">
        <is>
          <t>COD 34</t>
        </is>
      </c>
      <c r="D41" s="93">
        <f t="array" ref="D4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1" s="145" t="n">
        <v>2</v>
      </c>
      <c r="F41" s="151" t="n">
        <v>1</v>
      </c>
      <c r="G41" s="151" t="n">
        <v>8</v>
      </c>
      <c r="H41" s="151" t="n"/>
      <c r="I41" s="602">
        <f>SUM(IF(E41=E$5,4,0),IF(E41&amp;F41=E$5&amp;F$5,1,0),
IF(AND(E41=E$5,F$6&gt;=$D$115),1,0),
IF(AND(F41=E$5,F$6&gt;=$D$115),1,0),
IF(AND(G41=E$5,F$6&gt;=$D$115),1,0),
IF(E41&amp;H41=I$5,1,0),
IF(F41=E$5,2,0),
IF(G41=E$5,1,0),
IF(OR(E41&amp;F41&amp;G41=E$5&amp;F$5&amp;G$5,E41&amp;F41&amp;G41=E$5&amp;G$5&amp;F$5,E41&amp;F41&amp;G41=F$5&amp;E$5&amp;G$5,E41&amp;F41&amp;G41=F$5&amp;G$5&amp;E$5,E41&amp;F41&amp;G41=G$5&amp;E$5&amp;F$5,E41&amp;F41&amp;G41=G$5&amp;F$5&amp;E$5),2,0),IF(AND(E41=E$5,F$6&gt;=$D$129),1,0),IF(AND(F41=E$5,F$6&gt;=$D$129),1,0),IF(AND(G41=E$5,F$6&gt;=$D$129),1,0),IF(E41&amp;H41=H$5,4,0),IF(AND(E41=E$5,F$6&lt;=$D$104),-0.5,0),IF(AND(F41=E$5,F$6&lt;=$D$104),-0.5,0),IF(AND(G41=E$5,F$6&lt;=$D$104),-0.5,0))</f>
        <v/>
      </c>
      <c r="J41" s="145" t="n">
        <v>8</v>
      </c>
      <c r="K41" s="151" t="n">
        <v>3</v>
      </c>
      <c r="L41" s="151" t="n">
        <v>5</v>
      </c>
      <c r="M41" s="151" t="n"/>
      <c r="N41" s="602">
        <f>SUM(IF(J41=J$5,4,0),IF(J41&amp;K41=J$5&amp;K$5,1,0),
IF(AND(J41=J$5,K$6&gt;=$D$115),1,0),
IF(AND(K41=J$5,K$6&gt;=$D$115),1,0),
IF(AND(L41=J$5,K$6&gt;=$D$115),1,0),
IF(J41&amp;M41=N$5,1,0),
IF(K41=J$5,2,0),
IF(L41=J$5,1,0),
IF(OR(J41&amp;K41&amp;L41=J$5&amp;K$5&amp;L$5,J41&amp;K41&amp;L41=J$5&amp;L$5&amp;K$5,J41&amp;K41&amp;L41=K$5&amp;J$5&amp;L$5,J41&amp;K41&amp;L41=K$5&amp;L$5&amp;J$5,J41&amp;K41&amp;L41=L$5&amp;J$5&amp;K$5,J41&amp;K41&amp;L41=L$5&amp;K$5&amp;J$5),2,0),IF(AND(J41=J$5,K$6&gt;=$D$129),1,0),IF(AND(K41=J$5,K$6&gt;=$D$129),1,0),IF(AND(L41=J$5,K$6&gt;=$D$129),1,0),IF(J41&amp;M41=M$5,4,0),IF(AND(J41=J$5,K$6&lt;=$D$104),-0.5,0),IF(AND(K41=J$5,K$6&lt;=$D$104),-0.5,0),IF(AND(L41=J$5,K$6&lt;=$D$104),-0.5,0))</f>
        <v/>
      </c>
      <c r="O41" s="145" t="n">
        <v>3</v>
      </c>
      <c r="P41" s="151" t="n">
        <v>6</v>
      </c>
      <c r="Q41" s="151" t="n">
        <v>8</v>
      </c>
      <c r="R41" s="151" t="n"/>
      <c r="S41" s="602">
        <f>SUM(IF(O41=O$5,4,0),IF(O41&amp;P41=O$5&amp;P$5,1,0),
IF(AND(O41=O$5,P$6&gt;=$D$115),1,0),
IF(AND(P41=O$5,P$6&gt;=$D$115),1,0),
IF(AND(Q41=O$5,P$6&gt;=$D$115),1,0),
IF(O41&amp;R41=S$5,1,0),
IF(P41=O$5,2,0),
IF(Q41=O$5,1,0),
IF(OR(O41&amp;P41&amp;Q41=O$5&amp;P$5&amp;Q$5,O41&amp;P41&amp;Q41=O$5&amp;Q$5&amp;P$5,O41&amp;P41&amp;Q41=P$5&amp;O$5&amp;Q$5,O41&amp;P41&amp;Q41=P$5&amp;Q$5&amp;O$5,O41&amp;P41&amp;Q41=Q$5&amp;O$5&amp;P$5,O41&amp;P41&amp;Q41=Q$5&amp;P$5&amp;O$5),2,0),IF(AND(O41=O$5,P$6&gt;=$D$129),1,0),IF(AND(P41=O$5,P$6&gt;=$D$129),1,0),IF(AND(Q41=O$5,P$6&gt;=$D$129),1,0),IF(O41&amp;R41=R$5,4,0),IF(AND(O41=O$5,P$6&lt;=$D$104),-0.5,0),IF(AND(P41=O$5,P$6&lt;=$D$104),-0.5,0),IF(AND(Q41=O$5,P$6&lt;=$D$104),-0.5,0))</f>
        <v/>
      </c>
      <c r="T41" s="145" t="n">
        <v>6</v>
      </c>
      <c r="U41" s="151" t="n"/>
      <c r="V41" s="151" t="n"/>
      <c r="W41" s="151" t="inlineStr">
        <is>
          <t>SF</t>
        </is>
      </c>
      <c r="X41" s="602">
        <f>SUM(IF(T41=T$5,4,0),IF(T41&amp;U41=T$5&amp;U$5,1,0),
IF(AND(T41=T$5,U$6&gt;=$D$115),1,0),
IF(AND(U41=T$5,U$6&gt;=$D$115),1,0),
IF(AND(V41=T$5,U$6&gt;=$D$115),1,0),
IF(T41&amp;W41=X$5,1,0),
IF(U41=T$5,2,0),
IF(V41=T$5,1,0),
IF(OR(T41&amp;U41&amp;V41=T$5&amp;U$5&amp;V$5,T41&amp;U41&amp;V41=T$5&amp;V$5&amp;U$5,T41&amp;U41&amp;V41=U$5&amp;T$5&amp;V$5,T41&amp;U41&amp;V41=U$5&amp;V$5&amp;T$5,T41&amp;U41&amp;V41=V$5&amp;T$5&amp;U$5,T41&amp;U41&amp;V41=V$5&amp;U$5&amp;T$5),2,0),IF(AND(T41=T$5,U$6&gt;=$D$129),1,0),IF(AND(U41=T$5,U$6&gt;=$D$129),1,0),IF(AND(V41=T$5,U$6&gt;=$D$129),1,0),IF(T41&amp;W41=W$5,4,0),IF(AND(T41=T$5,U$6&lt;=$D$104),-0.5,0),IF(AND(U41=T$5,U$6&lt;=$D$104),-0.5,0),IF(AND(V41=T$5,U$6&lt;=$D$104),-0.5,0))</f>
        <v/>
      </c>
      <c r="Y41" s="145" t="n">
        <v>5</v>
      </c>
      <c r="Z41" s="151" t="n">
        <v>10</v>
      </c>
      <c r="AA41" s="151" t="n">
        <v>3</v>
      </c>
      <c r="AB41" s="151" t="inlineStr">
        <is>
          <t>F</t>
        </is>
      </c>
      <c r="AC41" s="602">
        <f>SUM(IF(Y41=Y$5,4,0),IF(Y41&amp;Z41=Y$5&amp;Z$5,1,0),
IF(AND(Y41=Y$5,Z$6&gt;=$D$115),1,0),
IF(AND(Z41=Y$5,Z$6&gt;=$D$115),1,0),
IF(AND(AA41=Y$5,Z$6&gt;=$D$115),1,0),
IF(Y41&amp;AB41=AC$5,1,0),
IF(Z41=Y$5,2,0),
IF(AA41=Y$5,1,0),
IF(OR(Y41&amp;Z41&amp;AA41=Y$5&amp;Z$5&amp;AA$5,Y41&amp;Z41&amp;AA41=Y$5&amp;AA$5&amp;Z$5,Y41&amp;Z41&amp;AA41=Z$5&amp;Y$5&amp;AA$5,Y41&amp;Z41&amp;AA41=Z$5&amp;AA$5&amp;Y$5,Y41&amp;Z41&amp;AA41=AA$5&amp;Y$5&amp;Z$5,Y41&amp;Z41&amp;AA41=AA$5&amp;Z$5&amp;Y$5),2,0),IF(AND(Y41=Y$5,Z$6&gt;=$D$129),1,0),IF(AND(Z41=Y$5,Z$6&gt;=$D$129),1,0),IF(AND(AA41=Y$5,Z$6&gt;=$D$129),1,0),IF(Y41&amp;AB41=AB$5,4,0),IF(AND(Y41=Y$5,Z$6&lt;=$D$104),-0.5,0),IF(AND(Z41=Y$5,Z$6&lt;=$D$104),-0.5,0),IF(AND(AA41=Y$5,Z$6&lt;=$D$104),-0.5,0))</f>
        <v/>
      </c>
      <c r="AD41" s="145" t="n">
        <v>7</v>
      </c>
      <c r="AE41" s="151" t="n">
        <v>5</v>
      </c>
      <c r="AF41" s="151" t="n">
        <v>2</v>
      </c>
      <c r="AG41" s="151" t="n"/>
      <c r="AH41" s="602">
        <f>SUM(IF(AD41=AD$5,4,0),IF(AD41&amp;AE41=AD$5&amp;AE$5,1,0),
IF(AND(AD41=AD$5,AE$6&gt;=$D$115),1,0),
IF(AND(AE41=AD$5,AE$6&gt;=$D$115),1,0),
IF(AND(AF41=AD$5,AE$6&gt;=$D$115),1,0),
IF(AD41&amp;AG41=AH$5,1,0),
IF(AE41=AD$5,2,0),
IF(AF41=AD$5,1,0),
IF(OR(AD41&amp;AE41&amp;AF41=AD$5&amp;AE$5&amp;AF$5,AD41&amp;AE41&amp;AF41=AD$5&amp;AF$5&amp;AE$5,AD41&amp;AE41&amp;AF41=AE$5&amp;AD$5&amp;AF$5,AD41&amp;AE41&amp;AF41=AE$5&amp;AF$5&amp;AD$5,AD41&amp;AE41&amp;AF41=AF$5&amp;AD$5&amp;AE$5,AD41&amp;AE41&amp;AF41=AF$5&amp;AE$5&amp;AD$5),2,0),IF(AND(AD41=AD$5,AE$6&gt;=$D$129),1,0),IF(AND(AE41=AD$5,AE$6&gt;=$D$129),1,0),IF(AND(AF41=AD$5,AE$6&gt;=$D$129),1,0),IF(AD41&amp;AG41=AG$5,4,0),IF(AND(AD41=AD$5,AE$6&lt;=$D$104),-0.5,0),IF(AND(AE41=AD$5,AE$6&lt;=$D$104),-0.5,0),IF(AND(AF41=AD$5,AE$6&lt;=$D$104),-0.5,0))</f>
        <v/>
      </c>
      <c r="AI41" s="145" t="n">
        <v>3</v>
      </c>
      <c r="AJ41" s="151" t="n">
        <v>4</v>
      </c>
      <c r="AK41" s="151" t="n">
        <v>7</v>
      </c>
      <c r="AL41" s="151" t="n"/>
      <c r="AM41" s="602">
        <f>SUM(IF(AI41=AI$5,4,0),IF(AI41&amp;AJ41=AI$5&amp;AJ$5,1,0),
IF(AND(AI41=AI$5,AJ$6&gt;=$D$115),1,0),
IF(AND(AJ41=AI$5,AJ$6&gt;=$D$115),1,0),
IF(AND(AK41=AI$5,AJ$6&gt;=$D$115),1,0),
IF(AI41&amp;AL41=AM$5,1,0),
IF(AJ41=AI$5,2,0),
IF(AK41=AI$5,1,0),
IF(OR(AI41&amp;AJ41&amp;AK41=AI$5&amp;AJ$5&amp;AK$5,AI41&amp;AJ41&amp;AK41=AI$5&amp;AK$5&amp;AJ$5,AI41&amp;AJ41&amp;AK41=AJ$5&amp;AI$5&amp;AK$5,AI41&amp;AJ41&amp;AK41=AJ$5&amp;AK$5&amp;AI$5,AI41&amp;AJ41&amp;AK41=AK$5&amp;AI$5&amp;AJ$5,AI41&amp;AJ41&amp;AK41=AK$5&amp;AJ$5&amp;AI$5),2,0),IF(AND(AI41=AI$5,AJ$6&gt;=$D$129),1,0),IF(AND(AJ41=AI$5,AJ$6&gt;=$D$129),1,0),IF(AND(AK41=AI$5,AJ$6&gt;=$D$129),1,0),IF(AI41&amp;AL41=AL$5,4,0),IF(AND(AI41=AI$5,AJ$6&lt;=$D$104),-0.5,0),IF(AND(AJ41=AI$5,AJ$6&lt;=$D$104),-0.5,0),IF(AND(AK41=AI$5,AJ$6&lt;=$D$104),-0.5,0))</f>
        <v/>
      </c>
      <c r="AN41" s="145" t="n">
        <v>9</v>
      </c>
      <c r="AO41" s="151" t="n">
        <v>8</v>
      </c>
      <c r="AP41" s="151" t="n">
        <v>1</v>
      </c>
      <c r="AQ41" s="151" t="n"/>
      <c r="AR41" s="602">
        <f>SUM(IF(AN41=AN$5,4,0),IF(AN41&amp;AO41=AN$5&amp;AO$5,1,0),
IF(AND(AN41=AN$5,AO$6&gt;=$D$115),1,0),
IF(AND(AO41=AN$5,AO$6&gt;=$D$115),1,0),
IF(AND(AP41=AN$5,AO$6&gt;=$D$115),1,0),
IF(AN41&amp;AQ41=AR$5,1,0),
IF(AO41=AN$5,2,0),
IF(AP41=AN$5,1,0),
IF(OR(AN41&amp;AO41&amp;AP41=AN$5&amp;AO$5&amp;AP$5,AN41&amp;AO41&amp;AP41=AN$5&amp;AP$5&amp;AO$5,AN41&amp;AO41&amp;AP41=AO$5&amp;AN$5&amp;AP$5,AN41&amp;AO41&amp;AP41=AO$5&amp;AP$5&amp;AN$5,AN41&amp;AO41&amp;AP41=AP$5&amp;AN$5&amp;AO$5,AN41&amp;AO41&amp;AP41=AP$5&amp;AO$5&amp;AN$5),2,0),IF(AND(AN41=AN$5,AO$6&gt;=$D$129),1,0),IF(AND(AO41=AN$5,AO$6&gt;=$D$129),1,0),IF(AND(AP41=AN$5,AO$6&gt;=$D$129),1,0),IF(AN41&amp;AQ41=AQ$5,4,0),IF(AND(AN41=AN$5,AO$6&lt;=$D$104),-0.5,0),IF(AND(AO41=AN$5,AO$6&lt;=$D$104),-0.5,0),IF(AND(AP41=AN$5,AO$6&lt;=$D$104),-0.5,0))</f>
        <v/>
      </c>
      <c r="AS41" s="145" t="n">
        <v>1</v>
      </c>
      <c r="AT41" s="151" t="n">
        <v>2</v>
      </c>
      <c r="AU41" s="151" t="n">
        <v>7</v>
      </c>
      <c r="AV41" s="151" t="n"/>
      <c r="AW41" s="602">
        <f>SUM(IF(AS41=AS$5,4,0),IF(AS41&amp;AT41=AS$5&amp;AT$5,1,0),
IF(AND(AS41=AS$5,AT$6&gt;=$D$115),1,0),
IF(AND(AT41=AS$5,AT$6&gt;=$D$115),1,0),
IF(AND(AU41=AS$5,AT$6&gt;=$D$115),1,0),
IF(AS41&amp;AV41=AW$5,1,0),
IF(AT41=AS$5,2,0),
IF(AU41=AS$5,1,0),
IF(OR(AS41&amp;AT41&amp;AU41=AS$5&amp;AT$5&amp;AU$5,AS41&amp;AT41&amp;AU41=AS$5&amp;AU$5&amp;AT$5,AS41&amp;AT41&amp;AU41=AT$5&amp;AS$5&amp;AU$5,AS41&amp;AT41&amp;AU41=AT$5&amp;AU$5&amp;AS$5,AS41&amp;AT41&amp;AU41=AU$5&amp;AS$5&amp;AT$5,AS41&amp;AT41&amp;AU41=AU$5&amp;AT$5&amp;AS$5),2,0),IF(AND(AS41=AS$5,AT$6&gt;=$D$129),1,0),IF(AND(AT41=AS$5,AT$6&gt;=$D$129),1,0),IF(AND(AU41=AS$5,AT$6&gt;=$D$129),1,0),IF(AS41&amp;AV41=AV$5,4,0),IF(AND(AS41=AS$5,AT$6&lt;=$D$104),-0.5,0),IF(AND(AT41=AS$5,AT$6&lt;=$D$104),-0.5,0),IF(AND(AU41=AS$5,AT$6&lt;=$D$104),-0.5,0))</f>
        <v/>
      </c>
      <c r="AX41" s="145" t="n">
        <v>9</v>
      </c>
      <c r="AY41" s="151" t="n">
        <v>1</v>
      </c>
      <c r="AZ41" s="151" t="n">
        <v>8</v>
      </c>
      <c r="BA41" s="151" t="n"/>
      <c r="BB41" s="602">
        <f>SUM(IF(AX41=AX$5,4,0),IF(AX41&amp;AY41=AX$5&amp;AY$5,1,0),
IF(AND(AX41=AX$5,AY$6&gt;=$D$115),1,0),
IF(AND(AY41=AX$5,AY$6&gt;=$D$115),1,0),
IF(AND(AZ41=AX$5,AY$6&gt;=$D$115),1,0),
IF(AX41&amp;BA41=BB$5,1,0),
IF(AY41=AX$5,2,0),
IF(AZ41=AX$5,1,0),
IF(OR(AX41&amp;AY41&amp;AZ41=AX$5&amp;AY$5&amp;AZ$5,AX41&amp;AY41&amp;AZ41=AX$5&amp;AZ$5&amp;AY$5,AX41&amp;AY41&amp;AZ41=AY$5&amp;AX$5&amp;AZ$5,AX41&amp;AY41&amp;AZ41=AY$5&amp;AZ$5&amp;AX$5,AX41&amp;AY41&amp;AZ41=AZ$5&amp;AX$5&amp;AY$5,AX41&amp;AY41&amp;AZ41=AZ$5&amp;AY$5&amp;AX$5),2,0),IF(AND(AX41=AX$5,AY$6&gt;=$D$129),1,0),IF(AND(AY41=AX$5,AY$6&gt;=$D$129),1,0),IF(AND(AZ41=AX$5,AY$6&gt;=$D$129),1,0),IF(AX41&amp;BA41=BA$5,4,0),IF(AND(AX41=AX$5,AY$6&lt;=$D$104),-0.5,0),IF(AND(AY41=AX$5,AY$6&lt;=$D$104),-0.5,0),IF(AND(AZ41=AX$5,AY$6&lt;=$D$104),-0.5,0))</f>
        <v/>
      </c>
      <c r="BC41" s="145" t="n">
        <v>4</v>
      </c>
      <c r="BD41" s="151" t="n">
        <v>2</v>
      </c>
      <c r="BE41" s="151" t="n">
        <v>3</v>
      </c>
      <c r="BF41" s="151" t="n"/>
      <c r="BG41" s="602">
        <f>SUM(IF(BC41=BC$5,4,0),IF(BC41&amp;BD41=BC$5&amp;BD$5,1,0),
IF(AND(BC41=BC$5,BD$6&gt;=$D$115),1,0),
IF(AND(BD41=BC$5,BD$6&gt;=$D$115),1,0),
IF(AND(BE41=BC$5,BD$6&gt;=$D$115),1,0),
IF(BC41&amp;BF41=BG$5,1,0),
IF(BD41=BC$5,2,0),
IF(BE41=BC$5,1,0),
IF(OR(BC41&amp;BD41&amp;BE41=BC$5&amp;BD$5&amp;BE$5,BC41&amp;BD41&amp;BE41=BC$5&amp;BE$5&amp;BD$5,BC41&amp;BD41&amp;BE41=BD$5&amp;BC$5&amp;BE$5,BC41&amp;BD41&amp;BE41=BD$5&amp;BE$5&amp;BC$5,BC41&amp;BD41&amp;BE41=BE$5&amp;BC$5&amp;BD$5,BC41&amp;BD41&amp;BE41=BE$5&amp;BD$5&amp;BC$5),2,0),IF(AND(BC41=BC$5,BD$6&gt;=$D$129),1,0),IF(AND(BD41=BC$5,BD$6&gt;=$D$129),1,0),IF(AND(BE41=BC$5,BD$6&gt;=$D$129),1,0),IF(BC41&amp;BF41=BF$5,4,0),IF(AND(BC41=BC$5,BD$6&lt;=$D$104),-0.5,0),IF(AND(BD41=BC$5,BD$6&lt;=$D$104),-0.5,0),IF(AND(BE41=BC$5,BD$6&lt;=$D$104),-0.5,0))</f>
        <v/>
      </c>
      <c r="BH41" s="145" t="n">
        <v>5</v>
      </c>
      <c r="BI41" s="151" t="n">
        <v>2</v>
      </c>
      <c r="BJ41" s="151" t="n">
        <v>6</v>
      </c>
      <c r="BK41" s="151" t="n"/>
      <c r="BL41" s="602">
        <f>SUM(IF(BH41=BH$5,4,0),IF(BH41&amp;BI41=BH$5&amp;BI$5,1,0),
IF(AND(BH41=BH$5,BI$6&gt;=$D$115),1,0),
IF(AND(BI41=BH$5,BI$6&gt;=$D$115),1,0),
IF(AND(BJ41=BH$5,BI$6&gt;=$D$115),1,0),
IF(BH41&amp;BK41=BL$5,1,0),
IF(BI41=BH$5,2,0),
IF(BJ41=BH$5,1,0),
IF(OR(BH41&amp;BI41&amp;BJ41=BH$5&amp;BI$5&amp;BJ$5,BH41&amp;BI41&amp;BJ41=BH$5&amp;BJ$5&amp;BI$5,BH41&amp;BI41&amp;BJ41=BI$5&amp;BH$5&amp;BJ$5,BH41&amp;BI41&amp;BJ41=BI$5&amp;BJ$5&amp;BH$5,BH41&amp;BI41&amp;BJ41=BJ$5&amp;BH$5&amp;BI$5,BH41&amp;BI41&amp;BJ41=BJ$5&amp;BI$5&amp;BH$5),2,0),IF(AND(BH41=BH$5,BI$6&gt;=$D$129),1,0),IF(AND(BI41=BH$5,BI$6&gt;=$D$129),1,0),IF(AND(BJ41=BH$5,BI$6&gt;=$D$129),1,0),IF(BH41&amp;BK41=BK$5,4,0),IF(AND(BH41=BH$5,BI$6&lt;=$D$104),-0.5,0),IF(AND(BI41=BH$5,BI$6&lt;=$D$104),-0.5,0),IF(AND(BJ41=BH$5,BI$6&lt;=$D$104),-0.5,0))</f>
        <v/>
      </c>
      <c r="BM41" s="145" t="n">
        <v>3</v>
      </c>
      <c r="BN41" s="151" t="n">
        <v>12</v>
      </c>
      <c r="BO41" s="151" t="n">
        <v>1</v>
      </c>
      <c r="BP41" s="151" t="inlineStr">
        <is>
          <t>F</t>
        </is>
      </c>
      <c r="BQ41" s="602">
        <f>SUM(IF(BM41=BM$5,4,0),IF(BM41&amp;BN41=BM$5&amp;BN$5,1,0),
IF(AND(BM41=BM$5,BN$6&gt;=$D$115),1,0),
IF(AND(BN41=BM$5,BN$6&gt;=$D$115),1,0),
IF(AND(BO41=BM$5,BN$6&gt;=$D$115),1,0),
IF(BM41&amp;BP41=BQ$5,1,0),
IF(BN41=BM$5,2,0),
IF(BO41=BM$5,1,0),
IF(OR(BM41&amp;BN41&amp;BO41=BM$5&amp;BN$5&amp;BO$5,BM41&amp;BN41&amp;BO41=BM$5&amp;BO$5&amp;BN$5,BM41&amp;BN41&amp;BO41=BN$5&amp;BM$5&amp;BO$5,BM41&amp;BN41&amp;BO41=BN$5&amp;BO$5&amp;BM$5,BM41&amp;BN41&amp;BO41=BO$5&amp;BM$5&amp;BN$5,BM41&amp;BN41&amp;BO41=BO$5&amp;BN$5&amp;BM$5),2,0),IF(AND(BM41=BM$5,BN$6&gt;=$D$129),1,0),IF(AND(BN41=BM$5,BN$6&gt;=$D$129),1,0),IF(AND(BO41=BM$5,BN$6&gt;=$D$129),1,0),IF(BM41&amp;BP41=BP$5,4,0),IF(AND(BM41=BM$5,BN$6&lt;=$D$104),-0.5,0),IF(AND(BN41=BM$5,BN$6&lt;=$D$104),-0.5,0),IF(AND(BO41=BM$5,BN$6&lt;=$D$104),-0.5,0))</f>
        <v/>
      </c>
      <c r="BR41" s="145" t="n"/>
      <c r="BS41" s="151" t="n"/>
      <c r="BT41" s="151" t="n"/>
      <c r="BU41" s="151" t="n"/>
      <c r="BV41" s="602">
        <f>SUM(IF(BR41=BR$5,4,0),IF(BR41&amp;BS41=BR$5&amp;BS$5,1,0),
IF(AND(BR41=BR$5,BS$6&gt;=$D$115),1,0),
IF(AND(BS41=BR$5,BS$6&gt;=$D$115),1,0),
IF(AND(BT41=BR$5,BS$6&gt;=$D$115),1,0),
IF(BR41&amp;BU41=BV$5,1,0),
IF(BS41=BR$5,2,0),
IF(BT41=BR$5,1,0),
IF(OR(BR41&amp;BS41&amp;BT41=BR$5&amp;BS$5&amp;BT$5,BR41&amp;BS41&amp;BT41=BR$5&amp;BT$5&amp;BS$5,BR41&amp;BS41&amp;BT41=BS$5&amp;BR$5&amp;BT$5,BR41&amp;BS41&amp;BT41=BS$5&amp;BT$5&amp;BR$5,BR41&amp;BS41&amp;BT41=BT$5&amp;BR$5&amp;BS$5,BR41&amp;BS41&amp;BT41=BT$5&amp;BS$5&amp;BR$5),2,0),IF(AND(BR41=BR$5,BS$6&gt;=$D$129),1,0),IF(AND(BS41=BR$5,BS$6&gt;=$D$129),1,0),IF(AND(BT41=BR$5,BS$6&gt;=$D$129),1,0),IF(BR41&amp;BU41=BU$5,4,0),IF(AND(BR41=BR$5,BS$6&lt;=$D$104),-0.5,0),IF(AND(BS41=BR$5,BS$6&lt;=$D$104),-0.5,0),IF(AND(BT41=BR$5,BS$6&lt;=$D$104),-0.5,0))</f>
        <v/>
      </c>
      <c r="BW41" s="145" t="n"/>
      <c r="BX41" s="151" t="n"/>
      <c r="BY41" s="151" t="n"/>
      <c r="BZ41" s="151" t="n"/>
      <c r="CA41" s="602">
        <f>SUM(IF(BW41=BW$5,4,0),IF(BW41&amp;BX41=BW$5&amp;BX$5,1,0),
IF(AND(BW41=BW$5,BX$6&gt;=$D$115),1,0),
IF(AND(BX41=BW$5,BX$6&gt;=$D$115),1,0),
IF(AND(BY41=BW$5,BX$6&gt;=$D$115),1,0),
IF(BW41&amp;BZ41=CA$5,1,0),
IF(BX41=BW$5,2,0),
IF(BY41=BW$5,1,0),
IF(OR(BW41&amp;BX41&amp;BY41=BW$5&amp;BX$5&amp;BY$5,BW41&amp;BX41&amp;BY41=BW$5&amp;BY$5&amp;BX$5,BW41&amp;BX41&amp;BY41=BX$5&amp;BW$5&amp;BY$5,BW41&amp;BX41&amp;BY41=BX$5&amp;BY$5&amp;BW$5,BW41&amp;BX41&amp;BY41=BY$5&amp;BW$5&amp;BX$5,BW41&amp;BX41&amp;BY41=BY$5&amp;BX$5&amp;BW$5),2,0),IF(AND(BW41=BW$5,BX$6&gt;=$D$129),1,0),IF(AND(BX41=BW$5,BX$6&gt;=$D$129),1,0),IF(AND(BY41=BW$5,BX$6&gt;=$D$129),1,0),IF(BW41&amp;BZ41=BZ$5,4,0),IF(AND(BW41=BW$5,BX$6&lt;=$D$104),-0.5,0),IF(AND(BX41=BW$5,BX$6&lt;=$D$104),-0.5,0),IF(AND(BY41=BW$5,BX$6&lt;=$D$104),-0.5,0))</f>
        <v/>
      </c>
      <c r="CB41" s="145" t="n"/>
      <c r="CC41" s="151" t="n"/>
      <c r="CD41" s="151" t="n"/>
      <c r="CE41" s="151" t="n"/>
      <c r="CF41" s="602">
        <f>SUM(IF(CB41=CB$5,4,0),IF(CB41&amp;CC41=CB$5&amp;CC$5,1,0),
IF(AND(CB41=CB$5,CC$6&gt;=$D$115),1,0),
IF(AND(CC41=CB$5,CC$6&gt;=$D$115),1,0),
IF(AND(CD41=CB$5,CC$6&gt;=$D$115),1,0),
IF(CB41&amp;CE41=CF$5,1,0),
IF(CC41=CB$5,2,0),
IF(CD41=CB$5,1,0),
IF(OR(CB41&amp;CC41&amp;CD41=CB$5&amp;CC$5&amp;CD$5,CB41&amp;CC41&amp;CD41=CB$5&amp;CD$5&amp;CC$5,CB41&amp;CC41&amp;CD41=CC$5&amp;CB$5&amp;CD$5,CB41&amp;CC41&amp;CD41=CC$5&amp;CD$5&amp;CB$5,CB41&amp;CC41&amp;CD41=CD$5&amp;CB$5&amp;CC$5,CB41&amp;CC41&amp;CD41=CD$5&amp;CC$5&amp;CB$5),2,0),IF(AND(CB41=CB$5,CC$6&gt;=$D$129),1,0),IF(AND(CC41=CB$5,CC$6&gt;=$D$129),1,0),IF(AND(CD41=CB$5,CC$6&gt;=$D$129),1,0),IF(CB41&amp;CE41=CE$5,4,0),IF(AND(CB41=CB$5,CC$6&lt;=$D$104),-0.5,0),IF(AND(CC41=CB$5,CC$6&lt;=$D$104),-0.5,0),IF(AND(CD41=CB$5,CC$6&lt;=$D$104),-0.5,0))</f>
        <v/>
      </c>
      <c r="CG41" s="164">
        <f>IF(BASE01[[#This Row],[1]]="",0,$B$4)</f>
        <v/>
      </c>
      <c r="CH41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1" s="166">
        <f>IF(BASE01[[#This Row],[Columna14]]=0,0,(CH41/CG41))</f>
        <v/>
      </c>
      <c r="CJ41" s="165">
        <f>IF(BASE01[[#This Row],[1]]="",0,$B$4)</f>
        <v/>
      </c>
      <c r="CK41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1" s="166">
        <f>IF(BASE01[[#This Row],[Columna14]]=0,0,(CK41/CJ41))</f>
        <v/>
      </c>
      <c r="CM41" s="164">
        <f>IF(BASE01[[#This Row],[1]]="",0,$B$4)</f>
        <v/>
      </c>
      <c r="CN41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1" s="166">
        <f>IF(BASE01[[#This Row],[Columna14]]=0,0,(CN41/CM41))</f>
        <v/>
      </c>
      <c r="CP41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1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Row],[Columna25]],$AX$5,BA41,"SF")+COUNTIFS(BASE01[[#This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1" s="166">
        <f>IF(BASE01[[#This Row],[Columna14]]=0,0,(CQ41/CP41))</f>
        <v/>
      </c>
      <c r="CS41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1" s="95" t="n"/>
      <c r="CU41" s="604">
        <f>SUM(CS41,CT41)</f>
        <v/>
      </c>
      <c r="CV41" s="96">
        <f>IF(BASE01[[#This Row],[TIPO]]="PREMIO",$O$3,"0,00")</f>
        <v/>
      </c>
      <c r="CW41" s="576" t="n"/>
      <c r="CY41" s="606">
        <f>IF(CZ41="","",$CZ$25)</f>
        <v/>
      </c>
      <c r="CZ41" s="392" t="n"/>
      <c r="DA41" s="392">
        <f t="array" ref="DA41">IF(CZ41="", "", IF((INDEX(E$8:CE$57, MATCH(CZ41, C$8:C$57, 0), ($CZ$25-1)*5 + 1) &amp; "") = (INDEX(E$5:CE$5, 1, ($CZ$25-1)*5 + 1) &amp; ""), 1, IF((INDEX(E$8:CE$57, MATCH(CZ41, C$8:C$57, 0), ($CZ$25-1)*5 + 2) &amp; "") = (INDEX(E$5:CE$5, 1, ($CZ$25-1)*5 + 1) &amp; ""), 2, IF((INDEX(E$8:CE$57, MATCH(CZ41, C$8:C$57, 0), ($CZ$25-1)*5 + 3) &amp; "") = (INDEX(E$5:CE$5, 1, ($CZ$25-1)*5 + 1) &amp; ""), 3, ""))))</f>
        <v/>
      </c>
      <c r="DB41" s="605">
        <f>BASE01[[#This Row],[COD]]</f>
        <v/>
      </c>
      <c r="DC41" s="395">
        <f t="array" ref="DC41">IFERROR(IF(AND(INDEX($E$8:$CE$57, MATCH($C41, $C$8:$C$57, 0), (COLUMNS($DC41:DC41)-1)*5 + 1) = INDEX($E$5:$CE$5, 1, (COLUMNS($DC41:DC41)-1)*5 + 1), INDEX($E$8:$CE$57, MATCH($C41, $C$8:$C$57, 0), (COLUMNS($DC41:DC41)-1)*5 + 4) = "F"), INDEX($CZ$8:$CZ$23, COLUMNS($DC41:DC41)), "0"), "")</f>
        <v/>
      </c>
      <c r="DD41" s="395">
        <f t="array" ref="DD41">IFERROR(IF(AND(INDEX($E$8:$CE$57, MATCH($C41, $C$8:$C$57, 0), (COLUMNS($DC41:DD41)-1)*5 + 1) = INDEX($E$5:$CE$5, 1, (COLUMNS($DC41:DD41)-1)*5 + 1), INDEX($E$8:$CE$57, MATCH($C41, $C$8:$C$57, 0), (COLUMNS($DC41:DD41)-1)*5 + 4) = "F"), INDEX($CZ$8:$CZ$23, COLUMNS($DC41:DD41)), "0"), "")</f>
        <v/>
      </c>
      <c r="DE41" s="395">
        <f t="array" ref="DE41">IFERROR(IF(AND(INDEX($E$8:$CE$57, MATCH($C41, $C$8:$C$57, 0), (COLUMNS($DC41:DE41)-1)*5 + 1) = INDEX($E$5:$CE$5, 1, (COLUMNS($DC41:DE41)-1)*5 + 1), INDEX($E$8:$CE$57, MATCH($C41, $C$8:$C$57, 0), (COLUMNS($DC41:DE41)-1)*5 + 4) = "F"), INDEX($CZ$8:$CZ$23, COLUMNS($DC41:DE41)), "0"), "")</f>
        <v/>
      </c>
      <c r="DF41" s="395">
        <f t="array" ref="DF41">IFERROR(IF(AND(INDEX($E$8:$CE$57, MATCH($C41, $C$8:$C$57, 0), (COLUMNS($DC41:DF41)-1)*5 + 1) = INDEX($E$5:$CE$5, 1, (COLUMNS($DC41:DF41)-1)*5 + 1), INDEX($E$8:$CE$57, MATCH($C41, $C$8:$C$57, 0), (COLUMNS($DC41:DF41)-1)*5 + 4) = "F"), INDEX($CZ$8:$CZ$23, COLUMNS($DC41:DF41)), "0"), "")</f>
        <v/>
      </c>
      <c r="DG41" s="395">
        <f t="array" ref="DG41">IFERROR(IF(AND(INDEX($E$8:$CE$57, MATCH($C41, $C$8:$C$57, 0), (COLUMNS($DC41:DG41)-1)*5 + 1) = INDEX($E$5:$CE$5, 1, (COLUMNS($DC41:DG41)-1)*5 + 1), INDEX($E$8:$CE$57, MATCH($C41, $C$8:$C$57, 0), (COLUMNS($DC41:DG41)-1)*5 + 4) = "F"), INDEX($CZ$8:$CZ$23, COLUMNS($DC41:DG41)), "0"), "")</f>
        <v/>
      </c>
      <c r="DH41" s="395">
        <f t="array" ref="DH41">IFERROR(IF(AND(INDEX($E$8:$CE$57, MATCH($C41, $C$8:$C$57, 0), (COLUMNS($DC41:DH41)-1)*5 + 1) = INDEX($E$5:$CE$5, 1, (COLUMNS($DC41:DH41)-1)*5 + 1), INDEX($E$8:$CE$57, MATCH($C41, $C$8:$C$57, 0), (COLUMNS($DC41:DH41)-1)*5 + 4) = "F"), INDEX($CZ$8:$CZ$23, COLUMNS($DC41:DH41)), "0"), "")</f>
        <v/>
      </c>
      <c r="DI41" s="395">
        <f t="array" ref="DI41">IFERROR(IF(AND(INDEX($E$8:$CE$57, MATCH($C41, $C$8:$C$57, 0), (COLUMNS($DC41:DI41)-1)*5 + 1) = INDEX($E$5:$CE$5, 1, (COLUMNS($DC41:DI41)-1)*5 + 1), INDEX($E$8:$CE$57, MATCH($C41, $C$8:$C$57, 0), (COLUMNS($DC41:DI41)-1)*5 + 4) = "F"), INDEX($CZ$8:$CZ$23, COLUMNS($DC41:DI41)), "0"), "")</f>
        <v/>
      </c>
      <c r="DJ41" s="395">
        <f t="array" ref="DJ41">IFERROR(IF(AND(INDEX($E$8:$CE$57, MATCH($C41, $C$8:$C$57, 0), (COLUMNS($DC41:DJ41)-1)*5 + 1) = INDEX($E$5:$CE$5, 1, (COLUMNS($DC41:DJ41)-1)*5 + 1), INDEX($E$8:$CE$57, MATCH($C41, $C$8:$C$57, 0), (COLUMNS($DC41:DJ41)-1)*5 + 4) = "F"), INDEX($CZ$8:$CZ$23, COLUMNS($DC41:DJ41)), "0"), "")</f>
        <v/>
      </c>
      <c r="DK41" s="395">
        <f t="array" ref="DK41">IFERROR(IF(AND(INDEX($E$8:$CE$57, MATCH($C41, $C$8:$C$57, 0), (COLUMNS($DC41:DK41)-1)*5 + 1) = INDEX($E$5:$CE$5, 1, (COLUMNS($DC41:DK41)-1)*5 + 1), INDEX($E$8:$CE$57, MATCH($C41, $C$8:$C$57, 0), (COLUMNS($DC41:DK41)-1)*5 + 4) = "F"), INDEX($CZ$8:$CZ$23, COLUMNS($DC41:DK41)), "0"), "")</f>
        <v/>
      </c>
      <c r="DL41" s="395">
        <f t="array" ref="DL41">IFERROR(IF(AND(INDEX($E$8:$CE$57, MATCH($C41, $C$8:$C$57, 0), (COLUMNS($DC41:DL41)-1)*5 + 1) = INDEX($E$5:$CE$5, 1, (COLUMNS($DC41:DL41)-1)*5 + 1), INDEX($E$8:$CE$57, MATCH($C41, $C$8:$C$57, 0), (COLUMNS($DC41:DL41)-1)*5 + 4) = "F"), INDEX($CZ$8:$CZ$23, COLUMNS($DC41:DL41)), "0"), "")</f>
        <v/>
      </c>
      <c r="DM41" s="395">
        <f t="array" ref="DM41">IFERROR(IF(AND(INDEX($E$8:$CE$57, MATCH($C41, $C$8:$C$57, 0), (COLUMNS($DC41:DM41)-1)*5 + 1) = INDEX($E$5:$CE$5, 1, (COLUMNS($DC41:DM41)-1)*5 + 1), INDEX($E$8:$CE$57, MATCH($C41, $C$8:$C$57, 0), (COLUMNS($DC41:DM41)-1)*5 + 4) = "F"), INDEX($CZ$8:$CZ$23, COLUMNS($DC41:DM41)), "0"), "")</f>
        <v/>
      </c>
      <c r="DN41" s="395">
        <f t="array" ref="DN41">IFERROR(IF(AND(INDEX($E$8:$CE$57, MATCH($C41, $C$8:$C$57, 0), (COLUMNS($DC41:DN41)-1)*5 + 1) = INDEX($E$5:$CE$5, 1, (COLUMNS($DC41:DN41)-1)*5 + 1), INDEX($E$8:$CE$57, MATCH($C41, $C$8:$C$57, 0), (COLUMNS($DC41:DN41)-1)*5 + 4) = "F"), INDEX($CZ$8:$CZ$23, COLUMNS($DC41:DN41)), "0"), "")</f>
        <v/>
      </c>
      <c r="DO41" s="395">
        <f t="array" ref="DO41">IFERROR(IF(AND(INDEX($E$8:$CE$57, MATCH($C41, $C$8:$C$57, 0), (COLUMNS($DC41:DO41)-1)*5 + 1) = INDEX($E$5:$CE$5, 1, (COLUMNS($DC41:DO41)-1)*5 + 1), INDEX($E$8:$CE$57, MATCH($C41, $C$8:$C$57, 0), (COLUMNS($DC41:DO41)-1)*5 + 4) = "F"), INDEX($CZ$8:$CZ$23, COLUMNS($DC41:DO41)), "0"), "")</f>
        <v/>
      </c>
      <c r="DP41" s="395">
        <f t="array" ref="DP41">IFERROR(IF(AND(INDEX($E$8:$CE$57, MATCH($C41, $C$8:$C$57, 0), (COLUMNS($DC41:DP41)-1)*5 + 1) = INDEX($E$5:$CE$5, 1, (COLUMNS($DC41:DP41)-1)*5 + 1), INDEX($E$8:$CE$57, MATCH($C41, $C$8:$C$57, 0), (COLUMNS($DC41:DP41)-1)*5 + 4) = "F"), INDEX($CZ$8:$CZ$23, COLUMNS($DC41:DP41)), "0"), "")</f>
        <v/>
      </c>
      <c r="DQ41" s="395">
        <f t="array" ref="DQ41">IFERROR(IF(AND(INDEX($E$8:$CE$57, MATCH($C41, $C$8:$C$57, 0), (COLUMNS($DC41:DQ41)-1)*5 + 1) = INDEX($E$5:$CE$5, 1, (COLUMNS($DC41:DQ41)-1)*5 + 1), INDEX($E$8:$CE$57, MATCH($C41, $C$8:$C$57, 0), (COLUMNS($DC41:DQ41)-1)*5 + 4) = "F"), INDEX($CZ$8:$CZ$23, COLUMNS($DC41:DQ41)), "0"), "")</f>
        <v/>
      </c>
      <c r="DR41" s="395">
        <f t="array" ref="DR41">IFERROR(IF(AND(INDEX($E$8:$CE$57, MATCH($C41, $C$8:$C$57, 0), (COLUMNS($DC41:DR41)-1)*5 + 1) = INDEX($E$5:$CE$5, 1, (COLUMNS($DC41:DR41)-1)*5 + 1), INDEX($E$8:$CE$57, MATCH($C41, $C$8:$C$57, 0), (COLUMNS($DC41:DR41)-1)*5 + 4) = "F"), INDEX($CZ$8:$CZ$23, COLUMNS($DC41:DR41)), "0"), "")</f>
        <v/>
      </c>
      <c r="DT41" s="605">
        <f>BASE01[[#This Row],[COD]]</f>
        <v/>
      </c>
      <c r="DU41" s="395">
        <f t="array" ref="DU41">IFERROR(IF(AND(INDEX($E$8:$CE$57, MATCH($C41, $C$8:$C$57, 0), (COLUMNS($DU41:DU41)-1)*5 + 1) = INDEX($E$5:$CE$5, 1, (COLUMNS($DU41:DU41)-1)*5 + 1), INDEX($E$8:$CE$57, MATCH($C41, $C$8:$C$57, 0), (COLUMNS($DU41:DU41)-1)*5 + 4) = "SF"), INDEX($CZ$8:$CZ$23, COLUMNS($DU41:DU41)), "0"), "")</f>
        <v/>
      </c>
      <c r="DV41" s="395">
        <f t="array" ref="DV41">IFERROR(IF(AND(INDEX($E$8:$CE$57, MATCH($C41, $C$8:$C$57, 0), (COLUMNS($DU41:DV41)-1)*5 + 1) = INDEX($E$5:$CE$5, 1, (COLUMNS($DU41:DV41)-1)*5 + 1), INDEX($E$8:$CE$57, MATCH($C41, $C$8:$C$57, 0), (COLUMNS($DU41:DV41)-1)*5 + 4) = "SF"), INDEX($CZ$8:$CZ$23, COLUMNS($DU41:DV41)), "0"), "")</f>
        <v/>
      </c>
      <c r="DW41" s="395">
        <f t="array" ref="DW41">IFERROR(IF(AND(INDEX($E$8:$CE$57, MATCH($C41, $C$8:$C$57, 0), (COLUMNS($DU41:DW41)-1)*5 + 1) = INDEX($E$5:$CE$5, 1, (COLUMNS($DU41:DW41)-1)*5 + 1), INDEX($E$8:$CE$57, MATCH($C41, $C$8:$C$57, 0), (COLUMNS($DU41:DW41)-1)*5 + 4) = "SF"), INDEX($CZ$8:$CZ$23, COLUMNS($DU41:DW41)), "0"), "")</f>
        <v/>
      </c>
      <c r="DX41" s="395">
        <f t="array" ref="DX41">IFERROR(IF(AND(INDEX($E$8:$CE$57, MATCH($C41, $C$8:$C$57, 0), (COLUMNS($DU41:DX41)-1)*5 + 1) = INDEX($E$5:$CE$5, 1, (COLUMNS($DU41:DX41)-1)*5 + 1), INDEX($E$8:$CE$57, MATCH($C41, $C$8:$C$57, 0), (COLUMNS($DU41:DX41)-1)*5 + 4) = "SF"), INDEX($CZ$8:$CZ$23, COLUMNS($DU41:DX41)), "0"), "")</f>
        <v/>
      </c>
      <c r="DY41" s="395">
        <f t="array" ref="DY41">IFERROR(IF(AND(INDEX($E$8:$CE$57, MATCH($C41, $C$8:$C$57, 0), (COLUMNS($DU41:DY41)-1)*5 + 1) = INDEX($E$5:$CE$5, 1, (COLUMNS($DU41:DY41)-1)*5 + 1), INDEX($E$8:$CE$57, MATCH($C41, $C$8:$C$57, 0), (COLUMNS($DU41:DY41)-1)*5 + 4) = "SF"), INDEX($CZ$8:$CZ$23, COLUMNS($DU41:DY41)), "0"), "")</f>
        <v/>
      </c>
      <c r="DZ41" s="395">
        <f t="array" ref="DZ41">IFERROR(IF(AND(INDEX($E$8:$CE$57, MATCH($C41, $C$8:$C$57, 0), (COLUMNS($DU41:DZ41)-1)*5 + 1) = INDEX($E$5:$CE$5, 1, (COLUMNS($DU41:DZ41)-1)*5 + 1), INDEX($E$8:$CE$57, MATCH($C41, $C$8:$C$57, 0), (COLUMNS($DU41:DZ41)-1)*5 + 4) = "SF"), INDEX($CZ$8:$CZ$23, COLUMNS($DU41:DZ41)), "0"), "")</f>
        <v/>
      </c>
      <c r="EA41" s="395">
        <f t="array" ref="EA41">IFERROR(IF(AND(INDEX($E$8:$CE$57, MATCH($C41, $C$8:$C$57, 0), (COLUMNS($DU41:EA41)-1)*5 + 1) = INDEX($E$5:$CE$5, 1, (COLUMNS($DU41:EA41)-1)*5 + 1), INDEX($E$8:$CE$57, MATCH($C41, $C$8:$C$57, 0), (COLUMNS($DU41:EA41)-1)*5 + 4) = "SF"), INDEX($CZ$8:$CZ$23, COLUMNS($DU41:EA41)), "0"), "")</f>
        <v/>
      </c>
      <c r="EB41" s="395">
        <f t="array" ref="EB41">IFERROR(IF(AND(INDEX($E$8:$CE$57, MATCH($C41, $C$8:$C$57, 0), (COLUMNS($DU41:EB41)-1)*5 + 1) = INDEX($E$5:$CE$5, 1, (COLUMNS($DU41:EB41)-1)*5 + 1), INDEX($E$8:$CE$57, MATCH($C41, $C$8:$C$57, 0), (COLUMNS($DU41:EB41)-1)*5 + 4) = "SF"), INDEX($CZ$8:$CZ$23, COLUMNS($DU41:EB41)), "0"), "")</f>
        <v/>
      </c>
      <c r="EC41" s="395">
        <f t="array" ref="EC41">IFERROR(IF(AND(INDEX($E$8:$CE$57, MATCH($C41, $C$8:$C$57, 0), (COLUMNS($DU41:EC41)-1)*5 + 1) = INDEX($E$5:$CE$5, 1, (COLUMNS($DU41:EC41)-1)*5 + 1), INDEX($E$8:$CE$57, MATCH($C41, $C$8:$C$57, 0), (COLUMNS($DU41:EC41)-1)*5 + 4) = "SF"), INDEX($CZ$8:$CZ$23, COLUMNS($DU41:EC41)), "0"), "")</f>
        <v/>
      </c>
      <c r="ED41" s="395">
        <f t="array" ref="ED41">IFERROR(IF(AND(INDEX($E$8:$CE$57, MATCH($C41, $C$8:$C$57, 0), (COLUMNS($DU41:ED41)-1)*5 + 1) = INDEX($E$5:$CE$5, 1, (COLUMNS($DU41:ED41)-1)*5 + 1), INDEX($E$8:$CE$57, MATCH($C41, $C$8:$C$57, 0), (COLUMNS($DU41:ED41)-1)*5 + 4) = "SF"), INDEX($CZ$8:$CZ$23, COLUMNS($DU41:ED41)), "0"), "")</f>
        <v/>
      </c>
      <c r="EE41" s="395">
        <f t="array" ref="EE41">IFERROR(IF(AND(INDEX($E$8:$CE$57, MATCH($C41, $C$8:$C$57, 0), (COLUMNS($DU41:EE41)-1)*5 + 1) = INDEX($E$5:$CE$5, 1, (COLUMNS($DU41:EE41)-1)*5 + 1), INDEX($E$8:$CE$57, MATCH($C41, $C$8:$C$57, 0), (COLUMNS($DU41:EE41)-1)*5 + 4) = "SF"), INDEX($CZ$8:$CZ$23, COLUMNS($DU41:EE41)), "0"), "")</f>
        <v/>
      </c>
      <c r="EF41" s="395">
        <f t="array" ref="EF41">IFERROR(IF(AND(INDEX($E$8:$CE$57, MATCH($C41, $C$8:$C$57, 0), (COLUMNS($DU41:EF41)-1)*5 + 1) = INDEX($E$5:$CE$5, 1, (COLUMNS($DU41:EF41)-1)*5 + 1), INDEX($E$8:$CE$57, MATCH($C41, $C$8:$C$57, 0), (COLUMNS($DU41:EF41)-1)*5 + 4) = "SF"), INDEX($CZ$8:$CZ$23, COLUMNS($DU41:EF41)), "0"), "")</f>
        <v/>
      </c>
      <c r="EG41" s="395">
        <f t="array" ref="EG41">IFERROR(IF(AND(INDEX($E$8:$CE$57, MATCH($C41, $C$8:$C$57, 0), (COLUMNS($DU41:EG41)-1)*5 + 1) = INDEX($E$5:$CE$5, 1, (COLUMNS($DU41:EG41)-1)*5 + 1), INDEX($E$8:$CE$57, MATCH($C41, $C$8:$C$57, 0), (COLUMNS($DU41:EG41)-1)*5 + 4) = "SF"), INDEX($CZ$8:$CZ$23, COLUMNS($DU41:EG41)), "0"), "")</f>
        <v/>
      </c>
      <c r="EH41" s="395">
        <f t="array" ref="EH41">IFERROR(IF(AND(INDEX($E$8:$CE$57, MATCH($C41, $C$8:$C$57, 0), (COLUMNS($DU41:EH41)-1)*5 + 1) = INDEX($E$5:$CE$5, 1, (COLUMNS($DU41:EH41)-1)*5 + 1), INDEX($E$8:$CE$57, MATCH($C41, $C$8:$C$57, 0), (COLUMNS($DU41:EH41)-1)*5 + 4) = "SF"), INDEX($CZ$8:$CZ$23, COLUMNS($DU41:EH41)), "0"), "")</f>
        <v/>
      </c>
      <c r="EI41" s="395">
        <f t="array" ref="EI41">IFERROR(IF(AND(INDEX($E$8:$CE$57, MATCH($C41, $C$8:$C$57, 0), (COLUMNS($DU41:EI41)-1)*5 + 1) = INDEX($E$5:$CE$5, 1, (COLUMNS($DU41:EI41)-1)*5 + 1), INDEX($E$8:$CE$57, MATCH($C41, $C$8:$C$57, 0), (COLUMNS($DU41:EI41)-1)*5 + 4) = "SF"), INDEX($CZ$8:$CZ$23, COLUMNS($DU41:EI41)), "0"), "")</f>
        <v/>
      </c>
      <c r="EJ41" s="395">
        <f t="array" ref="EJ41">IFERROR(IF(AND(INDEX($E$8:$CE$57, MATCH($C41, $C$8:$C$57, 0), (COLUMNS($DU41:EJ41)-1)*5 + 1) = INDEX($E$5:$CE$5, 1, (COLUMNS($DU41:EJ41)-1)*5 + 1), INDEX($E$8:$CE$57, MATCH($C41, $C$8:$C$57, 0), (COLUMNS($DU41:EJ41)-1)*5 + 4) = "SF"), INDEX($CZ$8:$CZ$23, COLUMNS($DU41:EJ41)), "0"), "")</f>
        <v/>
      </c>
    </row>
    <row r="42" ht="20.1" customHeight="1" s="568">
      <c r="A42" s="576" t="n"/>
      <c r="B42" s="92">
        <f>IF(BASE01[[#This Row],[COD]]&lt;&gt;"",B41+1,"")</f>
        <v/>
      </c>
      <c r="C42" s="601" t="inlineStr">
        <is>
          <t>COD 35</t>
        </is>
      </c>
      <c r="D42" s="93">
        <f t="array" ref="D42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2" s="145" t="n">
        <v>1</v>
      </c>
      <c r="F42" s="146" t="n">
        <v>8</v>
      </c>
      <c r="G42" s="146" t="n">
        <v>6</v>
      </c>
      <c r="H42" s="146" t="n"/>
      <c r="I42" s="602">
        <f>SUM(IF(E42=E$5,4,0),IF(E42&amp;F42=E$5&amp;F$5,1,0),
IF(AND(E42=E$5,F$6&gt;=$D$115),1,0),
IF(AND(F42=E$5,F$6&gt;=$D$115),1,0),
IF(AND(G42=E$5,F$6&gt;=$D$115),1,0),
IF(E42&amp;H42=I$5,1,0),
IF(F42=E$5,2,0),
IF(G42=E$5,1,0),
IF(OR(E42&amp;F42&amp;G42=E$5&amp;F$5&amp;G$5,E42&amp;F42&amp;G42=E$5&amp;G$5&amp;F$5,E42&amp;F42&amp;G42=F$5&amp;E$5&amp;G$5,E42&amp;F42&amp;G42=F$5&amp;G$5&amp;E$5,E42&amp;F42&amp;G42=G$5&amp;E$5&amp;F$5,E42&amp;F42&amp;G42=G$5&amp;F$5&amp;E$5),2,0),IF(AND(E42=E$5,F$6&gt;=$D$129),1,0),IF(AND(F42=E$5,F$6&gt;=$D$129),1,0),IF(AND(G42=E$5,F$6&gt;=$D$129),1,0),IF(E42&amp;H42=H$5,4,0),IF(AND(E42=E$5,F$6&lt;=$D$104),-0.5,0),IF(AND(F42=E$5,F$6&lt;=$D$104),-0.5,0),IF(AND(G42=E$5,F$6&lt;=$D$104),-0.5,0))</f>
        <v/>
      </c>
      <c r="J42" s="145" t="n">
        <v>3</v>
      </c>
      <c r="K42" s="146" t="n">
        <v>8</v>
      </c>
      <c r="L42" s="146" t="n">
        <v>7</v>
      </c>
      <c r="M42" s="146" t="n"/>
      <c r="N42" s="602">
        <f>SUM(IF(J42=J$5,4,0),IF(J42&amp;K42=J$5&amp;K$5,1,0),
IF(AND(J42=J$5,K$6&gt;=$D$115),1,0),
IF(AND(K42=J$5,K$6&gt;=$D$115),1,0),
IF(AND(L42=J$5,K$6&gt;=$D$115),1,0),
IF(J42&amp;M42=N$5,1,0),
IF(K42=J$5,2,0),
IF(L42=J$5,1,0),
IF(OR(J42&amp;K42&amp;L42=J$5&amp;K$5&amp;L$5,J42&amp;K42&amp;L42=J$5&amp;L$5&amp;K$5,J42&amp;K42&amp;L42=K$5&amp;J$5&amp;L$5,J42&amp;K42&amp;L42=K$5&amp;L$5&amp;J$5,J42&amp;K42&amp;L42=L$5&amp;J$5&amp;K$5,J42&amp;K42&amp;L42=L$5&amp;K$5&amp;J$5),2,0),IF(AND(J42=J$5,K$6&gt;=$D$129),1,0),IF(AND(K42=J$5,K$6&gt;=$D$129),1,0),IF(AND(L42=J$5,K$6&gt;=$D$129),1,0),IF(J42&amp;M42=M$5,4,0),IF(AND(J42=J$5,K$6&lt;=$D$104),-0.5,0),IF(AND(K42=J$5,K$6&lt;=$D$104),-0.5,0),IF(AND(L42=J$5,K$6&lt;=$D$104),-0.5,0))</f>
        <v/>
      </c>
      <c r="O42" s="145" t="n">
        <v>3</v>
      </c>
      <c r="P42" s="146" t="n">
        <v>8</v>
      </c>
      <c r="Q42" s="146" t="n">
        <v>5</v>
      </c>
      <c r="R42" s="146" t="n"/>
      <c r="S42" s="602">
        <f>SUM(IF(O42=O$5,4,0),IF(O42&amp;P42=O$5&amp;P$5,1,0),
IF(AND(O42=O$5,P$6&gt;=$D$115),1,0),
IF(AND(P42=O$5,P$6&gt;=$D$115),1,0),
IF(AND(Q42=O$5,P$6&gt;=$D$115),1,0),
IF(O42&amp;R42=S$5,1,0),
IF(P42=O$5,2,0),
IF(Q42=O$5,1,0),
IF(OR(O42&amp;P42&amp;Q42=O$5&amp;P$5&amp;Q$5,O42&amp;P42&amp;Q42=O$5&amp;Q$5&amp;P$5,O42&amp;P42&amp;Q42=P$5&amp;O$5&amp;Q$5,O42&amp;P42&amp;Q42=P$5&amp;Q$5&amp;O$5,O42&amp;P42&amp;Q42=Q$5&amp;O$5&amp;P$5,O42&amp;P42&amp;Q42=Q$5&amp;P$5&amp;O$5),2,0),IF(AND(O42=O$5,P$6&gt;=$D$129),1,0),IF(AND(P42=O$5,P$6&gt;=$D$129),1,0),IF(AND(Q42=O$5,P$6&gt;=$D$129),1,0),IF(O42&amp;R42=R$5,4,0),IF(AND(O42=O$5,P$6&lt;=$D$104),-0.5,0),IF(AND(P42=O$5,P$6&lt;=$D$104),-0.5,0),IF(AND(Q42=O$5,P$6&lt;=$D$104),-0.5,0))</f>
        <v/>
      </c>
      <c r="T42" s="145" t="n">
        <v>6</v>
      </c>
      <c r="U42" s="146" t="n">
        <v>4</v>
      </c>
      <c r="V42" s="146" t="n">
        <v>8</v>
      </c>
      <c r="W42" s="146" t="inlineStr">
        <is>
          <t>F</t>
        </is>
      </c>
      <c r="X42" s="602">
        <f>SUM(IF(T42=T$5,4,0),IF(T42&amp;U42=T$5&amp;U$5,1,0),
IF(AND(T42=T$5,U$6&gt;=$D$115),1,0),
IF(AND(U42=T$5,U$6&gt;=$D$115),1,0),
IF(AND(V42=T$5,U$6&gt;=$D$115),1,0),
IF(T42&amp;W42=X$5,1,0),
IF(U42=T$5,2,0),
IF(V42=T$5,1,0),
IF(OR(T42&amp;U42&amp;V42=T$5&amp;U$5&amp;V$5,T42&amp;U42&amp;V42=T$5&amp;V$5&amp;U$5,T42&amp;U42&amp;V42=U$5&amp;T$5&amp;V$5,T42&amp;U42&amp;V42=U$5&amp;V$5&amp;T$5,T42&amp;U42&amp;V42=V$5&amp;T$5&amp;U$5,T42&amp;U42&amp;V42=V$5&amp;U$5&amp;T$5),2,0),IF(AND(T42=T$5,U$6&gt;=$D$129),1,0),IF(AND(U42=T$5,U$6&gt;=$D$129),1,0),IF(AND(V42=T$5,U$6&gt;=$D$129),1,0),IF(T42&amp;W42=W$5,4,0),IF(AND(T42=T$5,U$6&lt;=$D$104),-0.5,0),IF(AND(U42=T$5,U$6&lt;=$D$104),-0.5,0),IF(AND(V42=T$5,U$6&lt;=$D$104),-0.5,0))</f>
        <v/>
      </c>
      <c r="Y42" s="145" t="n">
        <v>5</v>
      </c>
      <c r="Z42" s="146" t="n"/>
      <c r="AA42" s="146" t="n"/>
      <c r="AB42" s="146" t="inlineStr">
        <is>
          <t>SF</t>
        </is>
      </c>
      <c r="AC42" s="602">
        <f>SUM(IF(Y42=Y$5,4,0),IF(Y42&amp;Z42=Y$5&amp;Z$5,1,0),
IF(AND(Y42=Y$5,Z$6&gt;=$D$115),1,0),
IF(AND(Z42=Y$5,Z$6&gt;=$D$115),1,0),
IF(AND(AA42=Y$5,Z$6&gt;=$D$115),1,0),
IF(Y42&amp;AB42=AC$5,1,0),
IF(Z42=Y$5,2,0),
IF(AA42=Y$5,1,0),
IF(OR(Y42&amp;Z42&amp;AA42=Y$5&amp;Z$5&amp;AA$5,Y42&amp;Z42&amp;AA42=Y$5&amp;AA$5&amp;Z$5,Y42&amp;Z42&amp;AA42=Z$5&amp;Y$5&amp;AA$5,Y42&amp;Z42&amp;AA42=Z$5&amp;AA$5&amp;Y$5,Y42&amp;Z42&amp;AA42=AA$5&amp;Y$5&amp;Z$5,Y42&amp;Z42&amp;AA42=AA$5&amp;Z$5&amp;Y$5),2,0),IF(AND(Y42=Y$5,Z$6&gt;=$D$129),1,0),IF(AND(Z42=Y$5,Z$6&gt;=$D$129),1,0),IF(AND(AA42=Y$5,Z$6&gt;=$D$129),1,0),IF(Y42&amp;AB42=AB$5,4,0),IF(AND(Y42=Y$5,Z$6&lt;=$D$104),-0.5,0),IF(AND(Z42=Y$5,Z$6&lt;=$D$104),-0.5,0),IF(AND(AA42=Y$5,Z$6&lt;=$D$104),-0.5,0))</f>
        <v/>
      </c>
      <c r="AD42" s="145" t="n">
        <v>2</v>
      </c>
      <c r="AE42" s="146" t="n">
        <v>7</v>
      </c>
      <c r="AF42" s="146" t="n">
        <v>5</v>
      </c>
      <c r="AG42" s="146" t="n"/>
      <c r="AH42" s="602">
        <f>SUM(IF(AD42=AD$5,4,0),IF(AD42&amp;AE42=AD$5&amp;AE$5,1,0),
IF(AND(AD42=AD$5,AE$6&gt;=$D$115),1,0),
IF(AND(AE42=AD$5,AE$6&gt;=$D$115),1,0),
IF(AND(AF42=AD$5,AE$6&gt;=$D$115),1,0),
IF(AD42&amp;AG42=AH$5,1,0),
IF(AE42=AD$5,2,0),
IF(AF42=AD$5,1,0),
IF(OR(AD42&amp;AE42&amp;AF42=AD$5&amp;AE$5&amp;AF$5,AD42&amp;AE42&amp;AF42=AD$5&amp;AF$5&amp;AE$5,AD42&amp;AE42&amp;AF42=AE$5&amp;AD$5&amp;AF$5,AD42&amp;AE42&amp;AF42=AE$5&amp;AF$5&amp;AD$5,AD42&amp;AE42&amp;AF42=AF$5&amp;AD$5&amp;AE$5,AD42&amp;AE42&amp;AF42=AF$5&amp;AE$5&amp;AD$5),2,0),IF(AND(AD42=AD$5,AE$6&gt;=$D$129),1,0),IF(AND(AE42=AD$5,AE$6&gt;=$D$129),1,0),IF(AND(AF42=AD$5,AE$6&gt;=$D$129),1,0),IF(AD42&amp;AG42=AG$5,4,0),IF(AND(AD42=AD$5,AE$6&lt;=$D$104),-0.5,0),IF(AND(AE42=AD$5,AE$6&lt;=$D$104),-0.5,0),IF(AND(AF42=AD$5,AE$6&lt;=$D$104),-0.5,0))</f>
        <v/>
      </c>
      <c r="AI42" s="145" t="n">
        <v>3</v>
      </c>
      <c r="AJ42" s="146" t="n">
        <v>7</v>
      </c>
      <c r="AK42" s="146" t="n">
        <v>4</v>
      </c>
      <c r="AL42" s="146" t="n"/>
      <c r="AM42" s="602">
        <f>SUM(IF(AI42=AI$5,4,0),IF(AI42&amp;AJ42=AI$5&amp;AJ$5,1,0),
IF(AND(AI42=AI$5,AJ$6&gt;=$D$115),1,0),
IF(AND(AJ42=AI$5,AJ$6&gt;=$D$115),1,0),
IF(AND(AK42=AI$5,AJ$6&gt;=$D$115),1,0),
IF(AI42&amp;AL42=AM$5,1,0),
IF(AJ42=AI$5,2,0),
IF(AK42=AI$5,1,0),
IF(OR(AI42&amp;AJ42&amp;AK42=AI$5&amp;AJ$5&amp;AK$5,AI42&amp;AJ42&amp;AK42=AI$5&amp;AK$5&amp;AJ$5,AI42&amp;AJ42&amp;AK42=AJ$5&amp;AI$5&amp;AK$5,AI42&amp;AJ42&amp;AK42=AJ$5&amp;AK$5&amp;AI$5,AI42&amp;AJ42&amp;AK42=AK$5&amp;AI$5&amp;AJ$5,AI42&amp;AJ42&amp;AK42=AK$5&amp;AJ$5&amp;AI$5),2,0),IF(AND(AI42=AI$5,AJ$6&gt;=$D$129),1,0),IF(AND(AJ42=AI$5,AJ$6&gt;=$D$129),1,0),IF(AND(AK42=AI$5,AJ$6&gt;=$D$129),1,0),IF(AI42&amp;AL42=AL$5,4,0),IF(AND(AI42=AI$5,AJ$6&lt;=$D$104),-0.5,0),IF(AND(AJ42=AI$5,AJ$6&lt;=$D$104),-0.5,0),IF(AND(AK42=AI$5,AJ$6&lt;=$D$104),-0.5,0))</f>
        <v/>
      </c>
      <c r="AN42" s="145" t="n">
        <v>8</v>
      </c>
      <c r="AO42" s="146" t="n">
        <v>12</v>
      </c>
      <c r="AP42" s="146" t="n">
        <v>11</v>
      </c>
      <c r="AQ42" s="146" t="n"/>
      <c r="AR42" s="602">
        <f>SUM(IF(AN42=AN$5,4,0),IF(AN42&amp;AO42=AN$5&amp;AO$5,1,0),
IF(AND(AN42=AN$5,AO$6&gt;=$D$115),1,0),
IF(AND(AO42=AN$5,AO$6&gt;=$D$115),1,0),
IF(AND(AP42=AN$5,AO$6&gt;=$D$115),1,0),
IF(AN42&amp;AQ42=AR$5,1,0),
IF(AO42=AN$5,2,0),
IF(AP42=AN$5,1,0),
IF(OR(AN42&amp;AO42&amp;AP42=AN$5&amp;AO$5&amp;AP$5,AN42&amp;AO42&amp;AP42=AN$5&amp;AP$5&amp;AO$5,AN42&amp;AO42&amp;AP42=AO$5&amp;AN$5&amp;AP$5,AN42&amp;AO42&amp;AP42=AO$5&amp;AP$5&amp;AN$5,AN42&amp;AO42&amp;AP42=AP$5&amp;AN$5&amp;AO$5,AN42&amp;AO42&amp;AP42=AP$5&amp;AO$5&amp;AN$5),2,0),IF(AND(AN42=AN$5,AO$6&gt;=$D$129),1,0),IF(AND(AO42=AN$5,AO$6&gt;=$D$129),1,0),IF(AND(AP42=AN$5,AO$6&gt;=$D$129),1,0),IF(AN42&amp;AQ42=AQ$5,4,0),IF(AND(AN42=AN$5,AO$6&lt;=$D$104),-0.5,0),IF(AND(AO42=AN$5,AO$6&lt;=$D$104),-0.5,0),IF(AND(AP42=AN$5,AO$6&lt;=$D$104),-0.5,0))</f>
        <v/>
      </c>
      <c r="AS42" s="145" t="n">
        <v>7</v>
      </c>
      <c r="AT42" s="146" t="n">
        <v>1</v>
      </c>
      <c r="AU42" s="146" t="n">
        <v>3</v>
      </c>
      <c r="AV42" s="146" t="n"/>
      <c r="AW42" s="602">
        <f>SUM(IF(AS42=AS$5,4,0),IF(AS42&amp;AT42=AS$5&amp;AT$5,1,0),
IF(AND(AS42=AS$5,AT$6&gt;=$D$115),1,0),
IF(AND(AT42=AS$5,AT$6&gt;=$D$115),1,0),
IF(AND(AU42=AS$5,AT$6&gt;=$D$115),1,0),
IF(AS42&amp;AV42=AW$5,1,0),
IF(AT42=AS$5,2,0),
IF(AU42=AS$5,1,0),
IF(OR(AS42&amp;AT42&amp;AU42=AS$5&amp;AT$5&amp;AU$5,AS42&amp;AT42&amp;AU42=AS$5&amp;AU$5&amp;AT$5,AS42&amp;AT42&amp;AU42=AT$5&amp;AS$5&amp;AU$5,AS42&amp;AT42&amp;AU42=AT$5&amp;AU$5&amp;AS$5,AS42&amp;AT42&amp;AU42=AU$5&amp;AS$5&amp;AT$5,AS42&amp;AT42&amp;AU42=AU$5&amp;AT$5&amp;AS$5),2,0),IF(AND(AS42=AS$5,AT$6&gt;=$D$129),1,0),IF(AND(AT42=AS$5,AT$6&gt;=$D$129),1,0),IF(AND(AU42=AS$5,AT$6&gt;=$D$129),1,0),IF(AS42&amp;AV42=AV$5,4,0),IF(AND(AS42=AS$5,AT$6&lt;=$D$104),-0.5,0),IF(AND(AT42=AS$5,AT$6&lt;=$D$104),-0.5,0),IF(AND(AU42=AS$5,AT$6&lt;=$D$104),-0.5,0))</f>
        <v/>
      </c>
      <c r="AX42" s="145" t="n">
        <v>9</v>
      </c>
      <c r="AY42" s="146" t="n">
        <v>7</v>
      </c>
      <c r="AZ42" s="146" t="n">
        <v>1</v>
      </c>
      <c r="BA42" s="146" t="n"/>
      <c r="BB42" s="602">
        <f>SUM(IF(AX42=AX$5,4,0),IF(AX42&amp;AY42=AX$5&amp;AY$5,1,0),
IF(AND(AX42=AX$5,AY$6&gt;=$D$115),1,0),
IF(AND(AY42=AX$5,AY$6&gt;=$D$115),1,0),
IF(AND(AZ42=AX$5,AY$6&gt;=$D$115),1,0),
IF(AX42&amp;BA42=BB$5,1,0),
IF(AY42=AX$5,2,0),
IF(AZ42=AX$5,1,0),
IF(OR(AX42&amp;AY42&amp;AZ42=AX$5&amp;AY$5&amp;AZ$5,AX42&amp;AY42&amp;AZ42=AX$5&amp;AZ$5&amp;AY$5,AX42&amp;AY42&amp;AZ42=AY$5&amp;AX$5&amp;AZ$5,AX42&amp;AY42&amp;AZ42=AY$5&amp;AZ$5&amp;AX$5,AX42&amp;AY42&amp;AZ42=AZ$5&amp;AX$5&amp;AY$5,AX42&amp;AY42&amp;AZ42=AZ$5&amp;AY$5&amp;AX$5),2,0),IF(AND(AX42=AX$5,AY$6&gt;=$D$129),1,0),IF(AND(AY42=AX$5,AY$6&gt;=$D$129),1,0),IF(AND(AZ42=AX$5,AY$6&gt;=$D$129),1,0),IF(AX42&amp;BA42=BA$5,4,0),IF(AND(AX42=AX$5,AY$6&lt;=$D$104),-0.5,0),IF(AND(AY42=AX$5,AY$6&lt;=$D$104),-0.5,0),IF(AND(AZ42=AX$5,AY$6&lt;=$D$104),-0.5,0))</f>
        <v/>
      </c>
      <c r="BC42" s="145" t="n">
        <v>4</v>
      </c>
      <c r="BD42" s="146" t="n">
        <v>3</v>
      </c>
      <c r="BE42" s="146" t="n">
        <v>7</v>
      </c>
      <c r="BF42" s="146" t="n"/>
      <c r="BG42" s="602">
        <f>SUM(IF(BC42=BC$5,4,0),IF(BC42&amp;BD42=BC$5&amp;BD$5,1,0),
IF(AND(BC42=BC$5,BD$6&gt;=$D$115),1,0),
IF(AND(BD42=BC$5,BD$6&gt;=$D$115),1,0),
IF(AND(BE42=BC$5,BD$6&gt;=$D$115),1,0),
IF(BC42&amp;BF42=BG$5,1,0),
IF(BD42=BC$5,2,0),
IF(BE42=BC$5,1,0),
IF(OR(BC42&amp;BD42&amp;BE42=BC$5&amp;BD$5&amp;BE$5,BC42&amp;BD42&amp;BE42=BC$5&amp;BE$5&amp;BD$5,BC42&amp;BD42&amp;BE42=BD$5&amp;BC$5&amp;BE$5,BC42&amp;BD42&amp;BE42=BD$5&amp;BE$5&amp;BC$5,BC42&amp;BD42&amp;BE42=BE$5&amp;BC$5&amp;BD$5,BC42&amp;BD42&amp;BE42=BE$5&amp;BD$5&amp;BC$5),2,0),IF(AND(BC42=BC$5,BD$6&gt;=$D$129),1,0),IF(AND(BD42=BC$5,BD$6&gt;=$D$129),1,0),IF(AND(BE42=BC$5,BD$6&gt;=$D$129),1,0),IF(BC42&amp;BF42=BF$5,4,0),IF(AND(BC42=BC$5,BD$6&lt;=$D$104),-0.5,0),IF(AND(BD42=BC$5,BD$6&lt;=$D$104),-0.5,0),IF(AND(BE42=BC$5,BD$6&lt;=$D$104),-0.5,0))</f>
        <v/>
      </c>
      <c r="BH42" s="145" t="n">
        <v>5</v>
      </c>
      <c r="BI42" s="146" t="n">
        <v>6</v>
      </c>
      <c r="BJ42" s="146" t="n">
        <v>1</v>
      </c>
      <c r="BK42" s="146" t="n"/>
      <c r="BL42" s="602">
        <f>SUM(IF(BH42=BH$5,4,0),IF(BH42&amp;BI42=BH$5&amp;BI$5,1,0),
IF(AND(BH42=BH$5,BI$6&gt;=$D$115),1,0),
IF(AND(BI42=BH$5,BI$6&gt;=$D$115),1,0),
IF(AND(BJ42=BH$5,BI$6&gt;=$D$115),1,0),
IF(BH42&amp;BK42=BL$5,1,0),
IF(BI42=BH$5,2,0),
IF(BJ42=BH$5,1,0),
IF(OR(BH42&amp;BI42&amp;BJ42=BH$5&amp;BI$5&amp;BJ$5,BH42&amp;BI42&amp;BJ42=BH$5&amp;BJ$5&amp;BI$5,BH42&amp;BI42&amp;BJ42=BI$5&amp;BH$5&amp;BJ$5,BH42&amp;BI42&amp;BJ42=BI$5&amp;BJ$5&amp;BH$5,BH42&amp;BI42&amp;BJ42=BJ$5&amp;BH$5&amp;BI$5,BH42&amp;BI42&amp;BJ42=BJ$5&amp;BI$5&amp;BH$5),2,0),IF(AND(BH42=BH$5,BI$6&gt;=$D$129),1,0),IF(AND(BI42=BH$5,BI$6&gt;=$D$129),1,0),IF(AND(BJ42=BH$5,BI$6&gt;=$D$129),1,0),IF(BH42&amp;BK42=BK$5,4,0),IF(AND(BH42=BH$5,BI$6&lt;=$D$104),-0.5,0),IF(AND(BI42=BH$5,BI$6&lt;=$D$104),-0.5,0),IF(AND(BJ42=BH$5,BI$6&lt;=$D$104),-0.5,0))</f>
        <v/>
      </c>
      <c r="BM42" s="145" t="n">
        <v>3</v>
      </c>
      <c r="BN42" s="146" t="n">
        <v>12</v>
      </c>
      <c r="BO42" s="146" t="n">
        <v>2</v>
      </c>
      <c r="BP42" s="146" t="inlineStr">
        <is>
          <t>F</t>
        </is>
      </c>
      <c r="BQ42" s="602">
        <f>SUM(IF(BM42=BM$5,4,0),IF(BM42&amp;BN42=BM$5&amp;BN$5,1,0),
IF(AND(BM42=BM$5,BN$6&gt;=$D$115),1,0),
IF(AND(BN42=BM$5,BN$6&gt;=$D$115),1,0),
IF(AND(BO42=BM$5,BN$6&gt;=$D$115),1,0),
IF(BM42&amp;BP42=BQ$5,1,0),
IF(BN42=BM$5,2,0),
IF(BO42=BM$5,1,0),
IF(OR(BM42&amp;BN42&amp;BO42=BM$5&amp;BN$5&amp;BO$5,BM42&amp;BN42&amp;BO42=BM$5&amp;BO$5&amp;BN$5,BM42&amp;BN42&amp;BO42=BN$5&amp;BM$5&amp;BO$5,BM42&amp;BN42&amp;BO42=BN$5&amp;BO$5&amp;BM$5,BM42&amp;BN42&amp;BO42=BO$5&amp;BM$5&amp;BN$5,BM42&amp;BN42&amp;BO42=BO$5&amp;BN$5&amp;BM$5),2,0),IF(AND(BM42=BM$5,BN$6&gt;=$D$129),1,0),IF(AND(BN42=BM$5,BN$6&gt;=$D$129),1,0),IF(AND(BO42=BM$5,BN$6&gt;=$D$129),1,0),IF(BM42&amp;BP42=BP$5,4,0),IF(AND(BM42=BM$5,BN$6&lt;=$D$104),-0.5,0),IF(AND(BN42=BM$5,BN$6&lt;=$D$104),-0.5,0),IF(AND(BO42=BM$5,BN$6&lt;=$D$104),-0.5,0))</f>
        <v/>
      </c>
      <c r="BR42" s="145" t="n"/>
      <c r="BS42" s="146" t="n"/>
      <c r="BT42" s="146" t="n"/>
      <c r="BU42" s="146" t="n"/>
      <c r="BV42" s="602">
        <f>SUM(IF(BR42=BR$5,4,0),IF(BR42&amp;BS42=BR$5&amp;BS$5,1,0),
IF(AND(BR42=BR$5,BS$6&gt;=$D$115),1,0),
IF(AND(BS42=BR$5,BS$6&gt;=$D$115),1,0),
IF(AND(BT42=BR$5,BS$6&gt;=$D$115),1,0),
IF(BR42&amp;BU42=BV$5,1,0),
IF(BS42=BR$5,2,0),
IF(BT42=BR$5,1,0),
IF(OR(BR42&amp;BS42&amp;BT42=BR$5&amp;BS$5&amp;BT$5,BR42&amp;BS42&amp;BT42=BR$5&amp;BT$5&amp;BS$5,BR42&amp;BS42&amp;BT42=BS$5&amp;BR$5&amp;BT$5,BR42&amp;BS42&amp;BT42=BS$5&amp;BT$5&amp;BR$5,BR42&amp;BS42&amp;BT42=BT$5&amp;BR$5&amp;BS$5,BR42&amp;BS42&amp;BT42=BT$5&amp;BS$5&amp;BR$5),2,0),IF(AND(BR42=BR$5,BS$6&gt;=$D$129),1,0),IF(AND(BS42=BR$5,BS$6&gt;=$D$129),1,0),IF(AND(BT42=BR$5,BS$6&gt;=$D$129),1,0),IF(BR42&amp;BU42=BU$5,4,0),IF(AND(BR42=BR$5,BS$6&lt;=$D$104),-0.5,0),IF(AND(BS42=BR$5,BS$6&lt;=$D$104),-0.5,0),IF(AND(BT42=BR$5,BS$6&lt;=$D$104),-0.5,0))</f>
        <v/>
      </c>
      <c r="BW42" s="145" t="n"/>
      <c r="BX42" s="146" t="n"/>
      <c r="BY42" s="146" t="n"/>
      <c r="BZ42" s="146" t="n"/>
      <c r="CA42" s="602">
        <f>SUM(IF(BW42=BW$5,4,0),IF(BW42&amp;BX42=BW$5&amp;BX$5,1,0),
IF(AND(BW42=BW$5,BX$6&gt;=$D$115),1,0),
IF(AND(BX42=BW$5,BX$6&gt;=$D$115),1,0),
IF(AND(BY42=BW$5,BX$6&gt;=$D$115),1,0),
IF(BW42&amp;BZ42=CA$5,1,0),
IF(BX42=BW$5,2,0),
IF(BY42=BW$5,1,0),
IF(OR(BW42&amp;BX42&amp;BY42=BW$5&amp;BX$5&amp;BY$5,BW42&amp;BX42&amp;BY42=BW$5&amp;BY$5&amp;BX$5,BW42&amp;BX42&amp;BY42=BX$5&amp;BW$5&amp;BY$5,BW42&amp;BX42&amp;BY42=BX$5&amp;BY$5&amp;BW$5,BW42&amp;BX42&amp;BY42=BY$5&amp;BW$5&amp;BX$5,BW42&amp;BX42&amp;BY42=BY$5&amp;BX$5&amp;BW$5),2,0),IF(AND(BW42=BW$5,BX$6&gt;=$D$129),1,0),IF(AND(BX42=BW$5,BX$6&gt;=$D$129),1,0),IF(AND(BY42=BW$5,BX$6&gt;=$D$129),1,0),IF(BW42&amp;BZ42=BZ$5,4,0),IF(AND(BW42=BW$5,BX$6&lt;=$D$104),-0.5,0),IF(AND(BX42=BW$5,BX$6&lt;=$D$104),-0.5,0),IF(AND(BY42=BW$5,BX$6&lt;=$D$104),-0.5,0))</f>
        <v/>
      </c>
      <c r="CB42" s="145" t="n"/>
      <c r="CC42" s="146" t="n"/>
      <c r="CD42" s="146" t="n"/>
      <c r="CE42" s="146" t="n"/>
      <c r="CF42" s="602">
        <f>SUM(IF(CB42=CB$5,4,0),IF(CB42&amp;CC42=CB$5&amp;CC$5,1,0),
IF(AND(CB42=CB$5,CC$6&gt;=$D$115),1,0),
IF(AND(CC42=CB$5,CC$6&gt;=$D$115),1,0),
IF(AND(CD42=CB$5,CC$6&gt;=$D$115),1,0),
IF(CB42&amp;CE42=CF$5,1,0),
IF(CC42=CB$5,2,0),
IF(CD42=CB$5,1,0),
IF(OR(CB42&amp;CC42&amp;CD42=CB$5&amp;CC$5&amp;CD$5,CB42&amp;CC42&amp;CD42=CB$5&amp;CD$5&amp;CC$5,CB42&amp;CC42&amp;CD42=CC$5&amp;CB$5&amp;CD$5,CB42&amp;CC42&amp;CD42=CC$5&amp;CD$5&amp;CB$5,CB42&amp;CC42&amp;CD42=CD$5&amp;CB$5&amp;CC$5,CB42&amp;CC42&amp;CD42=CD$5&amp;CC$5&amp;CB$5),2,0),IF(AND(CB42=CB$5,CC$6&gt;=$D$129),1,0),IF(AND(CC42=CB$5,CC$6&gt;=$D$129),1,0),IF(AND(CD42=CB$5,CC$6&gt;=$D$129),1,0),IF(CB42&amp;CE42=CE$5,4,0),IF(AND(CB42=CB$5,CC$6&lt;=$D$104),-0.5,0),IF(AND(CC42=CB$5,CC$6&lt;=$D$104),-0.5,0),IF(AND(CD42=CB$5,CC$6&lt;=$D$104),-0.5,0))</f>
        <v/>
      </c>
      <c r="CG42" s="164">
        <f>IF(BASE01[[#This Row],[1]]="",0,$B$4)</f>
        <v/>
      </c>
      <c r="CH42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2" s="166">
        <f>IF(BASE01[[#This Row],[Columna14]]=0,0,(CH42/CG42))</f>
        <v/>
      </c>
      <c r="CJ42" s="165">
        <f>IF(BASE01[[#This Row],[1]]="",0,$B$4)</f>
        <v/>
      </c>
      <c r="CK42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2" s="166">
        <f>IF(BASE01[[#This Row],[Columna14]]=0,0,(CK42/CJ42))</f>
        <v/>
      </c>
      <c r="CM42" s="164">
        <f>IF(BASE01[[#This Row],[1]]="",0,$B$4)</f>
        <v/>
      </c>
      <c r="CN42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2" s="166">
        <f>IF(BASE01[[#This Row],[Columna14]]=0,0,(CN42/CM42))</f>
        <v/>
      </c>
      <c r="CP42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2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Row],[Columna25]],$AX$5,BA42,"SF")+COUNTIFS(BASE01[[#This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2" s="166">
        <f>IF(BASE01[[#This Row],[Columna14]]=0,0,(CQ42/CP42))</f>
        <v/>
      </c>
      <c r="CS42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2" s="95" t="n"/>
      <c r="CU42" s="604">
        <f>SUM(CS42,CT42)</f>
        <v/>
      </c>
      <c r="CV42" s="96">
        <f>IF(BASE01[[#This Row],[TIPO]]="PREMIO",$O$3,"0,00")</f>
        <v/>
      </c>
      <c r="CW42" s="576" t="n"/>
      <c r="CY42" s="606">
        <f>IF(CZ42="","",$CZ$25)</f>
        <v/>
      </c>
      <c r="CZ42" s="392" t="n"/>
      <c r="DA42" s="392">
        <f t="array" ref="DA42">IF(CZ42="", "", IF((INDEX(E$8:CE$57, MATCH(CZ42, C$8:C$57, 0), ($CZ$25-1)*5 + 1) &amp; "") = (INDEX(E$5:CE$5, 1, ($CZ$25-1)*5 + 1) &amp; ""), 1, IF((INDEX(E$8:CE$57, MATCH(CZ42, C$8:C$57, 0), ($CZ$25-1)*5 + 2) &amp; "") = (INDEX(E$5:CE$5, 1, ($CZ$25-1)*5 + 1) &amp; ""), 2, IF((INDEX(E$8:CE$57, MATCH(CZ42, C$8:C$57, 0), ($CZ$25-1)*5 + 3) &amp; "") = (INDEX(E$5:CE$5, 1, ($CZ$25-1)*5 + 1) &amp; ""), 3, ""))))</f>
        <v/>
      </c>
      <c r="DB42" s="605">
        <f>BASE01[[#This Row],[COD]]</f>
        <v/>
      </c>
      <c r="DC42" s="395">
        <f t="array" ref="DC42">IFERROR(IF(AND(INDEX($E$8:$CE$57, MATCH($C42, $C$8:$C$57, 0), (COLUMNS($DC42:DC42)-1)*5 + 1) = INDEX($E$5:$CE$5, 1, (COLUMNS($DC42:DC42)-1)*5 + 1), INDEX($E$8:$CE$57, MATCH($C42, $C$8:$C$57, 0), (COLUMNS($DC42:DC42)-1)*5 + 4) = "F"), INDEX($CZ$8:$CZ$23, COLUMNS($DC42:DC42)), "0"), "")</f>
        <v/>
      </c>
      <c r="DD42" s="395">
        <f t="array" ref="DD42">IFERROR(IF(AND(INDEX($E$8:$CE$57, MATCH($C42, $C$8:$C$57, 0), (COLUMNS($DC42:DD42)-1)*5 + 1) = INDEX($E$5:$CE$5, 1, (COLUMNS($DC42:DD42)-1)*5 + 1), INDEX($E$8:$CE$57, MATCH($C42, $C$8:$C$57, 0), (COLUMNS($DC42:DD42)-1)*5 + 4) = "F"), INDEX($CZ$8:$CZ$23, COLUMNS($DC42:DD42)), "0"), "")</f>
        <v/>
      </c>
      <c r="DE42" s="395">
        <f t="array" ref="DE42">IFERROR(IF(AND(INDEX($E$8:$CE$57, MATCH($C42, $C$8:$C$57, 0), (COLUMNS($DC42:DE42)-1)*5 + 1) = INDEX($E$5:$CE$5, 1, (COLUMNS($DC42:DE42)-1)*5 + 1), INDEX($E$8:$CE$57, MATCH($C42, $C$8:$C$57, 0), (COLUMNS($DC42:DE42)-1)*5 + 4) = "F"), INDEX($CZ$8:$CZ$23, COLUMNS($DC42:DE42)), "0"), "")</f>
        <v/>
      </c>
      <c r="DF42" s="395">
        <f t="array" ref="DF42">IFERROR(IF(AND(INDEX($E$8:$CE$57, MATCH($C42, $C$8:$C$57, 0), (COLUMNS($DC42:DF42)-1)*5 + 1) = INDEX($E$5:$CE$5, 1, (COLUMNS($DC42:DF42)-1)*5 + 1), INDEX($E$8:$CE$57, MATCH($C42, $C$8:$C$57, 0), (COLUMNS($DC42:DF42)-1)*5 + 4) = "F"), INDEX($CZ$8:$CZ$23, COLUMNS($DC42:DF42)), "0"), "")</f>
        <v/>
      </c>
      <c r="DG42" s="395">
        <f t="array" ref="DG42">IFERROR(IF(AND(INDEX($E$8:$CE$57, MATCH($C42, $C$8:$C$57, 0), (COLUMNS($DC42:DG42)-1)*5 + 1) = INDEX($E$5:$CE$5, 1, (COLUMNS($DC42:DG42)-1)*5 + 1), INDEX($E$8:$CE$57, MATCH($C42, $C$8:$C$57, 0), (COLUMNS($DC42:DG42)-1)*5 + 4) = "F"), INDEX($CZ$8:$CZ$23, COLUMNS($DC42:DG42)), "0"), "")</f>
        <v/>
      </c>
      <c r="DH42" s="395">
        <f t="array" ref="DH42">IFERROR(IF(AND(INDEX($E$8:$CE$57, MATCH($C42, $C$8:$C$57, 0), (COLUMNS($DC42:DH42)-1)*5 + 1) = INDEX($E$5:$CE$5, 1, (COLUMNS($DC42:DH42)-1)*5 + 1), INDEX($E$8:$CE$57, MATCH($C42, $C$8:$C$57, 0), (COLUMNS($DC42:DH42)-1)*5 + 4) = "F"), INDEX($CZ$8:$CZ$23, COLUMNS($DC42:DH42)), "0"), "")</f>
        <v/>
      </c>
      <c r="DI42" s="395">
        <f t="array" ref="DI42">IFERROR(IF(AND(INDEX($E$8:$CE$57, MATCH($C42, $C$8:$C$57, 0), (COLUMNS($DC42:DI42)-1)*5 + 1) = INDEX($E$5:$CE$5, 1, (COLUMNS($DC42:DI42)-1)*5 + 1), INDEX($E$8:$CE$57, MATCH($C42, $C$8:$C$57, 0), (COLUMNS($DC42:DI42)-1)*5 + 4) = "F"), INDEX($CZ$8:$CZ$23, COLUMNS($DC42:DI42)), "0"), "")</f>
        <v/>
      </c>
      <c r="DJ42" s="395">
        <f t="array" ref="DJ42">IFERROR(IF(AND(INDEX($E$8:$CE$57, MATCH($C42, $C$8:$C$57, 0), (COLUMNS($DC42:DJ42)-1)*5 + 1) = INDEX($E$5:$CE$5, 1, (COLUMNS($DC42:DJ42)-1)*5 + 1), INDEX($E$8:$CE$57, MATCH($C42, $C$8:$C$57, 0), (COLUMNS($DC42:DJ42)-1)*5 + 4) = "F"), INDEX($CZ$8:$CZ$23, COLUMNS($DC42:DJ42)), "0"), "")</f>
        <v/>
      </c>
      <c r="DK42" s="395">
        <f t="array" ref="DK42">IFERROR(IF(AND(INDEX($E$8:$CE$57, MATCH($C42, $C$8:$C$57, 0), (COLUMNS($DC42:DK42)-1)*5 + 1) = INDEX($E$5:$CE$5, 1, (COLUMNS($DC42:DK42)-1)*5 + 1), INDEX($E$8:$CE$57, MATCH($C42, $C$8:$C$57, 0), (COLUMNS($DC42:DK42)-1)*5 + 4) = "F"), INDEX($CZ$8:$CZ$23, COLUMNS($DC42:DK42)), "0"), "")</f>
        <v/>
      </c>
      <c r="DL42" s="395">
        <f t="array" ref="DL42">IFERROR(IF(AND(INDEX($E$8:$CE$57, MATCH($C42, $C$8:$C$57, 0), (COLUMNS($DC42:DL42)-1)*5 + 1) = INDEX($E$5:$CE$5, 1, (COLUMNS($DC42:DL42)-1)*5 + 1), INDEX($E$8:$CE$57, MATCH($C42, $C$8:$C$57, 0), (COLUMNS($DC42:DL42)-1)*5 + 4) = "F"), INDEX($CZ$8:$CZ$23, COLUMNS($DC42:DL42)), "0"), "")</f>
        <v/>
      </c>
      <c r="DM42" s="395">
        <f t="array" ref="DM42">IFERROR(IF(AND(INDEX($E$8:$CE$57, MATCH($C42, $C$8:$C$57, 0), (COLUMNS($DC42:DM42)-1)*5 + 1) = INDEX($E$5:$CE$5, 1, (COLUMNS($DC42:DM42)-1)*5 + 1), INDEX($E$8:$CE$57, MATCH($C42, $C$8:$C$57, 0), (COLUMNS($DC42:DM42)-1)*5 + 4) = "F"), INDEX($CZ$8:$CZ$23, COLUMNS($DC42:DM42)), "0"), "")</f>
        <v/>
      </c>
      <c r="DN42" s="395">
        <f t="array" ref="DN42">IFERROR(IF(AND(INDEX($E$8:$CE$57, MATCH($C42, $C$8:$C$57, 0), (COLUMNS($DC42:DN42)-1)*5 + 1) = INDEX($E$5:$CE$5, 1, (COLUMNS($DC42:DN42)-1)*5 + 1), INDEX($E$8:$CE$57, MATCH($C42, $C$8:$C$57, 0), (COLUMNS($DC42:DN42)-1)*5 + 4) = "F"), INDEX($CZ$8:$CZ$23, COLUMNS($DC42:DN42)), "0"), "")</f>
        <v/>
      </c>
      <c r="DO42" s="395">
        <f t="array" ref="DO42">IFERROR(IF(AND(INDEX($E$8:$CE$57, MATCH($C42, $C$8:$C$57, 0), (COLUMNS($DC42:DO42)-1)*5 + 1) = INDEX($E$5:$CE$5, 1, (COLUMNS($DC42:DO42)-1)*5 + 1), INDEX($E$8:$CE$57, MATCH($C42, $C$8:$C$57, 0), (COLUMNS($DC42:DO42)-1)*5 + 4) = "F"), INDEX($CZ$8:$CZ$23, COLUMNS($DC42:DO42)), "0"), "")</f>
        <v/>
      </c>
      <c r="DP42" s="395">
        <f t="array" ref="DP42">IFERROR(IF(AND(INDEX($E$8:$CE$57, MATCH($C42, $C$8:$C$57, 0), (COLUMNS($DC42:DP42)-1)*5 + 1) = INDEX($E$5:$CE$5, 1, (COLUMNS($DC42:DP42)-1)*5 + 1), INDEX($E$8:$CE$57, MATCH($C42, $C$8:$C$57, 0), (COLUMNS($DC42:DP42)-1)*5 + 4) = "F"), INDEX($CZ$8:$CZ$23, COLUMNS($DC42:DP42)), "0"), "")</f>
        <v/>
      </c>
      <c r="DQ42" s="395">
        <f t="array" ref="DQ42">IFERROR(IF(AND(INDEX($E$8:$CE$57, MATCH($C42, $C$8:$C$57, 0), (COLUMNS($DC42:DQ42)-1)*5 + 1) = INDEX($E$5:$CE$5, 1, (COLUMNS($DC42:DQ42)-1)*5 + 1), INDEX($E$8:$CE$57, MATCH($C42, $C$8:$C$57, 0), (COLUMNS($DC42:DQ42)-1)*5 + 4) = "F"), INDEX($CZ$8:$CZ$23, COLUMNS($DC42:DQ42)), "0"), "")</f>
        <v/>
      </c>
      <c r="DR42" s="395">
        <f t="array" ref="DR42">IFERROR(IF(AND(INDEX($E$8:$CE$57, MATCH($C42, $C$8:$C$57, 0), (COLUMNS($DC42:DR42)-1)*5 + 1) = INDEX($E$5:$CE$5, 1, (COLUMNS($DC42:DR42)-1)*5 + 1), INDEX($E$8:$CE$57, MATCH($C42, $C$8:$C$57, 0), (COLUMNS($DC42:DR42)-1)*5 + 4) = "F"), INDEX($CZ$8:$CZ$23, COLUMNS($DC42:DR42)), "0"), "")</f>
        <v/>
      </c>
      <c r="DT42" s="605">
        <f>BASE01[[#This Row],[COD]]</f>
        <v/>
      </c>
      <c r="DU42" s="395">
        <f t="array" ref="DU42">IFERROR(IF(AND(INDEX($E$8:$CE$57, MATCH($C42, $C$8:$C$57, 0), (COLUMNS($DU42:DU42)-1)*5 + 1) = INDEX($E$5:$CE$5, 1, (COLUMNS($DU42:DU42)-1)*5 + 1), INDEX($E$8:$CE$57, MATCH($C42, $C$8:$C$57, 0), (COLUMNS($DU42:DU42)-1)*5 + 4) = "SF"), INDEX($CZ$8:$CZ$23, COLUMNS($DU42:DU42)), "0"), "")</f>
        <v/>
      </c>
      <c r="DV42" s="395">
        <f t="array" ref="DV42">IFERROR(IF(AND(INDEX($E$8:$CE$57, MATCH($C42, $C$8:$C$57, 0), (COLUMNS($DU42:DV42)-1)*5 + 1) = INDEX($E$5:$CE$5, 1, (COLUMNS($DU42:DV42)-1)*5 + 1), INDEX($E$8:$CE$57, MATCH($C42, $C$8:$C$57, 0), (COLUMNS($DU42:DV42)-1)*5 + 4) = "SF"), INDEX($CZ$8:$CZ$23, COLUMNS($DU42:DV42)), "0"), "")</f>
        <v/>
      </c>
      <c r="DW42" s="395">
        <f t="array" ref="DW42">IFERROR(IF(AND(INDEX($E$8:$CE$57, MATCH($C42, $C$8:$C$57, 0), (COLUMNS($DU42:DW42)-1)*5 + 1) = INDEX($E$5:$CE$5, 1, (COLUMNS($DU42:DW42)-1)*5 + 1), INDEX($E$8:$CE$57, MATCH($C42, $C$8:$C$57, 0), (COLUMNS($DU42:DW42)-1)*5 + 4) = "SF"), INDEX($CZ$8:$CZ$23, COLUMNS($DU42:DW42)), "0"), "")</f>
        <v/>
      </c>
      <c r="DX42" s="395">
        <f t="array" ref="DX42">IFERROR(IF(AND(INDEX($E$8:$CE$57, MATCH($C42, $C$8:$C$57, 0), (COLUMNS($DU42:DX42)-1)*5 + 1) = INDEX($E$5:$CE$5, 1, (COLUMNS($DU42:DX42)-1)*5 + 1), INDEX($E$8:$CE$57, MATCH($C42, $C$8:$C$57, 0), (COLUMNS($DU42:DX42)-1)*5 + 4) = "SF"), INDEX($CZ$8:$CZ$23, COLUMNS($DU42:DX42)), "0"), "")</f>
        <v/>
      </c>
      <c r="DY42" s="395">
        <f t="array" ref="DY42">IFERROR(IF(AND(INDEX($E$8:$CE$57, MATCH($C42, $C$8:$C$57, 0), (COLUMNS($DU42:DY42)-1)*5 + 1) = INDEX($E$5:$CE$5, 1, (COLUMNS($DU42:DY42)-1)*5 + 1), INDEX($E$8:$CE$57, MATCH($C42, $C$8:$C$57, 0), (COLUMNS($DU42:DY42)-1)*5 + 4) = "SF"), INDEX($CZ$8:$CZ$23, COLUMNS($DU42:DY42)), "0"), "")</f>
        <v/>
      </c>
      <c r="DZ42" s="395">
        <f t="array" ref="DZ42">IFERROR(IF(AND(INDEX($E$8:$CE$57, MATCH($C42, $C$8:$C$57, 0), (COLUMNS($DU42:DZ42)-1)*5 + 1) = INDEX($E$5:$CE$5, 1, (COLUMNS($DU42:DZ42)-1)*5 + 1), INDEX($E$8:$CE$57, MATCH($C42, $C$8:$C$57, 0), (COLUMNS($DU42:DZ42)-1)*5 + 4) = "SF"), INDEX($CZ$8:$CZ$23, COLUMNS($DU42:DZ42)), "0"), "")</f>
        <v/>
      </c>
      <c r="EA42" s="395">
        <f t="array" ref="EA42">IFERROR(IF(AND(INDEX($E$8:$CE$57, MATCH($C42, $C$8:$C$57, 0), (COLUMNS($DU42:EA42)-1)*5 + 1) = INDEX($E$5:$CE$5, 1, (COLUMNS($DU42:EA42)-1)*5 + 1), INDEX($E$8:$CE$57, MATCH($C42, $C$8:$C$57, 0), (COLUMNS($DU42:EA42)-1)*5 + 4) = "SF"), INDEX($CZ$8:$CZ$23, COLUMNS($DU42:EA42)), "0"), "")</f>
        <v/>
      </c>
      <c r="EB42" s="395">
        <f t="array" ref="EB42">IFERROR(IF(AND(INDEX($E$8:$CE$57, MATCH($C42, $C$8:$C$57, 0), (COLUMNS($DU42:EB42)-1)*5 + 1) = INDEX($E$5:$CE$5, 1, (COLUMNS($DU42:EB42)-1)*5 + 1), INDEX($E$8:$CE$57, MATCH($C42, $C$8:$C$57, 0), (COLUMNS($DU42:EB42)-1)*5 + 4) = "SF"), INDEX($CZ$8:$CZ$23, COLUMNS($DU42:EB42)), "0"), "")</f>
        <v/>
      </c>
      <c r="EC42" s="395">
        <f t="array" ref="EC42">IFERROR(IF(AND(INDEX($E$8:$CE$57, MATCH($C42, $C$8:$C$57, 0), (COLUMNS($DU42:EC42)-1)*5 + 1) = INDEX($E$5:$CE$5, 1, (COLUMNS($DU42:EC42)-1)*5 + 1), INDEX($E$8:$CE$57, MATCH($C42, $C$8:$C$57, 0), (COLUMNS($DU42:EC42)-1)*5 + 4) = "SF"), INDEX($CZ$8:$CZ$23, COLUMNS($DU42:EC42)), "0"), "")</f>
        <v/>
      </c>
      <c r="ED42" s="395">
        <f t="array" ref="ED42">IFERROR(IF(AND(INDEX($E$8:$CE$57, MATCH($C42, $C$8:$C$57, 0), (COLUMNS($DU42:ED42)-1)*5 + 1) = INDEX($E$5:$CE$5, 1, (COLUMNS($DU42:ED42)-1)*5 + 1), INDEX($E$8:$CE$57, MATCH($C42, $C$8:$C$57, 0), (COLUMNS($DU42:ED42)-1)*5 + 4) = "SF"), INDEX($CZ$8:$CZ$23, COLUMNS($DU42:ED42)), "0"), "")</f>
        <v/>
      </c>
      <c r="EE42" s="395">
        <f t="array" ref="EE42">IFERROR(IF(AND(INDEX($E$8:$CE$57, MATCH($C42, $C$8:$C$57, 0), (COLUMNS($DU42:EE42)-1)*5 + 1) = INDEX($E$5:$CE$5, 1, (COLUMNS($DU42:EE42)-1)*5 + 1), INDEX($E$8:$CE$57, MATCH($C42, $C$8:$C$57, 0), (COLUMNS($DU42:EE42)-1)*5 + 4) = "SF"), INDEX($CZ$8:$CZ$23, COLUMNS($DU42:EE42)), "0"), "")</f>
        <v/>
      </c>
      <c r="EF42" s="395">
        <f t="array" ref="EF42">IFERROR(IF(AND(INDEX($E$8:$CE$57, MATCH($C42, $C$8:$C$57, 0), (COLUMNS($DU42:EF42)-1)*5 + 1) = INDEX($E$5:$CE$5, 1, (COLUMNS($DU42:EF42)-1)*5 + 1), INDEX($E$8:$CE$57, MATCH($C42, $C$8:$C$57, 0), (COLUMNS($DU42:EF42)-1)*5 + 4) = "SF"), INDEX($CZ$8:$CZ$23, COLUMNS($DU42:EF42)), "0"), "")</f>
        <v/>
      </c>
      <c r="EG42" s="395">
        <f t="array" ref="EG42">IFERROR(IF(AND(INDEX($E$8:$CE$57, MATCH($C42, $C$8:$C$57, 0), (COLUMNS($DU42:EG42)-1)*5 + 1) = INDEX($E$5:$CE$5, 1, (COLUMNS($DU42:EG42)-1)*5 + 1), INDEX($E$8:$CE$57, MATCH($C42, $C$8:$C$57, 0), (COLUMNS($DU42:EG42)-1)*5 + 4) = "SF"), INDEX($CZ$8:$CZ$23, COLUMNS($DU42:EG42)), "0"), "")</f>
        <v/>
      </c>
      <c r="EH42" s="395">
        <f t="array" ref="EH42">IFERROR(IF(AND(INDEX($E$8:$CE$57, MATCH($C42, $C$8:$C$57, 0), (COLUMNS($DU42:EH42)-1)*5 + 1) = INDEX($E$5:$CE$5, 1, (COLUMNS($DU42:EH42)-1)*5 + 1), INDEX($E$8:$CE$57, MATCH($C42, $C$8:$C$57, 0), (COLUMNS($DU42:EH42)-1)*5 + 4) = "SF"), INDEX($CZ$8:$CZ$23, COLUMNS($DU42:EH42)), "0"), "")</f>
        <v/>
      </c>
      <c r="EI42" s="395">
        <f t="array" ref="EI42">IFERROR(IF(AND(INDEX($E$8:$CE$57, MATCH($C42, $C$8:$C$57, 0), (COLUMNS($DU42:EI42)-1)*5 + 1) = INDEX($E$5:$CE$5, 1, (COLUMNS($DU42:EI42)-1)*5 + 1), INDEX($E$8:$CE$57, MATCH($C42, $C$8:$C$57, 0), (COLUMNS($DU42:EI42)-1)*5 + 4) = "SF"), INDEX($CZ$8:$CZ$23, COLUMNS($DU42:EI42)), "0"), "")</f>
        <v/>
      </c>
      <c r="EJ42" s="395">
        <f t="array" ref="EJ42">IFERROR(IF(AND(INDEX($E$8:$CE$57, MATCH($C42, $C$8:$C$57, 0), (COLUMNS($DU42:EJ42)-1)*5 + 1) = INDEX($E$5:$CE$5, 1, (COLUMNS($DU42:EJ42)-1)*5 + 1), INDEX($E$8:$CE$57, MATCH($C42, $C$8:$C$57, 0), (COLUMNS($DU42:EJ42)-1)*5 + 4) = "SF"), INDEX($CZ$8:$CZ$23, COLUMNS($DU42:EJ42)), "0"), "")</f>
        <v/>
      </c>
    </row>
    <row r="43" ht="20.1" customHeight="1" s="568">
      <c r="A43" s="576" t="n"/>
      <c r="B43" s="92">
        <f>IF(BASE01[[#This Row],[COD]]&lt;&gt;"",B42+1,"")</f>
        <v/>
      </c>
      <c r="C43" s="601" t="inlineStr">
        <is>
          <t>COD 36</t>
        </is>
      </c>
      <c r="D43" s="93">
        <f t="array" ref="D43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3" s="145" t="n">
        <v>1</v>
      </c>
      <c r="F43" s="146" t="n">
        <v>6</v>
      </c>
      <c r="G43" s="146" t="n">
        <v>2</v>
      </c>
      <c r="H43" s="146" t="n"/>
      <c r="I43" s="602">
        <f>SUM(IF(E43=E$5,4,0),IF(E43&amp;F43=E$5&amp;F$5,1,0),
IF(AND(E43=E$5,F$6&gt;=$D$115),1,0),
IF(AND(F43=E$5,F$6&gt;=$D$115),1,0),
IF(AND(G43=E$5,F$6&gt;=$D$115),1,0),
IF(E43&amp;H43=I$5,1,0),
IF(F43=E$5,2,0),
IF(G43=E$5,1,0),
IF(OR(E43&amp;F43&amp;G43=E$5&amp;F$5&amp;G$5,E43&amp;F43&amp;G43=E$5&amp;G$5&amp;F$5,E43&amp;F43&amp;G43=F$5&amp;E$5&amp;G$5,E43&amp;F43&amp;G43=F$5&amp;G$5&amp;E$5,E43&amp;F43&amp;G43=G$5&amp;E$5&amp;F$5,E43&amp;F43&amp;G43=G$5&amp;F$5&amp;E$5),2,0),IF(AND(E43=E$5,F$6&gt;=$D$129),1,0),IF(AND(F43=E$5,F$6&gt;=$D$129),1,0),IF(AND(G43=E$5,F$6&gt;=$D$129),1,0),IF(E43&amp;H43=H$5,4,0),IF(AND(E43=E$5,F$6&lt;=$D$104),-0.5,0),IF(AND(F43=E$5,F$6&lt;=$D$104),-0.5,0),IF(AND(G43=E$5,F$6&lt;=$D$104),-0.5,0))</f>
        <v/>
      </c>
      <c r="J43" s="145" t="n">
        <v>3</v>
      </c>
      <c r="K43" s="146" t="n">
        <v>8</v>
      </c>
      <c r="L43" s="146" t="n">
        <v>1</v>
      </c>
      <c r="M43" s="146" t="n"/>
      <c r="N43" s="602">
        <f>SUM(IF(J43=J$5,4,0),IF(J43&amp;K43=J$5&amp;K$5,1,0),
IF(AND(J43=J$5,K$6&gt;=$D$115),1,0),
IF(AND(K43=J$5,K$6&gt;=$D$115),1,0),
IF(AND(L43=J$5,K$6&gt;=$D$115),1,0),
IF(J43&amp;M43=N$5,1,0),
IF(K43=J$5,2,0),
IF(L43=J$5,1,0),
IF(OR(J43&amp;K43&amp;L43=J$5&amp;K$5&amp;L$5,J43&amp;K43&amp;L43=J$5&amp;L$5&amp;K$5,J43&amp;K43&amp;L43=K$5&amp;J$5&amp;L$5,J43&amp;K43&amp;L43=K$5&amp;L$5&amp;J$5,J43&amp;K43&amp;L43=L$5&amp;J$5&amp;K$5,J43&amp;K43&amp;L43=L$5&amp;K$5&amp;J$5),2,0),IF(AND(J43=J$5,K$6&gt;=$D$129),1,0),IF(AND(K43=J$5,K$6&gt;=$D$129),1,0),IF(AND(L43=J$5,K$6&gt;=$D$129),1,0),IF(J43&amp;M43=M$5,4,0),IF(AND(J43=J$5,K$6&lt;=$D$104),-0.5,0),IF(AND(K43=J$5,K$6&lt;=$D$104),-0.5,0),IF(AND(L43=J$5,K$6&lt;=$D$104),-0.5,0))</f>
        <v/>
      </c>
      <c r="O43" s="145" t="n">
        <v>3</v>
      </c>
      <c r="P43" s="146" t="n">
        <v>2</v>
      </c>
      <c r="Q43" s="146" t="n">
        <v>6</v>
      </c>
      <c r="R43" s="146" t="n"/>
      <c r="S43" s="602">
        <f>SUM(IF(O43=O$5,4,0),IF(O43&amp;P43=O$5&amp;P$5,1,0),
IF(AND(O43=O$5,P$6&gt;=$D$115),1,0),
IF(AND(P43=O$5,P$6&gt;=$D$115),1,0),
IF(AND(Q43=O$5,P$6&gt;=$D$115),1,0),
IF(O43&amp;R43=S$5,1,0),
IF(P43=O$5,2,0),
IF(Q43=O$5,1,0),
IF(OR(O43&amp;P43&amp;Q43=O$5&amp;P$5&amp;Q$5,O43&amp;P43&amp;Q43=O$5&amp;Q$5&amp;P$5,O43&amp;P43&amp;Q43=P$5&amp;O$5&amp;Q$5,O43&amp;P43&amp;Q43=P$5&amp;Q$5&amp;O$5,O43&amp;P43&amp;Q43=Q$5&amp;O$5&amp;P$5,O43&amp;P43&amp;Q43=Q$5&amp;P$5&amp;O$5),2,0),IF(AND(O43=O$5,P$6&gt;=$D$129),1,0),IF(AND(P43=O$5,P$6&gt;=$D$129),1,0),IF(AND(Q43=O$5,P$6&gt;=$D$129),1,0),IF(O43&amp;R43=R$5,4,0),IF(AND(O43=O$5,P$6&lt;=$D$104),-0.5,0),IF(AND(P43=O$5,P$6&lt;=$D$104),-0.5,0),IF(AND(Q43=O$5,P$6&lt;=$D$104),-0.5,0))</f>
        <v/>
      </c>
      <c r="T43" s="145" t="n">
        <v>6</v>
      </c>
      <c r="U43" s="146" t="n"/>
      <c r="V43" s="146" t="n"/>
      <c r="W43" s="146" t="inlineStr">
        <is>
          <t>SF</t>
        </is>
      </c>
      <c r="X43" s="602">
        <f>SUM(IF(T43=T$5,4,0),IF(T43&amp;U43=T$5&amp;U$5,1,0),
IF(AND(T43=T$5,U$6&gt;=$D$115),1,0),
IF(AND(U43=T$5,U$6&gt;=$D$115),1,0),
IF(AND(V43=T$5,U$6&gt;=$D$115),1,0),
IF(T43&amp;W43=X$5,1,0),
IF(U43=T$5,2,0),
IF(V43=T$5,1,0),
IF(OR(T43&amp;U43&amp;V43=T$5&amp;U$5&amp;V$5,T43&amp;U43&amp;V43=T$5&amp;V$5&amp;U$5,T43&amp;U43&amp;V43=U$5&amp;T$5&amp;V$5,T43&amp;U43&amp;V43=U$5&amp;V$5&amp;T$5,T43&amp;U43&amp;V43=V$5&amp;T$5&amp;U$5,T43&amp;U43&amp;V43=V$5&amp;U$5&amp;T$5),2,0),IF(AND(T43=T$5,U$6&gt;=$D$129),1,0),IF(AND(U43=T$5,U$6&gt;=$D$129),1,0),IF(AND(V43=T$5,U$6&gt;=$D$129),1,0),IF(T43&amp;W43=W$5,4,0),IF(AND(T43=T$5,U$6&lt;=$D$104),-0.5,0),IF(AND(U43=T$5,U$6&lt;=$D$104),-0.5,0),IF(AND(V43=T$5,U$6&lt;=$D$104),-0.5,0))</f>
        <v/>
      </c>
      <c r="Y43" s="145" t="n">
        <v>5</v>
      </c>
      <c r="Z43" s="146" t="n">
        <v>8</v>
      </c>
      <c r="AA43" s="146" t="n">
        <v>1</v>
      </c>
      <c r="AB43" s="146" t="inlineStr">
        <is>
          <t>F</t>
        </is>
      </c>
      <c r="AC43" s="602">
        <f>SUM(IF(Y43=Y$5,4,0),IF(Y43&amp;Z43=Y$5&amp;Z$5,1,0),
IF(AND(Y43=Y$5,Z$6&gt;=$D$115),1,0),
IF(AND(Z43=Y$5,Z$6&gt;=$D$115),1,0),
IF(AND(AA43=Y$5,Z$6&gt;=$D$115),1,0),
IF(Y43&amp;AB43=AC$5,1,0),
IF(Z43=Y$5,2,0),
IF(AA43=Y$5,1,0),
IF(OR(Y43&amp;Z43&amp;AA43=Y$5&amp;Z$5&amp;AA$5,Y43&amp;Z43&amp;AA43=Y$5&amp;AA$5&amp;Z$5,Y43&amp;Z43&amp;AA43=Z$5&amp;Y$5&amp;AA$5,Y43&amp;Z43&amp;AA43=Z$5&amp;AA$5&amp;Y$5,Y43&amp;Z43&amp;AA43=AA$5&amp;Y$5&amp;Z$5,Y43&amp;Z43&amp;AA43=AA$5&amp;Z$5&amp;Y$5),2,0),IF(AND(Y43=Y$5,Z$6&gt;=$D$129),1,0),IF(AND(Z43=Y$5,Z$6&gt;=$D$129),1,0),IF(AND(AA43=Y$5,Z$6&gt;=$D$129),1,0),IF(Y43&amp;AB43=AB$5,4,0),IF(AND(Y43=Y$5,Z$6&lt;=$D$104),-0.5,0),IF(AND(Z43=Y$5,Z$6&lt;=$D$104),-0.5,0),IF(AND(AA43=Y$5,Z$6&lt;=$D$104),-0.5,0))</f>
        <v/>
      </c>
      <c r="AD43" s="145" t="n">
        <v>5</v>
      </c>
      <c r="AE43" s="146" t="n">
        <v>2</v>
      </c>
      <c r="AF43" s="146" t="n">
        <v>7</v>
      </c>
      <c r="AG43" s="146" t="n"/>
      <c r="AH43" s="602">
        <f>SUM(IF(AD43=AD$5,4,0),IF(AD43&amp;AE43=AD$5&amp;AE$5,1,0),
IF(AND(AD43=AD$5,AE$6&gt;=$D$115),1,0),
IF(AND(AE43=AD$5,AE$6&gt;=$D$115),1,0),
IF(AND(AF43=AD$5,AE$6&gt;=$D$115),1,0),
IF(AD43&amp;AG43=AH$5,1,0),
IF(AE43=AD$5,2,0),
IF(AF43=AD$5,1,0),
IF(OR(AD43&amp;AE43&amp;AF43=AD$5&amp;AE$5&amp;AF$5,AD43&amp;AE43&amp;AF43=AD$5&amp;AF$5&amp;AE$5,AD43&amp;AE43&amp;AF43=AE$5&amp;AD$5&amp;AF$5,AD43&amp;AE43&amp;AF43=AE$5&amp;AF$5&amp;AD$5,AD43&amp;AE43&amp;AF43=AF$5&amp;AD$5&amp;AE$5,AD43&amp;AE43&amp;AF43=AF$5&amp;AE$5&amp;AD$5),2,0),IF(AND(AD43=AD$5,AE$6&gt;=$D$129),1,0),IF(AND(AE43=AD$5,AE$6&gt;=$D$129),1,0),IF(AND(AF43=AD$5,AE$6&gt;=$D$129),1,0),IF(AD43&amp;AG43=AG$5,4,0),IF(AND(AD43=AD$5,AE$6&lt;=$D$104),-0.5,0),IF(AND(AE43=AD$5,AE$6&lt;=$D$104),-0.5,0),IF(AND(AF43=AD$5,AE$6&lt;=$D$104),-0.5,0))</f>
        <v/>
      </c>
      <c r="AI43" s="145" t="n">
        <v>4</v>
      </c>
      <c r="AJ43" s="146" t="n">
        <v>3</v>
      </c>
      <c r="AK43" s="146" t="n">
        <v>7</v>
      </c>
      <c r="AL43" s="146" t="n"/>
      <c r="AM43" s="602">
        <f>SUM(IF(AI43=AI$5,4,0),IF(AI43&amp;AJ43=AI$5&amp;AJ$5,1,0),
IF(AND(AI43=AI$5,AJ$6&gt;=$D$115),1,0),
IF(AND(AJ43=AI$5,AJ$6&gt;=$D$115),1,0),
IF(AND(AK43=AI$5,AJ$6&gt;=$D$115),1,0),
IF(AI43&amp;AL43=AM$5,1,0),
IF(AJ43=AI$5,2,0),
IF(AK43=AI$5,1,0),
IF(OR(AI43&amp;AJ43&amp;AK43=AI$5&amp;AJ$5&amp;AK$5,AI43&amp;AJ43&amp;AK43=AI$5&amp;AK$5&amp;AJ$5,AI43&amp;AJ43&amp;AK43=AJ$5&amp;AI$5&amp;AK$5,AI43&amp;AJ43&amp;AK43=AJ$5&amp;AK$5&amp;AI$5,AI43&amp;AJ43&amp;AK43=AK$5&amp;AI$5&amp;AJ$5,AI43&amp;AJ43&amp;AK43=AK$5&amp;AJ$5&amp;AI$5),2,0),IF(AND(AI43=AI$5,AJ$6&gt;=$D$129),1,0),IF(AND(AJ43=AI$5,AJ$6&gt;=$D$129),1,0),IF(AND(AK43=AI$5,AJ$6&gt;=$D$129),1,0),IF(AI43&amp;AL43=AL$5,4,0),IF(AND(AI43=AI$5,AJ$6&lt;=$D$104),-0.5,0),IF(AND(AJ43=AI$5,AJ$6&lt;=$D$104),-0.5,0),IF(AND(AK43=AI$5,AJ$6&lt;=$D$104),-0.5,0))</f>
        <v/>
      </c>
      <c r="AN43" s="145" t="n">
        <v>8</v>
      </c>
      <c r="AO43" s="146" t="n">
        <v>9</v>
      </c>
      <c r="AP43" s="146" t="n">
        <v>11</v>
      </c>
      <c r="AQ43" s="146" t="n"/>
      <c r="AR43" s="602">
        <f>SUM(IF(AN43=AN$5,4,0),IF(AN43&amp;AO43=AN$5&amp;AO$5,1,0),
IF(AND(AN43=AN$5,AO$6&gt;=$D$115),1,0),
IF(AND(AO43=AN$5,AO$6&gt;=$D$115),1,0),
IF(AND(AP43=AN$5,AO$6&gt;=$D$115),1,0),
IF(AN43&amp;AQ43=AR$5,1,0),
IF(AO43=AN$5,2,0),
IF(AP43=AN$5,1,0),
IF(OR(AN43&amp;AO43&amp;AP43=AN$5&amp;AO$5&amp;AP$5,AN43&amp;AO43&amp;AP43=AN$5&amp;AP$5&amp;AO$5,AN43&amp;AO43&amp;AP43=AO$5&amp;AN$5&amp;AP$5,AN43&amp;AO43&amp;AP43=AO$5&amp;AP$5&amp;AN$5,AN43&amp;AO43&amp;AP43=AP$5&amp;AN$5&amp;AO$5,AN43&amp;AO43&amp;AP43=AP$5&amp;AO$5&amp;AN$5),2,0),IF(AND(AN43=AN$5,AO$6&gt;=$D$129),1,0),IF(AND(AO43=AN$5,AO$6&gt;=$D$129),1,0),IF(AND(AP43=AN$5,AO$6&gt;=$D$129),1,0),IF(AN43&amp;AQ43=AQ$5,4,0),IF(AND(AN43=AN$5,AO$6&lt;=$D$104),-0.5,0),IF(AND(AO43=AN$5,AO$6&lt;=$D$104),-0.5,0),IF(AND(AP43=AN$5,AO$6&lt;=$D$104),-0.5,0))</f>
        <v/>
      </c>
      <c r="AS43" s="145" t="n">
        <v>5</v>
      </c>
      <c r="AT43" s="146" t="n">
        <v>1</v>
      </c>
      <c r="AU43" s="146" t="n">
        <v>7</v>
      </c>
      <c r="AV43" s="146" t="n"/>
      <c r="AW43" s="602">
        <f>SUM(IF(AS43=AS$5,4,0),IF(AS43&amp;AT43=AS$5&amp;AT$5,1,0),
IF(AND(AS43=AS$5,AT$6&gt;=$D$115),1,0),
IF(AND(AT43=AS$5,AT$6&gt;=$D$115),1,0),
IF(AND(AU43=AS$5,AT$6&gt;=$D$115),1,0),
IF(AS43&amp;AV43=AW$5,1,0),
IF(AT43=AS$5,2,0),
IF(AU43=AS$5,1,0),
IF(OR(AS43&amp;AT43&amp;AU43=AS$5&amp;AT$5&amp;AU$5,AS43&amp;AT43&amp;AU43=AS$5&amp;AU$5&amp;AT$5,AS43&amp;AT43&amp;AU43=AT$5&amp;AS$5&amp;AU$5,AS43&amp;AT43&amp;AU43=AT$5&amp;AU$5&amp;AS$5,AS43&amp;AT43&amp;AU43=AU$5&amp;AS$5&amp;AT$5,AS43&amp;AT43&amp;AU43=AU$5&amp;AT$5&amp;AS$5),2,0),IF(AND(AS43=AS$5,AT$6&gt;=$D$129),1,0),IF(AND(AT43=AS$5,AT$6&gt;=$D$129),1,0),IF(AND(AU43=AS$5,AT$6&gt;=$D$129),1,0),IF(AS43&amp;AV43=AV$5,4,0),IF(AND(AS43=AS$5,AT$6&lt;=$D$104),-0.5,0),IF(AND(AT43=AS$5,AT$6&lt;=$D$104),-0.5,0),IF(AND(AU43=AS$5,AT$6&lt;=$D$104),-0.5,0))</f>
        <v/>
      </c>
      <c r="AX43" s="145" t="n">
        <v>1</v>
      </c>
      <c r="AY43" s="146" t="n">
        <v>9</v>
      </c>
      <c r="AZ43" s="146" t="n">
        <v>8</v>
      </c>
      <c r="BA43" s="146" t="n"/>
      <c r="BB43" s="602">
        <f>SUM(IF(AX43=AX$5,4,0),IF(AX43&amp;AY43=AX$5&amp;AY$5,1,0),
IF(AND(AX43=AX$5,AY$6&gt;=$D$115),1,0),
IF(AND(AY43=AX$5,AY$6&gt;=$D$115),1,0),
IF(AND(AZ43=AX$5,AY$6&gt;=$D$115),1,0),
IF(AX43&amp;BA43=BB$5,1,0),
IF(AY43=AX$5,2,0),
IF(AZ43=AX$5,1,0),
IF(OR(AX43&amp;AY43&amp;AZ43=AX$5&amp;AY$5&amp;AZ$5,AX43&amp;AY43&amp;AZ43=AX$5&amp;AZ$5&amp;AY$5,AX43&amp;AY43&amp;AZ43=AY$5&amp;AX$5&amp;AZ$5,AX43&amp;AY43&amp;AZ43=AY$5&amp;AZ$5&amp;AX$5,AX43&amp;AY43&amp;AZ43=AZ$5&amp;AX$5&amp;AY$5,AX43&amp;AY43&amp;AZ43=AZ$5&amp;AY$5&amp;AX$5),2,0),IF(AND(AX43=AX$5,AY$6&gt;=$D$129),1,0),IF(AND(AY43=AX$5,AY$6&gt;=$D$129),1,0),IF(AND(AZ43=AX$5,AY$6&gt;=$D$129),1,0),IF(AX43&amp;BA43=BA$5,4,0),IF(AND(AX43=AX$5,AY$6&lt;=$D$104),-0.5,0),IF(AND(AY43=AX$5,AY$6&lt;=$D$104),-0.5,0),IF(AND(AZ43=AX$5,AY$6&lt;=$D$104),-0.5,0))</f>
        <v/>
      </c>
      <c r="BC43" s="145" t="n">
        <v>4</v>
      </c>
      <c r="BD43" s="146" t="n">
        <v>3</v>
      </c>
      <c r="BE43" s="146" t="n">
        <v>2</v>
      </c>
      <c r="BF43" s="146" t="n"/>
      <c r="BG43" s="602">
        <f>SUM(IF(BC43=BC$5,4,0),IF(BC43&amp;BD43=BC$5&amp;BD$5,1,0),
IF(AND(BC43=BC$5,BD$6&gt;=$D$115),1,0),
IF(AND(BD43=BC$5,BD$6&gt;=$D$115),1,0),
IF(AND(BE43=BC$5,BD$6&gt;=$D$115),1,0),
IF(BC43&amp;BF43=BG$5,1,0),
IF(BD43=BC$5,2,0),
IF(BE43=BC$5,1,0),
IF(OR(BC43&amp;BD43&amp;BE43=BC$5&amp;BD$5&amp;BE$5,BC43&amp;BD43&amp;BE43=BC$5&amp;BE$5&amp;BD$5,BC43&amp;BD43&amp;BE43=BD$5&amp;BC$5&amp;BE$5,BC43&amp;BD43&amp;BE43=BD$5&amp;BE$5&amp;BC$5,BC43&amp;BD43&amp;BE43=BE$5&amp;BC$5&amp;BD$5,BC43&amp;BD43&amp;BE43=BE$5&amp;BD$5&amp;BC$5),2,0),IF(AND(BC43=BC$5,BD$6&gt;=$D$129),1,0),IF(AND(BD43=BC$5,BD$6&gt;=$D$129),1,0),IF(AND(BE43=BC$5,BD$6&gt;=$D$129),1,0),IF(BC43&amp;BF43=BF$5,4,0),IF(AND(BC43=BC$5,BD$6&lt;=$D$104),-0.5,0),IF(AND(BD43=BC$5,BD$6&lt;=$D$104),-0.5,0),IF(AND(BE43=BC$5,BD$6&lt;=$D$104),-0.5,0))</f>
        <v/>
      </c>
      <c r="BH43" s="145" t="n">
        <v>5</v>
      </c>
      <c r="BI43" s="146" t="n">
        <v>1</v>
      </c>
      <c r="BJ43" s="146" t="n">
        <v>6</v>
      </c>
      <c r="BK43" s="146" t="inlineStr">
        <is>
          <t>F</t>
        </is>
      </c>
      <c r="BL43" s="602">
        <f>SUM(IF(BH43=BH$5,4,0),IF(BH43&amp;BI43=BH$5&amp;BI$5,1,0),
IF(AND(BH43=BH$5,BI$6&gt;=$D$115),1,0),
IF(AND(BI43=BH$5,BI$6&gt;=$D$115),1,0),
IF(AND(BJ43=BH$5,BI$6&gt;=$D$115),1,0),
IF(BH43&amp;BK43=BL$5,1,0),
IF(BI43=BH$5,2,0),
IF(BJ43=BH$5,1,0),
IF(OR(BH43&amp;BI43&amp;BJ43=BH$5&amp;BI$5&amp;BJ$5,BH43&amp;BI43&amp;BJ43=BH$5&amp;BJ$5&amp;BI$5,BH43&amp;BI43&amp;BJ43=BI$5&amp;BH$5&amp;BJ$5,BH43&amp;BI43&amp;BJ43=BI$5&amp;BJ$5&amp;BH$5,BH43&amp;BI43&amp;BJ43=BJ$5&amp;BH$5&amp;BI$5,BH43&amp;BI43&amp;BJ43=BJ$5&amp;BI$5&amp;BH$5),2,0),IF(AND(BH43=BH$5,BI$6&gt;=$D$129),1,0),IF(AND(BI43=BH$5,BI$6&gt;=$D$129),1,0),IF(AND(BJ43=BH$5,BI$6&gt;=$D$129),1,0),IF(BH43&amp;BK43=BK$5,4,0),IF(AND(BH43=BH$5,BI$6&lt;=$D$104),-0.5,0),IF(AND(BI43=BH$5,BI$6&lt;=$D$104),-0.5,0),IF(AND(BJ43=BH$5,BI$6&lt;=$D$104),-0.5,0))</f>
        <v/>
      </c>
      <c r="BM43" s="145" t="n">
        <v>2</v>
      </c>
      <c r="BN43" s="146" t="n">
        <v>3</v>
      </c>
      <c r="BO43" s="146" t="n">
        <v>9</v>
      </c>
      <c r="BP43" s="146" t="n"/>
      <c r="BQ43" s="602">
        <f>SUM(IF(BM43=BM$5,4,0),IF(BM43&amp;BN43=BM$5&amp;BN$5,1,0),
IF(AND(BM43=BM$5,BN$6&gt;=$D$115),1,0),
IF(AND(BN43=BM$5,BN$6&gt;=$D$115),1,0),
IF(AND(BO43=BM$5,BN$6&gt;=$D$115),1,0),
IF(BM43&amp;BP43=BQ$5,1,0),
IF(BN43=BM$5,2,0),
IF(BO43=BM$5,1,0),
IF(OR(BM43&amp;BN43&amp;BO43=BM$5&amp;BN$5&amp;BO$5,BM43&amp;BN43&amp;BO43=BM$5&amp;BO$5&amp;BN$5,BM43&amp;BN43&amp;BO43=BN$5&amp;BM$5&amp;BO$5,BM43&amp;BN43&amp;BO43=BN$5&amp;BO$5&amp;BM$5,BM43&amp;BN43&amp;BO43=BO$5&amp;BM$5&amp;BN$5,BM43&amp;BN43&amp;BO43=BO$5&amp;BN$5&amp;BM$5),2,0),IF(AND(BM43=BM$5,BN$6&gt;=$D$129),1,0),IF(AND(BN43=BM$5,BN$6&gt;=$D$129),1,0),IF(AND(BO43=BM$5,BN$6&gt;=$D$129),1,0),IF(BM43&amp;BP43=BP$5,4,0),IF(AND(BM43=BM$5,BN$6&lt;=$D$104),-0.5,0),IF(AND(BN43=BM$5,BN$6&lt;=$D$104),-0.5,0),IF(AND(BO43=BM$5,BN$6&lt;=$D$104),-0.5,0))</f>
        <v/>
      </c>
      <c r="BR43" s="145" t="n"/>
      <c r="BS43" s="146" t="n"/>
      <c r="BT43" s="146" t="n"/>
      <c r="BU43" s="146" t="n"/>
      <c r="BV43" s="602">
        <f>SUM(IF(BR43=BR$5,4,0),IF(BR43&amp;BS43=BR$5&amp;BS$5,1,0),
IF(AND(BR43=BR$5,BS$6&gt;=$D$115),1,0),
IF(AND(BS43=BR$5,BS$6&gt;=$D$115),1,0),
IF(AND(BT43=BR$5,BS$6&gt;=$D$115),1,0),
IF(BR43&amp;BU43=BV$5,1,0),
IF(BS43=BR$5,2,0),
IF(BT43=BR$5,1,0),
IF(OR(BR43&amp;BS43&amp;BT43=BR$5&amp;BS$5&amp;BT$5,BR43&amp;BS43&amp;BT43=BR$5&amp;BT$5&amp;BS$5,BR43&amp;BS43&amp;BT43=BS$5&amp;BR$5&amp;BT$5,BR43&amp;BS43&amp;BT43=BS$5&amp;BT$5&amp;BR$5,BR43&amp;BS43&amp;BT43=BT$5&amp;BR$5&amp;BS$5,BR43&amp;BS43&amp;BT43=BT$5&amp;BS$5&amp;BR$5),2,0),IF(AND(BR43=BR$5,BS$6&gt;=$D$129),1,0),IF(AND(BS43=BR$5,BS$6&gt;=$D$129),1,0),IF(AND(BT43=BR$5,BS$6&gt;=$D$129),1,0),IF(BR43&amp;BU43=BU$5,4,0),IF(AND(BR43=BR$5,BS$6&lt;=$D$104),-0.5,0),IF(AND(BS43=BR$5,BS$6&lt;=$D$104),-0.5,0),IF(AND(BT43=BR$5,BS$6&lt;=$D$104),-0.5,0))</f>
        <v/>
      </c>
      <c r="BW43" s="145" t="n"/>
      <c r="BX43" s="146" t="n"/>
      <c r="BY43" s="146" t="n"/>
      <c r="BZ43" s="146" t="n"/>
      <c r="CA43" s="602">
        <f>SUM(IF(BW43=BW$5,4,0),IF(BW43&amp;BX43=BW$5&amp;BX$5,1,0),
IF(AND(BW43=BW$5,BX$6&gt;=$D$115),1,0),
IF(AND(BX43=BW$5,BX$6&gt;=$D$115),1,0),
IF(AND(BY43=BW$5,BX$6&gt;=$D$115),1,0),
IF(BW43&amp;BZ43=CA$5,1,0),
IF(BX43=BW$5,2,0),
IF(BY43=BW$5,1,0),
IF(OR(BW43&amp;BX43&amp;BY43=BW$5&amp;BX$5&amp;BY$5,BW43&amp;BX43&amp;BY43=BW$5&amp;BY$5&amp;BX$5,BW43&amp;BX43&amp;BY43=BX$5&amp;BW$5&amp;BY$5,BW43&amp;BX43&amp;BY43=BX$5&amp;BY$5&amp;BW$5,BW43&amp;BX43&amp;BY43=BY$5&amp;BW$5&amp;BX$5,BW43&amp;BX43&amp;BY43=BY$5&amp;BX$5&amp;BW$5),2,0),IF(AND(BW43=BW$5,BX$6&gt;=$D$129),1,0),IF(AND(BX43=BW$5,BX$6&gt;=$D$129),1,0),IF(AND(BY43=BW$5,BX$6&gt;=$D$129),1,0),IF(BW43&amp;BZ43=BZ$5,4,0),IF(AND(BW43=BW$5,BX$6&lt;=$D$104),-0.5,0),IF(AND(BX43=BW$5,BX$6&lt;=$D$104),-0.5,0),IF(AND(BY43=BW$5,BX$6&lt;=$D$104),-0.5,0))</f>
        <v/>
      </c>
      <c r="CB43" s="145" t="n"/>
      <c r="CC43" s="146" t="n"/>
      <c r="CD43" s="146" t="n"/>
      <c r="CE43" s="146" t="n"/>
      <c r="CF43" s="602">
        <f>SUM(IF(CB43=CB$5,4,0),IF(CB43&amp;CC43=CB$5&amp;CC$5,1,0),
IF(AND(CB43=CB$5,CC$6&gt;=$D$115),1,0),
IF(AND(CC43=CB$5,CC$6&gt;=$D$115),1,0),
IF(AND(CD43=CB$5,CC$6&gt;=$D$115),1,0),
IF(CB43&amp;CE43=CF$5,1,0),
IF(CC43=CB$5,2,0),
IF(CD43=CB$5,1,0),
IF(OR(CB43&amp;CC43&amp;CD43=CB$5&amp;CC$5&amp;CD$5,CB43&amp;CC43&amp;CD43=CB$5&amp;CD$5&amp;CC$5,CB43&amp;CC43&amp;CD43=CC$5&amp;CB$5&amp;CD$5,CB43&amp;CC43&amp;CD43=CC$5&amp;CD$5&amp;CB$5,CB43&amp;CC43&amp;CD43=CD$5&amp;CB$5&amp;CC$5,CB43&amp;CC43&amp;CD43=CD$5&amp;CC$5&amp;CB$5),2,0),IF(AND(CB43=CB$5,CC$6&gt;=$D$129),1,0),IF(AND(CC43=CB$5,CC$6&gt;=$D$129),1,0),IF(AND(CD43=CB$5,CC$6&gt;=$D$129),1,0),IF(CB43&amp;CE43=CE$5,4,0),IF(AND(CB43=CB$5,CC$6&lt;=$D$104),-0.5,0),IF(AND(CC43=CB$5,CC$6&lt;=$D$104),-0.5,0),IF(AND(CD43=CB$5,CC$6&lt;=$D$104),-0.5,0))</f>
        <v/>
      </c>
      <c r="CG43" s="164">
        <f>IF(BASE01[[#This Row],[1]]="",0,$B$4)</f>
        <v/>
      </c>
      <c r="CH43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3" s="166">
        <f>IF(BASE01[[#This Row],[Columna14]]=0,0,(CH43/CG43))</f>
        <v/>
      </c>
      <c r="CJ43" s="165">
        <f>IF(BASE01[[#This Row],[1]]="",0,$B$4)</f>
        <v/>
      </c>
      <c r="CK43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3" s="166">
        <f>IF(BASE01[[#This Row],[Columna14]]=0,0,(CK43/CJ43))</f>
        <v/>
      </c>
      <c r="CM43" s="164">
        <f>IF(BASE01[[#This Row],[1]]="",0,$B$4)</f>
        <v/>
      </c>
      <c r="CN43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3" s="166">
        <f>IF(BASE01[[#This Row],[Columna14]]=0,0,(CN43/CM43))</f>
        <v/>
      </c>
      <c r="CP43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3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Row],[Columna25]],$AX$5,BA43,"SF")+COUNTIFS(BASE01[[#This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3" s="166">
        <f>IF(BASE01[[#This Row],[Columna14]]=0,0,(CQ43/CP43))</f>
        <v/>
      </c>
      <c r="CS43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3" s="95" t="n"/>
      <c r="CU43" s="604">
        <f>SUM(CS43,CT43)</f>
        <v/>
      </c>
      <c r="CV43" s="96">
        <f>IF(BASE01[[#This Row],[TIPO]]="PREMIO",$O$3,"0,00")</f>
        <v/>
      </c>
      <c r="CW43" s="576" t="n"/>
      <c r="CY43" s="606">
        <f>IF(CZ43="","",$CZ$25)</f>
        <v/>
      </c>
      <c r="CZ43" s="392" t="n"/>
      <c r="DA43" s="392">
        <f t="array" ref="DA43">IF(CZ43="", "", IF((INDEX(E$8:CE$57, MATCH(CZ43, C$8:C$57, 0), ($CZ$25-1)*5 + 1) &amp; "") = (INDEX(E$5:CE$5, 1, ($CZ$25-1)*5 + 1) &amp; ""), 1, IF((INDEX(E$8:CE$57, MATCH(CZ43, C$8:C$57, 0), ($CZ$25-1)*5 + 2) &amp; "") = (INDEX(E$5:CE$5, 1, ($CZ$25-1)*5 + 1) &amp; ""), 2, IF((INDEX(E$8:CE$57, MATCH(CZ43, C$8:C$57, 0), ($CZ$25-1)*5 + 3) &amp; "") = (INDEX(E$5:CE$5, 1, ($CZ$25-1)*5 + 1) &amp; ""), 3, ""))))</f>
        <v/>
      </c>
      <c r="DB43" s="605">
        <f>BASE01[[#This Row],[COD]]</f>
        <v/>
      </c>
      <c r="DC43" s="395">
        <f t="array" ref="DC43">IFERROR(IF(AND(INDEX($E$8:$CE$57, MATCH($C43, $C$8:$C$57, 0), (COLUMNS($DC43:DC43)-1)*5 + 1) = INDEX($E$5:$CE$5, 1, (COLUMNS($DC43:DC43)-1)*5 + 1), INDEX($E$8:$CE$57, MATCH($C43, $C$8:$C$57, 0), (COLUMNS($DC43:DC43)-1)*5 + 4) = "F"), INDEX($CZ$8:$CZ$23, COLUMNS($DC43:DC43)), "0"), "")</f>
        <v/>
      </c>
      <c r="DD43" s="395">
        <f t="array" ref="DD43">IFERROR(IF(AND(INDEX($E$8:$CE$57, MATCH($C43, $C$8:$C$57, 0), (COLUMNS($DC43:DD43)-1)*5 + 1) = INDEX($E$5:$CE$5, 1, (COLUMNS($DC43:DD43)-1)*5 + 1), INDEX($E$8:$CE$57, MATCH($C43, $C$8:$C$57, 0), (COLUMNS($DC43:DD43)-1)*5 + 4) = "F"), INDEX($CZ$8:$CZ$23, COLUMNS($DC43:DD43)), "0"), "")</f>
        <v/>
      </c>
      <c r="DE43" s="395">
        <f t="array" ref="DE43">IFERROR(IF(AND(INDEX($E$8:$CE$57, MATCH($C43, $C$8:$C$57, 0), (COLUMNS($DC43:DE43)-1)*5 + 1) = INDEX($E$5:$CE$5, 1, (COLUMNS($DC43:DE43)-1)*5 + 1), INDEX($E$8:$CE$57, MATCH($C43, $C$8:$C$57, 0), (COLUMNS($DC43:DE43)-1)*5 + 4) = "F"), INDEX($CZ$8:$CZ$23, COLUMNS($DC43:DE43)), "0"), "")</f>
        <v/>
      </c>
      <c r="DF43" s="395">
        <f t="array" ref="DF43">IFERROR(IF(AND(INDEX($E$8:$CE$57, MATCH($C43, $C$8:$C$57, 0), (COLUMNS($DC43:DF43)-1)*5 + 1) = INDEX($E$5:$CE$5, 1, (COLUMNS($DC43:DF43)-1)*5 + 1), INDEX($E$8:$CE$57, MATCH($C43, $C$8:$C$57, 0), (COLUMNS($DC43:DF43)-1)*5 + 4) = "F"), INDEX($CZ$8:$CZ$23, COLUMNS($DC43:DF43)), "0"), "")</f>
        <v/>
      </c>
      <c r="DG43" s="395">
        <f t="array" ref="DG43">IFERROR(IF(AND(INDEX($E$8:$CE$57, MATCH($C43, $C$8:$C$57, 0), (COLUMNS($DC43:DG43)-1)*5 + 1) = INDEX($E$5:$CE$5, 1, (COLUMNS($DC43:DG43)-1)*5 + 1), INDEX($E$8:$CE$57, MATCH($C43, $C$8:$C$57, 0), (COLUMNS($DC43:DG43)-1)*5 + 4) = "F"), INDEX($CZ$8:$CZ$23, COLUMNS($DC43:DG43)), "0"), "")</f>
        <v/>
      </c>
      <c r="DH43" s="395">
        <f t="array" ref="DH43">IFERROR(IF(AND(INDEX($E$8:$CE$57, MATCH($C43, $C$8:$C$57, 0), (COLUMNS($DC43:DH43)-1)*5 + 1) = INDEX($E$5:$CE$5, 1, (COLUMNS($DC43:DH43)-1)*5 + 1), INDEX($E$8:$CE$57, MATCH($C43, $C$8:$C$57, 0), (COLUMNS($DC43:DH43)-1)*5 + 4) = "F"), INDEX($CZ$8:$CZ$23, COLUMNS($DC43:DH43)), "0"), "")</f>
        <v/>
      </c>
      <c r="DI43" s="395">
        <f t="array" ref="DI43">IFERROR(IF(AND(INDEX($E$8:$CE$57, MATCH($C43, $C$8:$C$57, 0), (COLUMNS($DC43:DI43)-1)*5 + 1) = INDEX($E$5:$CE$5, 1, (COLUMNS($DC43:DI43)-1)*5 + 1), INDEX($E$8:$CE$57, MATCH($C43, $C$8:$C$57, 0), (COLUMNS($DC43:DI43)-1)*5 + 4) = "F"), INDEX($CZ$8:$CZ$23, COLUMNS($DC43:DI43)), "0"), "")</f>
        <v/>
      </c>
      <c r="DJ43" s="395">
        <f t="array" ref="DJ43">IFERROR(IF(AND(INDEX($E$8:$CE$57, MATCH($C43, $C$8:$C$57, 0), (COLUMNS($DC43:DJ43)-1)*5 + 1) = INDEX($E$5:$CE$5, 1, (COLUMNS($DC43:DJ43)-1)*5 + 1), INDEX($E$8:$CE$57, MATCH($C43, $C$8:$C$57, 0), (COLUMNS($DC43:DJ43)-1)*5 + 4) = "F"), INDEX($CZ$8:$CZ$23, COLUMNS($DC43:DJ43)), "0"), "")</f>
        <v/>
      </c>
      <c r="DK43" s="395">
        <f t="array" ref="DK43">IFERROR(IF(AND(INDEX($E$8:$CE$57, MATCH($C43, $C$8:$C$57, 0), (COLUMNS($DC43:DK43)-1)*5 + 1) = INDEX($E$5:$CE$5, 1, (COLUMNS($DC43:DK43)-1)*5 + 1), INDEX($E$8:$CE$57, MATCH($C43, $C$8:$C$57, 0), (COLUMNS($DC43:DK43)-1)*5 + 4) = "F"), INDEX($CZ$8:$CZ$23, COLUMNS($DC43:DK43)), "0"), "")</f>
        <v/>
      </c>
      <c r="DL43" s="395">
        <f t="array" ref="DL43">IFERROR(IF(AND(INDEX($E$8:$CE$57, MATCH($C43, $C$8:$C$57, 0), (COLUMNS($DC43:DL43)-1)*5 + 1) = INDEX($E$5:$CE$5, 1, (COLUMNS($DC43:DL43)-1)*5 + 1), INDEX($E$8:$CE$57, MATCH($C43, $C$8:$C$57, 0), (COLUMNS($DC43:DL43)-1)*5 + 4) = "F"), INDEX($CZ$8:$CZ$23, COLUMNS($DC43:DL43)), "0"), "")</f>
        <v/>
      </c>
      <c r="DM43" s="395">
        <f t="array" ref="DM43">IFERROR(IF(AND(INDEX($E$8:$CE$57, MATCH($C43, $C$8:$C$57, 0), (COLUMNS($DC43:DM43)-1)*5 + 1) = INDEX($E$5:$CE$5, 1, (COLUMNS($DC43:DM43)-1)*5 + 1), INDEX($E$8:$CE$57, MATCH($C43, $C$8:$C$57, 0), (COLUMNS($DC43:DM43)-1)*5 + 4) = "F"), INDEX($CZ$8:$CZ$23, COLUMNS($DC43:DM43)), "0"), "")</f>
        <v/>
      </c>
      <c r="DN43" s="395">
        <f t="array" ref="DN43">IFERROR(IF(AND(INDEX($E$8:$CE$57, MATCH($C43, $C$8:$C$57, 0), (COLUMNS($DC43:DN43)-1)*5 + 1) = INDEX($E$5:$CE$5, 1, (COLUMNS($DC43:DN43)-1)*5 + 1), INDEX($E$8:$CE$57, MATCH($C43, $C$8:$C$57, 0), (COLUMNS($DC43:DN43)-1)*5 + 4) = "F"), INDEX($CZ$8:$CZ$23, COLUMNS($DC43:DN43)), "0"), "")</f>
        <v/>
      </c>
      <c r="DO43" s="395">
        <f t="array" ref="DO43">IFERROR(IF(AND(INDEX($E$8:$CE$57, MATCH($C43, $C$8:$C$57, 0), (COLUMNS($DC43:DO43)-1)*5 + 1) = INDEX($E$5:$CE$5, 1, (COLUMNS($DC43:DO43)-1)*5 + 1), INDEX($E$8:$CE$57, MATCH($C43, $C$8:$C$57, 0), (COLUMNS($DC43:DO43)-1)*5 + 4) = "F"), INDEX($CZ$8:$CZ$23, COLUMNS($DC43:DO43)), "0"), "")</f>
        <v/>
      </c>
      <c r="DP43" s="395">
        <f t="array" ref="DP43">IFERROR(IF(AND(INDEX($E$8:$CE$57, MATCH($C43, $C$8:$C$57, 0), (COLUMNS($DC43:DP43)-1)*5 + 1) = INDEX($E$5:$CE$5, 1, (COLUMNS($DC43:DP43)-1)*5 + 1), INDEX($E$8:$CE$57, MATCH($C43, $C$8:$C$57, 0), (COLUMNS($DC43:DP43)-1)*5 + 4) = "F"), INDEX($CZ$8:$CZ$23, COLUMNS($DC43:DP43)), "0"), "")</f>
        <v/>
      </c>
      <c r="DQ43" s="395">
        <f t="array" ref="DQ43">IFERROR(IF(AND(INDEX($E$8:$CE$57, MATCH($C43, $C$8:$C$57, 0), (COLUMNS($DC43:DQ43)-1)*5 + 1) = INDEX($E$5:$CE$5, 1, (COLUMNS($DC43:DQ43)-1)*5 + 1), INDEX($E$8:$CE$57, MATCH($C43, $C$8:$C$57, 0), (COLUMNS($DC43:DQ43)-1)*5 + 4) = "F"), INDEX($CZ$8:$CZ$23, COLUMNS($DC43:DQ43)), "0"), "")</f>
        <v/>
      </c>
      <c r="DR43" s="395">
        <f t="array" ref="DR43">IFERROR(IF(AND(INDEX($E$8:$CE$57, MATCH($C43, $C$8:$C$57, 0), (COLUMNS($DC43:DR43)-1)*5 + 1) = INDEX($E$5:$CE$5, 1, (COLUMNS($DC43:DR43)-1)*5 + 1), INDEX($E$8:$CE$57, MATCH($C43, $C$8:$C$57, 0), (COLUMNS($DC43:DR43)-1)*5 + 4) = "F"), INDEX($CZ$8:$CZ$23, COLUMNS($DC43:DR43)), "0"), "")</f>
        <v/>
      </c>
      <c r="DT43" s="605">
        <f>BASE01[[#This Row],[COD]]</f>
        <v/>
      </c>
      <c r="DU43" s="395">
        <f t="array" ref="DU43">IFERROR(IF(AND(INDEX($E$8:$CE$57, MATCH($C43, $C$8:$C$57, 0), (COLUMNS($DU43:DU43)-1)*5 + 1) = INDEX($E$5:$CE$5, 1, (COLUMNS($DU43:DU43)-1)*5 + 1), INDEX($E$8:$CE$57, MATCH($C43, $C$8:$C$57, 0), (COLUMNS($DU43:DU43)-1)*5 + 4) = "SF"), INDEX($CZ$8:$CZ$23, COLUMNS($DU43:DU43)), "0"), "")</f>
        <v/>
      </c>
      <c r="DV43" s="395">
        <f t="array" ref="DV43">IFERROR(IF(AND(INDEX($E$8:$CE$57, MATCH($C43, $C$8:$C$57, 0), (COLUMNS($DU43:DV43)-1)*5 + 1) = INDEX($E$5:$CE$5, 1, (COLUMNS($DU43:DV43)-1)*5 + 1), INDEX($E$8:$CE$57, MATCH($C43, $C$8:$C$57, 0), (COLUMNS($DU43:DV43)-1)*5 + 4) = "SF"), INDEX($CZ$8:$CZ$23, COLUMNS($DU43:DV43)), "0"), "")</f>
        <v/>
      </c>
      <c r="DW43" s="395">
        <f t="array" ref="DW43">IFERROR(IF(AND(INDEX($E$8:$CE$57, MATCH($C43, $C$8:$C$57, 0), (COLUMNS($DU43:DW43)-1)*5 + 1) = INDEX($E$5:$CE$5, 1, (COLUMNS($DU43:DW43)-1)*5 + 1), INDEX($E$8:$CE$57, MATCH($C43, $C$8:$C$57, 0), (COLUMNS($DU43:DW43)-1)*5 + 4) = "SF"), INDEX($CZ$8:$CZ$23, COLUMNS($DU43:DW43)), "0"), "")</f>
        <v/>
      </c>
      <c r="DX43" s="395">
        <f t="array" ref="DX43">IFERROR(IF(AND(INDEX($E$8:$CE$57, MATCH($C43, $C$8:$C$57, 0), (COLUMNS($DU43:DX43)-1)*5 + 1) = INDEX($E$5:$CE$5, 1, (COLUMNS($DU43:DX43)-1)*5 + 1), INDEX($E$8:$CE$57, MATCH($C43, $C$8:$C$57, 0), (COLUMNS($DU43:DX43)-1)*5 + 4) = "SF"), INDEX($CZ$8:$CZ$23, COLUMNS($DU43:DX43)), "0"), "")</f>
        <v/>
      </c>
      <c r="DY43" s="395">
        <f t="array" ref="DY43">IFERROR(IF(AND(INDEX($E$8:$CE$57, MATCH($C43, $C$8:$C$57, 0), (COLUMNS($DU43:DY43)-1)*5 + 1) = INDEX($E$5:$CE$5, 1, (COLUMNS($DU43:DY43)-1)*5 + 1), INDEX($E$8:$CE$57, MATCH($C43, $C$8:$C$57, 0), (COLUMNS($DU43:DY43)-1)*5 + 4) = "SF"), INDEX($CZ$8:$CZ$23, COLUMNS($DU43:DY43)), "0"), "")</f>
        <v/>
      </c>
      <c r="DZ43" s="395">
        <f t="array" ref="DZ43">IFERROR(IF(AND(INDEX($E$8:$CE$57, MATCH($C43, $C$8:$C$57, 0), (COLUMNS($DU43:DZ43)-1)*5 + 1) = INDEX($E$5:$CE$5, 1, (COLUMNS($DU43:DZ43)-1)*5 + 1), INDEX($E$8:$CE$57, MATCH($C43, $C$8:$C$57, 0), (COLUMNS($DU43:DZ43)-1)*5 + 4) = "SF"), INDEX($CZ$8:$CZ$23, COLUMNS($DU43:DZ43)), "0"), "")</f>
        <v/>
      </c>
      <c r="EA43" s="395">
        <f t="array" ref="EA43">IFERROR(IF(AND(INDEX($E$8:$CE$57, MATCH($C43, $C$8:$C$57, 0), (COLUMNS($DU43:EA43)-1)*5 + 1) = INDEX($E$5:$CE$5, 1, (COLUMNS($DU43:EA43)-1)*5 + 1), INDEX($E$8:$CE$57, MATCH($C43, $C$8:$C$57, 0), (COLUMNS($DU43:EA43)-1)*5 + 4) = "SF"), INDEX($CZ$8:$CZ$23, COLUMNS($DU43:EA43)), "0"), "")</f>
        <v/>
      </c>
      <c r="EB43" s="395">
        <f t="array" ref="EB43">IFERROR(IF(AND(INDEX($E$8:$CE$57, MATCH($C43, $C$8:$C$57, 0), (COLUMNS($DU43:EB43)-1)*5 + 1) = INDEX($E$5:$CE$5, 1, (COLUMNS($DU43:EB43)-1)*5 + 1), INDEX($E$8:$CE$57, MATCH($C43, $C$8:$C$57, 0), (COLUMNS($DU43:EB43)-1)*5 + 4) = "SF"), INDEX($CZ$8:$CZ$23, COLUMNS($DU43:EB43)), "0"), "")</f>
        <v/>
      </c>
      <c r="EC43" s="395">
        <f t="array" ref="EC43">IFERROR(IF(AND(INDEX($E$8:$CE$57, MATCH($C43, $C$8:$C$57, 0), (COLUMNS($DU43:EC43)-1)*5 + 1) = INDEX($E$5:$CE$5, 1, (COLUMNS($DU43:EC43)-1)*5 + 1), INDEX($E$8:$CE$57, MATCH($C43, $C$8:$C$57, 0), (COLUMNS($DU43:EC43)-1)*5 + 4) = "SF"), INDEX($CZ$8:$CZ$23, COLUMNS($DU43:EC43)), "0"), "")</f>
        <v/>
      </c>
      <c r="ED43" s="395">
        <f t="array" ref="ED43">IFERROR(IF(AND(INDEX($E$8:$CE$57, MATCH($C43, $C$8:$C$57, 0), (COLUMNS($DU43:ED43)-1)*5 + 1) = INDEX($E$5:$CE$5, 1, (COLUMNS($DU43:ED43)-1)*5 + 1), INDEX($E$8:$CE$57, MATCH($C43, $C$8:$C$57, 0), (COLUMNS($DU43:ED43)-1)*5 + 4) = "SF"), INDEX($CZ$8:$CZ$23, COLUMNS($DU43:ED43)), "0"), "")</f>
        <v/>
      </c>
      <c r="EE43" s="395">
        <f t="array" ref="EE43">IFERROR(IF(AND(INDEX($E$8:$CE$57, MATCH($C43, $C$8:$C$57, 0), (COLUMNS($DU43:EE43)-1)*5 + 1) = INDEX($E$5:$CE$5, 1, (COLUMNS($DU43:EE43)-1)*5 + 1), INDEX($E$8:$CE$57, MATCH($C43, $C$8:$C$57, 0), (COLUMNS($DU43:EE43)-1)*5 + 4) = "SF"), INDEX($CZ$8:$CZ$23, COLUMNS($DU43:EE43)), "0"), "")</f>
        <v/>
      </c>
      <c r="EF43" s="395">
        <f t="array" ref="EF43">IFERROR(IF(AND(INDEX($E$8:$CE$57, MATCH($C43, $C$8:$C$57, 0), (COLUMNS($DU43:EF43)-1)*5 + 1) = INDEX($E$5:$CE$5, 1, (COLUMNS($DU43:EF43)-1)*5 + 1), INDEX($E$8:$CE$57, MATCH($C43, $C$8:$C$57, 0), (COLUMNS($DU43:EF43)-1)*5 + 4) = "SF"), INDEX($CZ$8:$CZ$23, COLUMNS($DU43:EF43)), "0"), "")</f>
        <v/>
      </c>
      <c r="EG43" s="395">
        <f t="array" ref="EG43">IFERROR(IF(AND(INDEX($E$8:$CE$57, MATCH($C43, $C$8:$C$57, 0), (COLUMNS($DU43:EG43)-1)*5 + 1) = INDEX($E$5:$CE$5, 1, (COLUMNS($DU43:EG43)-1)*5 + 1), INDEX($E$8:$CE$57, MATCH($C43, $C$8:$C$57, 0), (COLUMNS($DU43:EG43)-1)*5 + 4) = "SF"), INDEX($CZ$8:$CZ$23, COLUMNS($DU43:EG43)), "0"), "")</f>
        <v/>
      </c>
      <c r="EH43" s="395">
        <f t="array" ref="EH43">IFERROR(IF(AND(INDEX($E$8:$CE$57, MATCH($C43, $C$8:$C$57, 0), (COLUMNS($DU43:EH43)-1)*5 + 1) = INDEX($E$5:$CE$5, 1, (COLUMNS($DU43:EH43)-1)*5 + 1), INDEX($E$8:$CE$57, MATCH($C43, $C$8:$C$57, 0), (COLUMNS($DU43:EH43)-1)*5 + 4) = "SF"), INDEX($CZ$8:$CZ$23, COLUMNS($DU43:EH43)), "0"), "")</f>
        <v/>
      </c>
      <c r="EI43" s="395">
        <f t="array" ref="EI43">IFERROR(IF(AND(INDEX($E$8:$CE$57, MATCH($C43, $C$8:$C$57, 0), (COLUMNS($DU43:EI43)-1)*5 + 1) = INDEX($E$5:$CE$5, 1, (COLUMNS($DU43:EI43)-1)*5 + 1), INDEX($E$8:$CE$57, MATCH($C43, $C$8:$C$57, 0), (COLUMNS($DU43:EI43)-1)*5 + 4) = "SF"), INDEX($CZ$8:$CZ$23, COLUMNS($DU43:EI43)), "0"), "")</f>
        <v/>
      </c>
      <c r="EJ43" s="395">
        <f t="array" ref="EJ43">IFERROR(IF(AND(INDEX($E$8:$CE$57, MATCH($C43, $C$8:$C$57, 0), (COLUMNS($DU43:EJ43)-1)*5 + 1) = INDEX($E$5:$CE$5, 1, (COLUMNS($DU43:EJ43)-1)*5 + 1), INDEX($E$8:$CE$57, MATCH($C43, $C$8:$C$57, 0), (COLUMNS($DU43:EJ43)-1)*5 + 4) = "SF"), INDEX($CZ$8:$CZ$23, COLUMNS($DU43:EJ43)), "0"), "")</f>
        <v/>
      </c>
    </row>
    <row r="44" ht="20.1" customHeight="1" s="568">
      <c r="A44" s="576" t="n"/>
      <c r="B44" s="92">
        <f>IF(BASE01[[#This Row],[COD]]&lt;&gt;"",B43+1,"")</f>
        <v/>
      </c>
      <c r="C44" s="601" t="inlineStr">
        <is>
          <t>COD 37</t>
        </is>
      </c>
      <c r="D44" s="93">
        <f t="array" ref="D44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4" s="145" t="n">
        <v>1</v>
      </c>
      <c r="F44" s="146" t="n">
        <v>6</v>
      </c>
      <c r="G44" s="146" t="n">
        <v>8</v>
      </c>
      <c r="H44" s="146" t="n"/>
      <c r="I44" s="602">
        <f>SUM(IF(E44=E$5,4,0),IF(E44&amp;F44=E$5&amp;F$5,1,0),
IF(AND(E44=E$5,F$6&gt;=$D$115),1,0),
IF(AND(F44=E$5,F$6&gt;=$D$115),1,0),
IF(AND(G44=E$5,F$6&gt;=$D$115),1,0),
IF(E44&amp;H44=I$5,1,0),
IF(F44=E$5,2,0),
IF(G44=E$5,1,0),
IF(OR(E44&amp;F44&amp;G44=E$5&amp;F$5&amp;G$5,E44&amp;F44&amp;G44=E$5&amp;G$5&amp;F$5,E44&amp;F44&amp;G44=F$5&amp;E$5&amp;G$5,E44&amp;F44&amp;G44=F$5&amp;G$5&amp;E$5,E44&amp;F44&amp;G44=G$5&amp;E$5&amp;F$5,E44&amp;F44&amp;G44=G$5&amp;F$5&amp;E$5),2,0),IF(AND(E44=E$5,F$6&gt;=$D$129),1,0),IF(AND(F44=E$5,F$6&gt;=$D$129),1,0),IF(AND(G44=E$5,F$6&gt;=$D$129),1,0),IF(E44&amp;H44=H$5,4,0),IF(AND(E44=E$5,F$6&lt;=$D$104),-0.5,0),IF(AND(F44=E$5,F$6&lt;=$D$104),-0.5,0),IF(AND(G44=E$5,F$6&lt;=$D$104),-0.5,0))</f>
        <v/>
      </c>
      <c r="J44" s="145" t="n">
        <v>5</v>
      </c>
      <c r="K44" s="146" t="n">
        <v>8</v>
      </c>
      <c r="L44" s="146" t="n">
        <v>3</v>
      </c>
      <c r="M44" s="146" t="n"/>
      <c r="N44" s="602">
        <f>SUM(IF(J44=J$5,4,0),IF(J44&amp;K44=J$5&amp;K$5,1,0),
IF(AND(J44=J$5,K$6&gt;=$D$115),1,0),
IF(AND(K44=J$5,K$6&gt;=$D$115),1,0),
IF(AND(L44=J$5,K$6&gt;=$D$115),1,0),
IF(J44&amp;M44=N$5,1,0),
IF(K44=J$5,2,0),
IF(L44=J$5,1,0),
IF(OR(J44&amp;K44&amp;L44=J$5&amp;K$5&amp;L$5,J44&amp;K44&amp;L44=J$5&amp;L$5&amp;K$5,J44&amp;K44&amp;L44=K$5&amp;J$5&amp;L$5,J44&amp;K44&amp;L44=K$5&amp;L$5&amp;J$5,J44&amp;K44&amp;L44=L$5&amp;J$5&amp;K$5,J44&amp;K44&amp;L44=L$5&amp;K$5&amp;J$5),2,0),IF(AND(J44=J$5,K$6&gt;=$D$129),1,0),IF(AND(K44=J$5,K$6&gt;=$D$129),1,0),IF(AND(L44=J$5,K$6&gt;=$D$129),1,0),IF(J44&amp;M44=M$5,4,0),IF(AND(J44=J$5,K$6&lt;=$D$104),-0.5,0),IF(AND(K44=J$5,K$6&lt;=$D$104),-0.5,0),IF(AND(L44=J$5,K$6&lt;=$D$104),-0.5,0))</f>
        <v/>
      </c>
      <c r="O44" s="145" t="n">
        <v>2</v>
      </c>
      <c r="P44" s="146" t="n">
        <v>8</v>
      </c>
      <c r="Q44" s="146" t="n">
        <v>6</v>
      </c>
      <c r="R44" s="146" t="n"/>
      <c r="S44" s="602">
        <f>SUM(IF(O44=O$5,4,0),IF(O44&amp;P44=O$5&amp;P$5,1,0),
IF(AND(O44=O$5,P$6&gt;=$D$115),1,0),
IF(AND(P44=O$5,P$6&gt;=$D$115),1,0),
IF(AND(Q44=O$5,P$6&gt;=$D$115),1,0),
IF(O44&amp;R44=S$5,1,0),
IF(P44=O$5,2,0),
IF(Q44=O$5,1,0),
IF(OR(O44&amp;P44&amp;Q44=O$5&amp;P$5&amp;Q$5,O44&amp;P44&amp;Q44=O$5&amp;Q$5&amp;P$5,O44&amp;P44&amp;Q44=P$5&amp;O$5&amp;Q$5,O44&amp;P44&amp;Q44=P$5&amp;Q$5&amp;O$5,O44&amp;P44&amp;Q44=Q$5&amp;O$5&amp;P$5,O44&amp;P44&amp;Q44=Q$5&amp;P$5&amp;O$5),2,0),IF(AND(O44=O$5,P$6&gt;=$D$129),1,0),IF(AND(P44=O$5,P$6&gt;=$D$129),1,0),IF(AND(Q44=O$5,P$6&gt;=$D$129),1,0),IF(O44&amp;R44=R$5,4,0),IF(AND(O44=O$5,P$6&lt;=$D$104),-0.5,0),IF(AND(P44=O$5,P$6&lt;=$D$104),-0.5,0),IF(AND(Q44=O$5,P$6&lt;=$D$104),-0.5,0))</f>
        <v/>
      </c>
      <c r="T44" s="145" t="n">
        <v>6</v>
      </c>
      <c r="U44" s="146" t="n">
        <v>1</v>
      </c>
      <c r="V44" s="146" t="n">
        <v>8</v>
      </c>
      <c r="W44" s="146" t="inlineStr">
        <is>
          <t>F</t>
        </is>
      </c>
      <c r="X44" s="602">
        <f>SUM(IF(T44=T$5,4,0),IF(T44&amp;U44=T$5&amp;U$5,1,0),
IF(AND(T44=T$5,U$6&gt;=$D$115),1,0),
IF(AND(U44=T$5,U$6&gt;=$D$115),1,0),
IF(AND(V44=T$5,U$6&gt;=$D$115),1,0),
IF(T44&amp;W44=X$5,1,0),
IF(U44=T$5,2,0),
IF(V44=T$5,1,0),
IF(OR(T44&amp;U44&amp;V44=T$5&amp;U$5&amp;V$5,T44&amp;U44&amp;V44=T$5&amp;V$5&amp;U$5,T44&amp;U44&amp;V44=U$5&amp;T$5&amp;V$5,T44&amp;U44&amp;V44=U$5&amp;V$5&amp;T$5,T44&amp;U44&amp;V44=V$5&amp;T$5&amp;U$5,T44&amp;U44&amp;V44=V$5&amp;U$5&amp;T$5),2,0),IF(AND(T44=T$5,U$6&gt;=$D$129),1,0),IF(AND(U44=T$5,U$6&gt;=$D$129),1,0),IF(AND(V44=T$5,U$6&gt;=$D$129),1,0),IF(T44&amp;W44=W$5,4,0),IF(AND(T44=T$5,U$6&lt;=$D$104),-0.5,0),IF(AND(U44=T$5,U$6&lt;=$D$104),-0.5,0),IF(AND(V44=T$5,U$6&lt;=$D$104),-0.5,0))</f>
        <v/>
      </c>
      <c r="Y44" s="145" t="n">
        <v>5</v>
      </c>
      <c r="Z44" s="146" t="n"/>
      <c r="AA44" s="146" t="n"/>
      <c r="AB44" s="146" t="inlineStr">
        <is>
          <t>SF</t>
        </is>
      </c>
      <c r="AC44" s="602">
        <f>SUM(IF(Y44=Y$5,4,0),IF(Y44&amp;Z44=Y$5&amp;Z$5,1,0),
IF(AND(Y44=Y$5,Z$6&gt;=$D$115),1,0),
IF(AND(Z44=Y$5,Z$6&gt;=$D$115),1,0),
IF(AND(AA44=Y$5,Z$6&gt;=$D$115),1,0),
IF(Y44&amp;AB44=AC$5,1,0),
IF(Z44=Y$5,2,0),
IF(AA44=Y$5,1,0),
IF(OR(Y44&amp;Z44&amp;AA44=Y$5&amp;Z$5&amp;AA$5,Y44&amp;Z44&amp;AA44=Y$5&amp;AA$5&amp;Z$5,Y44&amp;Z44&amp;AA44=Z$5&amp;Y$5&amp;AA$5,Y44&amp;Z44&amp;AA44=Z$5&amp;AA$5&amp;Y$5,Y44&amp;Z44&amp;AA44=AA$5&amp;Y$5&amp;Z$5,Y44&amp;Z44&amp;AA44=AA$5&amp;Z$5&amp;Y$5),2,0),IF(AND(Y44=Y$5,Z$6&gt;=$D$129),1,0),IF(AND(Z44=Y$5,Z$6&gt;=$D$129),1,0),IF(AND(AA44=Y$5,Z$6&gt;=$D$129),1,0),IF(Y44&amp;AB44=AB$5,4,0),IF(AND(Y44=Y$5,Z$6&lt;=$D$104),-0.5,0),IF(AND(Z44=Y$5,Z$6&lt;=$D$104),-0.5,0),IF(AND(AA44=Y$5,Z$6&lt;=$D$104),-0.5,0))</f>
        <v/>
      </c>
      <c r="AD44" s="145" t="n">
        <v>5</v>
      </c>
      <c r="AE44" s="146" t="n">
        <v>7</v>
      </c>
      <c r="AF44" s="146" t="n">
        <v>2</v>
      </c>
      <c r="AG44" s="146" t="n"/>
      <c r="AH44" s="602">
        <f>SUM(IF(AD44=AD$5,4,0),IF(AD44&amp;AE44=AD$5&amp;AE$5,1,0),
IF(AND(AD44=AD$5,AE$6&gt;=$D$115),1,0),
IF(AND(AE44=AD$5,AE$6&gt;=$D$115),1,0),
IF(AND(AF44=AD$5,AE$6&gt;=$D$115),1,0),
IF(AD44&amp;AG44=AH$5,1,0),
IF(AE44=AD$5,2,0),
IF(AF44=AD$5,1,0),
IF(OR(AD44&amp;AE44&amp;AF44=AD$5&amp;AE$5&amp;AF$5,AD44&amp;AE44&amp;AF44=AD$5&amp;AF$5&amp;AE$5,AD44&amp;AE44&amp;AF44=AE$5&amp;AD$5&amp;AF$5,AD44&amp;AE44&amp;AF44=AE$5&amp;AF$5&amp;AD$5,AD44&amp;AE44&amp;AF44=AF$5&amp;AD$5&amp;AE$5,AD44&amp;AE44&amp;AF44=AF$5&amp;AE$5&amp;AD$5),2,0),IF(AND(AD44=AD$5,AE$6&gt;=$D$129),1,0),IF(AND(AE44=AD$5,AE$6&gt;=$D$129),1,0),IF(AND(AF44=AD$5,AE$6&gt;=$D$129),1,0),IF(AD44&amp;AG44=AG$5,4,0),IF(AND(AD44=AD$5,AE$6&lt;=$D$104),-0.5,0),IF(AND(AE44=AD$5,AE$6&lt;=$D$104),-0.5,0),IF(AND(AF44=AD$5,AE$6&lt;=$D$104),-0.5,0))</f>
        <v/>
      </c>
      <c r="AI44" s="145" t="n">
        <v>7</v>
      </c>
      <c r="AJ44" s="146" t="n">
        <v>4</v>
      </c>
      <c r="AK44" s="146" t="n">
        <v>3</v>
      </c>
      <c r="AL44" s="146" t="n"/>
      <c r="AM44" s="602">
        <f>SUM(IF(AI44=AI$5,4,0),IF(AI44&amp;AJ44=AI$5&amp;AJ$5,1,0),
IF(AND(AI44=AI$5,AJ$6&gt;=$D$115),1,0),
IF(AND(AJ44=AI$5,AJ$6&gt;=$D$115),1,0),
IF(AND(AK44=AI$5,AJ$6&gt;=$D$115),1,0),
IF(AI44&amp;AL44=AM$5,1,0),
IF(AJ44=AI$5,2,0),
IF(AK44=AI$5,1,0),
IF(OR(AI44&amp;AJ44&amp;AK44=AI$5&amp;AJ$5&amp;AK$5,AI44&amp;AJ44&amp;AK44=AI$5&amp;AK$5&amp;AJ$5,AI44&amp;AJ44&amp;AK44=AJ$5&amp;AI$5&amp;AK$5,AI44&amp;AJ44&amp;AK44=AJ$5&amp;AK$5&amp;AI$5,AI44&amp;AJ44&amp;AK44=AK$5&amp;AI$5&amp;AJ$5,AI44&amp;AJ44&amp;AK44=AK$5&amp;AJ$5&amp;AI$5),2,0),IF(AND(AI44=AI$5,AJ$6&gt;=$D$129),1,0),IF(AND(AJ44=AI$5,AJ$6&gt;=$D$129),1,0),IF(AND(AK44=AI$5,AJ$6&gt;=$D$129),1,0),IF(AI44&amp;AL44=AL$5,4,0),IF(AND(AI44=AI$5,AJ$6&lt;=$D$104),-0.5,0),IF(AND(AJ44=AI$5,AJ$6&lt;=$D$104),-0.5,0),IF(AND(AK44=AI$5,AJ$6&lt;=$D$104),-0.5,0))</f>
        <v/>
      </c>
      <c r="AN44" s="145" t="n">
        <v>9</v>
      </c>
      <c r="AO44" s="146" t="n">
        <v>11</v>
      </c>
      <c r="AP44" s="146" t="n">
        <v>8</v>
      </c>
      <c r="AQ44" s="146" t="n"/>
      <c r="AR44" s="602">
        <f>SUM(IF(AN44=AN$5,4,0),IF(AN44&amp;AO44=AN$5&amp;AO$5,1,0),
IF(AND(AN44=AN$5,AO$6&gt;=$D$115),1,0),
IF(AND(AO44=AN$5,AO$6&gt;=$D$115),1,0),
IF(AND(AP44=AN$5,AO$6&gt;=$D$115),1,0),
IF(AN44&amp;AQ44=AR$5,1,0),
IF(AO44=AN$5,2,0),
IF(AP44=AN$5,1,0),
IF(OR(AN44&amp;AO44&amp;AP44=AN$5&amp;AO$5&amp;AP$5,AN44&amp;AO44&amp;AP44=AN$5&amp;AP$5&amp;AO$5,AN44&amp;AO44&amp;AP44=AO$5&amp;AN$5&amp;AP$5,AN44&amp;AO44&amp;AP44=AO$5&amp;AP$5&amp;AN$5,AN44&amp;AO44&amp;AP44=AP$5&amp;AN$5&amp;AO$5,AN44&amp;AO44&amp;AP44=AP$5&amp;AO$5&amp;AN$5),2,0),IF(AND(AN44=AN$5,AO$6&gt;=$D$129),1,0),IF(AND(AO44=AN$5,AO$6&gt;=$D$129),1,0),IF(AND(AP44=AN$5,AO$6&gt;=$D$129),1,0),IF(AN44&amp;AQ44=AQ$5,4,0),IF(AND(AN44=AN$5,AO$6&lt;=$D$104),-0.5,0),IF(AND(AO44=AN$5,AO$6&lt;=$D$104),-0.5,0),IF(AND(AP44=AN$5,AO$6&lt;=$D$104),-0.5,0))</f>
        <v/>
      </c>
      <c r="AS44" s="145" t="n">
        <v>4</v>
      </c>
      <c r="AT44" s="146" t="n">
        <v>1</v>
      </c>
      <c r="AU44" s="146" t="n">
        <v>7</v>
      </c>
      <c r="AV44" s="146" t="n"/>
      <c r="AW44" s="602">
        <f>SUM(IF(AS44=AS$5,4,0),IF(AS44&amp;AT44=AS$5&amp;AT$5,1,0),
IF(AND(AS44=AS$5,AT$6&gt;=$D$115),1,0),
IF(AND(AT44=AS$5,AT$6&gt;=$D$115),1,0),
IF(AND(AU44=AS$5,AT$6&gt;=$D$115),1,0),
IF(AS44&amp;AV44=AW$5,1,0),
IF(AT44=AS$5,2,0),
IF(AU44=AS$5,1,0),
IF(OR(AS44&amp;AT44&amp;AU44=AS$5&amp;AT$5&amp;AU$5,AS44&amp;AT44&amp;AU44=AS$5&amp;AU$5&amp;AT$5,AS44&amp;AT44&amp;AU44=AT$5&amp;AS$5&amp;AU$5,AS44&amp;AT44&amp;AU44=AT$5&amp;AU$5&amp;AS$5,AS44&amp;AT44&amp;AU44=AU$5&amp;AS$5&amp;AT$5,AS44&amp;AT44&amp;AU44=AU$5&amp;AT$5&amp;AS$5),2,0),IF(AND(AS44=AS$5,AT$6&gt;=$D$129),1,0),IF(AND(AT44=AS$5,AT$6&gt;=$D$129),1,0),IF(AND(AU44=AS$5,AT$6&gt;=$D$129),1,0),IF(AS44&amp;AV44=AV$5,4,0),IF(AND(AS44=AS$5,AT$6&lt;=$D$104),-0.5,0),IF(AND(AT44=AS$5,AT$6&lt;=$D$104),-0.5,0),IF(AND(AU44=AS$5,AT$6&lt;=$D$104),-0.5,0))</f>
        <v/>
      </c>
      <c r="AX44" s="145" t="n">
        <v>9</v>
      </c>
      <c r="AY44" s="146" t="n">
        <v>1</v>
      </c>
      <c r="AZ44" s="146" t="n">
        <v>8</v>
      </c>
      <c r="BA44" s="146" t="inlineStr">
        <is>
          <t>F</t>
        </is>
      </c>
      <c r="BB44" s="602">
        <f>SUM(IF(AX44=AX$5,4,0),IF(AX44&amp;AY44=AX$5&amp;AY$5,1,0),
IF(AND(AX44=AX$5,AY$6&gt;=$D$115),1,0),
IF(AND(AY44=AX$5,AY$6&gt;=$D$115),1,0),
IF(AND(AZ44=AX$5,AY$6&gt;=$D$115),1,0),
IF(AX44&amp;BA44=BB$5,1,0),
IF(AY44=AX$5,2,0),
IF(AZ44=AX$5,1,0),
IF(OR(AX44&amp;AY44&amp;AZ44=AX$5&amp;AY$5&amp;AZ$5,AX44&amp;AY44&amp;AZ44=AX$5&amp;AZ$5&amp;AY$5,AX44&amp;AY44&amp;AZ44=AY$5&amp;AX$5&amp;AZ$5,AX44&amp;AY44&amp;AZ44=AY$5&amp;AZ$5&amp;AX$5,AX44&amp;AY44&amp;AZ44=AZ$5&amp;AX$5&amp;AY$5,AX44&amp;AY44&amp;AZ44=AZ$5&amp;AY$5&amp;AX$5),2,0),IF(AND(AX44=AX$5,AY$6&gt;=$D$129),1,0),IF(AND(AY44=AX$5,AY$6&gt;=$D$129),1,0),IF(AND(AZ44=AX$5,AY$6&gt;=$D$129),1,0),IF(AX44&amp;BA44=BA$5,4,0),IF(AND(AX44=AX$5,AY$6&lt;=$D$104),-0.5,0),IF(AND(AY44=AX$5,AY$6&lt;=$D$104),-0.5,0),IF(AND(AZ44=AX$5,AY$6&lt;=$D$104),-0.5,0))</f>
        <v/>
      </c>
      <c r="BC44" s="145" t="n">
        <v>8</v>
      </c>
      <c r="BD44" s="146" t="n">
        <v>2</v>
      </c>
      <c r="BE44" s="146" t="n">
        <v>4</v>
      </c>
      <c r="BF44" s="146" t="n"/>
      <c r="BG44" s="602">
        <f>SUM(IF(BC44=BC$5,4,0),IF(BC44&amp;BD44=BC$5&amp;BD$5,1,0),
IF(AND(BC44=BC$5,BD$6&gt;=$D$115),1,0),
IF(AND(BD44=BC$5,BD$6&gt;=$D$115),1,0),
IF(AND(BE44=BC$5,BD$6&gt;=$D$115),1,0),
IF(BC44&amp;BF44=BG$5,1,0),
IF(BD44=BC$5,2,0),
IF(BE44=BC$5,1,0),
IF(OR(BC44&amp;BD44&amp;BE44=BC$5&amp;BD$5&amp;BE$5,BC44&amp;BD44&amp;BE44=BC$5&amp;BE$5&amp;BD$5,BC44&amp;BD44&amp;BE44=BD$5&amp;BC$5&amp;BE$5,BC44&amp;BD44&amp;BE44=BD$5&amp;BE$5&amp;BC$5,BC44&amp;BD44&amp;BE44=BE$5&amp;BC$5&amp;BD$5,BC44&amp;BD44&amp;BE44=BE$5&amp;BD$5&amp;BC$5),2,0),IF(AND(BC44=BC$5,BD$6&gt;=$D$129),1,0),IF(AND(BD44=BC$5,BD$6&gt;=$D$129),1,0),IF(AND(BE44=BC$5,BD$6&gt;=$D$129),1,0),IF(BC44&amp;BF44=BF$5,4,0),IF(AND(BC44=BC$5,BD$6&lt;=$D$104),-0.5,0),IF(AND(BD44=BC$5,BD$6&lt;=$D$104),-0.5,0),IF(AND(BE44=BC$5,BD$6&lt;=$D$104),-0.5,0))</f>
        <v/>
      </c>
      <c r="BH44" s="145" t="n">
        <v>5</v>
      </c>
      <c r="BI44" s="146" t="n">
        <v>2</v>
      </c>
      <c r="BJ44" s="146" t="n">
        <v>1</v>
      </c>
      <c r="BK44" s="146" t="n"/>
      <c r="BL44" s="602">
        <f>SUM(IF(BH44=BH$5,4,0),IF(BH44&amp;BI44=BH$5&amp;BI$5,1,0),
IF(AND(BH44=BH$5,BI$6&gt;=$D$115),1,0),
IF(AND(BI44=BH$5,BI$6&gt;=$D$115),1,0),
IF(AND(BJ44=BH$5,BI$6&gt;=$D$115),1,0),
IF(BH44&amp;BK44=BL$5,1,0),
IF(BI44=BH$5,2,0),
IF(BJ44=BH$5,1,0),
IF(OR(BH44&amp;BI44&amp;BJ44=BH$5&amp;BI$5&amp;BJ$5,BH44&amp;BI44&amp;BJ44=BH$5&amp;BJ$5&amp;BI$5,BH44&amp;BI44&amp;BJ44=BI$5&amp;BH$5&amp;BJ$5,BH44&amp;BI44&amp;BJ44=BI$5&amp;BJ$5&amp;BH$5,BH44&amp;BI44&amp;BJ44=BJ$5&amp;BH$5&amp;BI$5,BH44&amp;BI44&amp;BJ44=BJ$5&amp;BI$5&amp;BH$5),2,0),IF(AND(BH44=BH$5,BI$6&gt;=$D$129),1,0),IF(AND(BI44=BH$5,BI$6&gt;=$D$129),1,0),IF(AND(BJ44=BH$5,BI$6&gt;=$D$129),1,0),IF(BH44&amp;BK44=BK$5,4,0),IF(AND(BH44=BH$5,BI$6&lt;=$D$104),-0.5,0),IF(AND(BI44=BH$5,BI$6&lt;=$D$104),-0.5,0),IF(AND(BJ44=BH$5,BI$6&lt;=$D$104),-0.5,0))</f>
        <v/>
      </c>
      <c r="BM44" s="145" t="n">
        <v>3</v>
      </c>
      <c r="BN44" s="146" t="n">
        <v>12</v>
      </c>
      <c r="BO44" s="146" t="n">
        <v>1</v>
      </c>
      <c r="BP44" s="146" t="n"/>
      <c r="BQ44" s="602">
        <f>SUM(IF(BM44=BM$5,4,0),IF(BM44&amp;BN44=BM$5&amp;BN$5,1,0),
IF(AND(BM44=BM$5,BN$6&gt;=$D$115),1,0),
IF(AND(BN44=BM$5,BN$6&gt;=$D$115),1,0),
IF(AND(BO44=BM$5,BN$6&gt;=$D$115),1,0),
IF(BM44&amp;BP44=BQ$5,1,0),
IF(BN44=BM$5,2,0),
IF(BO44=BM$5,1,0),
IF(OR(BM44&amp;BN44&amp;BO44=BM$5&amp;BN$5&amp;BO$5,BM44&amp;BN44&amp;BO44=BM$5&amp;BO$5&amp;BN$5,BM44&amp;BN44&amp;BO44=BN$5&amp;BM$5&amp;BO$5,BM44&amp;BN44&amp;BO44=BN$5&amp;BO$5&amp;BM$5,BM44&amp;BN44&amp;BO44=BO$5&amp;BM$5&amp;BN$5,BM44&amp;BN44&amp;BO44=BO$5&amp;BN$5&amp;BM$5),2,0),IF(AND(BM44=BM$5,BN$6&gt;=$D$129),1,0),IF(AND(BN44=BM$5,BN$6&gt;=$D$129),1,0),IF(AND(BO44=BM$5,BN$6&gt;=$D$129),1,0),IF(BM44&amp;BP44=BP$5,4,0),IF(AND(BM44=BM$5,BN$6&lt;=$D$104),-0.5,0),IF(AND(BN44=BM$5,BN$6&lt;=$D$104),-0.5,0),IF(AND(BO44=BM$5,BN$6&lt;=$D$104),-0.5,0))</f>
        <v/>
      </c>
      <c r="BR44" s="145" t="n"/>
      <c r="BS44" s="146" t="n"/>
      <c r="BT44" s="146" t="n"/>
      <c r="BU44" s="146" t="n"/>
      <c r="BV44" s="602">
        <f>SUM(IF(BR44=BR$5,4,0),IF(BR44&amp;BS44=BR$5&amp;BS$5,1,0),
IF(AND(BR44=BR$5,BS$6&gt;=$D$115),1,0),
IF(AND(BS44=BR$5,BS$6&gt;=$D$115),1,0),
IF(AND(BT44=BR$5,BS$6&gt;=$D$115),1,0),
IF(BR44&amp;BU44=BV$5,1,0),
IF(BS44=BR$5,2,0),
IF(BT44=BR$5,1,0),
IF(OR(BR44&amp;BS44&amp;BT44=BR$5&amp;BS$5&amp;BT$5,BR44&amp;BS44&amp;BT44=BR$5&amp;BT$5&amp;BS$5,BR44&amp;BS44&amp;BT44=BS$5&amp;BR$5&amp;BT$5,BR44&amp;BS44&amp;BT44=BS$5&amp;BT$5&amp;BR$5,BR44&amp;BS44&amp;BT44=BT$5&amp;BR$5&amp;BS$5,BR44&amp;BS44&amp;BT44=BT$5&amp;BS$5&amp;BR$5),2,0),IF(AND(BR44=BR$5,BS$6&gt;=$D$129),1,0),IF(AND(BS44=BR$5,BS$6&gt;=$D$129),1,0),IF(AND(BT44=BR$5,BS$6&gt;=$D$129),1,0),IF(BR44&amp;BU44=BU$5,4,0),IF(AND(BR44=BR$5,BS$6&lt;=$D$104),-0.5,0),IF(AND(BS44=BR$5,BS$6&lt;=$D$104),-0.5,0),IF(AND(BT44=BR$5,BS$6&lt;=$D$104),-0.5,0))</f>
        <v/>
      </c>
      <c r="BW44" s="145" t="n"/>
      <c r="BX44" s="146" t="n"/>
      <c r="BY44" s="146" t="n"/>
      <c r="BZ44" s="146" t="n"/>
      <c r="CA44" s="602">
        <f>SUM(IF(BW44=BW$5,4,0),IF(BW44&amp;BX44=BW$5&amp;BX$5,1,0),
IF(AND(BW44=BW$5,BX$6&gt;=$D$115),1,0),
IF(AND(BX44=BW$5,BX$6&gt;=$D$115),1,0),
IF(AND(BY44=BW$5,BX$6&gt;=$D$115),1,0),
IF(BW44&amp;BZ44=CA$5,1,0),
IF(BX44=BW$5,2,0),
IF(BY44=BW$5,1,0),
IF(OR(BW44&amp;BX44&amp;BY44=BW$5&amp;BX$5&amp;BY$5,BW44&amp;BX44&amp;BY44=BW$5&amp;BY$5&amp;BX$5,BW44&amp;BX44&amp;BY44=BX$5&amp;BW$5&amp;BY$5,BW44&amp;BX44&amp;BY44=BX$5&amp;BY$5&amp;BW$5,BW44&amp;BX44&amp;BY44=BY$5&amp;BW$5&amp;BX$5,BW44&amp;BX44&amp;BY44=BY$5&amp;BX$5&amp;BW$5),2,0),IF(AND(BW44=BW$5,BX$6&gt;=$D$129),1,0),IF(AND(BX44=BW$5,BX$6&gt;=$D$129),1,0),IF(AND(BY44=BW$5,BX$6&gt;=$D$129),1,0),IF(BW44&amp;BZ44=BZ$5,4,0),IF(AND(BW44=BW$5,BX$6&lt;=$D$104),-0.5,0),IF(AND(BX44=BW$5,BX$6&lt;=$D$104),-0.5,0),IF(AND(BY44=BW$5,BX$6&lt;=$D$104),-0.5,0))</f>
        <v/>
      </c>
      <c r="CB44" s="145" t="n"/>
      <c r="CC44" s="146" t="n"/>
      <c r="CD44" s="146" t="n"/>
      <c r="CE44" s="146" t="n"/>
      <c r="CF44" s="602">
        <f>SUM(IF(CB44=CB$5,4,0),IF(CB44&amp;CC44=CB$5&amp;CC$5,1,0),
IF(AND(CB44=CB$5,CC$6&gt;=$D$115),1,0),
IF(AND(CC44=CB$5,CC$6&gt;=$D$115),1,0),
IF(AND(CD44=CB$5,CC$6&gt;=$D$115),1,0),
IF(CB44&amp;CE44=CF$5,1,0),
IF(CC44=CB$5,2,0),
IF(CD44=CB$5,1,0),
IF(OR(CB44&amp;CC44&amp;CD44=CB$5&amp;CC$5&amp;CD$5,CB44&amp;CC44&amp;CD44=CB$5&amp;CD$5&amp;CC$5,CB44&amp;CC44&amp;CD44=CC$5&amp;CB$5&amp;CD$5,CB44&amp;CC44&amp;CD44=CC$5&amp;CD$5&amp;CB$5,CB44&amp;CC44&amp;CD44=CD$5&amp;CB$5&amp;CC$5,CB44&amp;CC44&amp;CD44=CD$5&amp;CC$5&amp;CB$5),2,0),IF(AND(CB44=CB$5,CC$6&gt;=$D$129),1,0),IF(AND(CC44=CB$5,CC$6&gt;=$D$129),1,0),IF(AND(CD44=CB$5,CC$6&gt;=$D$129),1,0),IF(CB44&amp;CE44=CE$5,4,0),IF(AND(CB44=CB$5,CC$6&lt;=$D$104),-0.5,0),IF(AND(CC44=CB$5,CC$6&lt;=$D$104),-0.5,0),IF(AND(CD44=CB$5,CC$6&lt;=$D$104),-0.5,0))</f>
        <v/>
      </c>
      <c r="CG44" s="164">
        <f>IF(BASE01[[#This Row],[1]]="",0,$B$4)</f>
        <v/>
      </c>
      <c r="CH44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4" s="166">
        <f>IF(BASE01[[#This Row],[Columna14]]=0,0,(CH44/CG44))</f>
        <v/>
      </c>
      <c r="CJ44" s="165">
        <f>IF(BASE01[[#This Row],[1]]="",0,$B$4)</f>
        <v/>
      </c>
      <c r="CK44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4" s="166">
        <f>IF(BASE01[[#This Row],[Columna14]]=0,0,(CK44/CJ44))</f>
        <v/>
      </c>
      <c r="CM44" s="164">
        <f>IF(BASE01[[#This Row],[1]]="",0,$B$4)</f>
        <v/>
      </c>
      <c r="CN44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4" s="166">
        <f>IF(BASE01[[#This Row],[Columna14]]=0,0,(CN44/CM44))</f>
        <v/>
      </c>
      <c r="CP44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4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Row],[Columna25]],$AX$5,BA44,"SF")+COUNTIFS(BASE01[[#This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4" s="166">
        <f>IF(BASE01[[#This Row],[Columna14]]=0,0,(CQ44/CP44))</f>
        <v/>
      </c>
      <c r="CS44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4" s="95" t="n"/>
      <c r="CU44" s="604">
        <f>SUM(CS44,CT44)</f>
        <v/>
      </c>
      <c r="CV44" s="96">
        <f>IF(BASE01[[#This Row],[TIPO]]="PREMIO",$O$3,"0,00")</f>
        <v/>
      </c>
      <c r="CW44" s="576" t="n"/>
      <c r="CY44" s="606">
        <f>IF(CZ44="","",$CZ$25)</f>
        <v/>
      </c>
      <c r="CZ44" s="392" t="n"/>
      <c r="DA44" s="392">
        <f t="array" ref="DA44">IF(CZ44="", "", IF((INDEX(E$8:CE$57, MATCH(CZ44, C$8:C$57, 0), ($CZ$25-1)*5 + 1) &amp; "") = (INDEX(E$5:CE$5, 1, ($CZ$25-1)*5 + 1) &amp; ""), 1, IF((INDEX(E$8:CE$57, MATCH(CZ44, C$8:C$57, 0), ($CZ$25-1)*5 + 2) &amp; "") = (INDEX(E$5:CE$5, 1, ($CZ$25-1)*5 + 1) &amp; ""), 2, IF((INDEX(E$8:CE$57, MATCH(CZ44, C$8:C$57, 0), ($CZ$25-1)*5 + 3) &amp; "") = (INDEX(E$5:CE$5, 1, ($CZ$25-1)*5 + 1) &amp; ""), 3, ""))))</f>
        <v/>
      </c>
      <c r="DB44" s="605">
        <f>BASE01[[#This Row],[COD]]</f>
        <v/>
      </c>
      <c r="DC44" s="395">
        <f t="array" ref="DC44">IFERROR(IF(AND(INDEX($E$8:$CE$57, MATCH($C44, $C$8:$C$57, 0), (COLUMNS($DC44:DC44)-1)*5 + 1) = INDEX($E$5:$CE$5, 1, (COLUMNS($DC44:DC44)-1)*5 + 1), INDEX($E$8:$CE$57, MATCH($C44, $C$8:$C$57, 0), (COLUMNS($DC44:DC44)-1)*5 + 4) = "F"), INDEX($CZ$8:$CZ$23, COLUMNS($DC44:DC44)), "0"), "")</f>
        <v/>
      </c>
      <c r="DD44" s="395">
        <f t="array" ref="DD44">IFERROR(IF(AND(INDEX($E$8:$CE$57, MATCH($C44, $C$8:$C$57, 0), (COLUMNS($DC44:DD44)-1)*5 + 1) = INDEX($E$5:$CE$5, 1, (COLUMNS($DC44:DD44)-1)*5 + 1), INDEX($E$8:$CE$57, MATCH($C44, $C$8:$C$57, 0), (COLUMNS($DC44:DD44)-1)*5 + 4) = "F"), INDEX($CZ$8:$CZ$23, COLUMNS($DC44:DD44)), "0"), "")</f>
        <v/>
      </c>
      <c r="DE44" s="395">
        <f t="array" ref="DE44">IFERROR(IF(AND(INDEX($E$8:$CE$57, MATCH($C44, $C$8:$C$57, 0), (COLUMNS($DC44:DE44)-1)*5 + 1) = INDEX($E$5:$CE$5, 1, (COLUMNS($DC44:DE44)-1)*5 + 1), INDEX($E$8:$CE$57, MATCH($C44, $C$8:$C$57, 0), (COLUMNS($DC44:DE44)-1)*5 + 4) = "F"), INDEX($CZ$8:$CZ$23, COLUMNS($DC44:DE44)), "0"), "")</f>
        <v/>
      </c>
      <c r="DF44" s="395">
        <f t="array" ref="DF44">IFERROR(IF(AND(INDEX($E$8:$CE$57, MATCH($C44, $C$8:$C$57, 0), (COLUMNS($DC44:DF44)-1)*5 + 1) = INDEX($E$5:$CE$5, 1, (COLUMNS($DC44:DF44)-1)*5 + 1), INDEX($E$8:$CE$57, MATCH($C44, $C$8:$C$57, 0), (COLUMNS($DC44:DF44)-1)*5 + 4) = "F"), INDEX($CZ$8:$CZ$23, COLUMNS($DC44:DF44)), "0"), "")</f>
        <v/>
      </c>
      <c r="DG44" s="395">
        <f t="array" ref="DG44">IFERROR(IF(AND(INDEX($E$8:$CE$57, MATCH($C44, $C$8:$C$57, 0), (COLUMNS($DC44:DG44)-1)*5 + 1) = INDEX($E$5:$CE$5, 1, (COLUMNS($DC44:DG44)-1)*5 + 1), INDEX($E$8:$CE$57, MATCH($C44, $C$8:$C$57, 0), (COLUMNS($DC44:DG44)-1)*5 + 4) = "F"), INDEX($CZ$8:$CZ$23, COLUMNS($DC44:DG44)), "0"), "")</f>
        <v/>
      </c>
      <c r="DH44" s="395">
        <f t="array" ref="DH44">IFERROR(IF(AND(INDEX($E$8:$CE$57, MATCH($C44, $C$8:$C$57, 0), (COLUMNS($DC44:DH44)-1)*5 + 1) = INDEX($E$5:$CE$5, 1, (COLUMNS($DC44:DH44)-1)*5 + 1), INDEX($E$8:$CE$57, MATCH($C44, $C$8:$C$57, 0), (COLUMNS($DC44:DH44)-1)*5 + 4) = "F"), INDEX($CZ$8:$CZ$23, COLUMNS($DC44:DH44)), "0"), "")</f>
        <v/>
      </c>
      <c r="DI44" s="395">
        <f t="array" ref="DI44">IFERROR(IF(AND(INDEX($E$8:$CE$57, MATCH($C44, $C$8:$C$57, 0), (COLUMNS($DC44:DI44)-1)*5 + 1) = INDEX($E$5:$CE$5, 1, (COLUMNS($DC44:DI44)-1)*5 + 1), INDEX($E$8:$CE$57, MATCH($C44, $C$8:$C$57, 0), (COLUMNS($DC44:DI44)-1)*5 + 4) = "F"), INDEX($CZ$8:$CZ$23, COLUMNS($DC44:DI44)), "0"), "")</f>
        <v/>
      </c>
      <c r="DJ44" s="395">
        <f t="array" ref="DJ44">IFERROR(IF(AND(INDEX($E$8:$CE$57, MATCH($C44, $C$8:$C$57, 0), (COLUMNS($DC44:DJ44)-1)*5 + 1) = INDEX($E$5:$CE$5, 1, (COLUMNS($DC44:DJ44)-1)*5 + 1), INDEX($E$8:$CE$57, MATCH($C44, $C$8:$C$57, 0), (COLUMNS($DC44:DJ44)-1)*5 + 4) = "F"), INDEX($CZ$8:$CZ$23, COLUMNS($DC44:DJ44)), "0"), "")</f>
        <v/>
      </c>
      <c r="DK44" s="395">
        <f t="array" ref="DK44">IFERROR(IF(AND(INDEX($E$8:$CE$57, MATCH($C44, $C$8:$C$57, 0), (COLUMNS($DC44:DK44)-1)*5 + 1) = INDEX($E$5:$CE$5, 1, (COLUMNS($DC44:DK44)-1)*5 + 1), INDEX($E$8:$CE$57, MATCH($C44, $C$8:$C$57, 0), (COLUMNS($DC44:DK44)-1)*5 + 4) = "F"), INDEX($CZ$8:$CZ$23, COLUMNS($DC44:DK44)), "0"), "")</f>
        <v/>
      </c>
      <c r="DL44" s="395">
        <f t="array" ref="DL44">IFERROR(IF(AND(INDEX($E$8:$CE$57, MATCH($C44, $C$8:$C$57, 0), (COLUMNS($DC44:DL44)-1)*5 + 1) = INDEX($E$5:$CE$5, 1, (COLUMNS($DC44:DL44)-1)*5 + 1), INDEX($E$8:$CE$57, MATCH($C44, $C$8:$C$57, 0), (COLUMNS($DC44:DL44)-1)*5 + 4) = "F"), INDEX($CZ$8:$CZ$23, COLUMNS($DC44:DL44)), "0"), "")</f>
        <v/>
      </c>
      <c r="DM44" s="395">
        <f t="array" ref="DM44">IFERROR(IF(AND(INDEX($E$8:$CE$57, MATCH($C44, $C$8:$C$57, 0), (COLUMNS($DC44:DM44)-1)*5 + 1) = INDEX($E$5:$CE$5, 1, (COLUMNS($DC44:DM44)-1)*5 + 1), INDEX($E$8:$CE$57, MATCH($C44, $C$8:$C$57, 0), (COLUMNS($DC44:DM44)-1)*5 + 4) = "F"), INDEX($CZ$8:$CZ$23, COLUMNS($DC44:DM44)), "0"), "")</f>
        <v/>
      </c>
      <c r="DN44" s="395">
        <f t="array" ref="DN44">IFERROR(IF(AND(INDEX($E$8:$CE$57, MATCH($C44, $C$8:$C$57, 0), (COLUMNS($DC44:DN44)-1)*5 + 1) = INDEX($E$5:$CE$5, 1, (COLUMNS($DC44:DN44)-1)*5 + 1), INDEX($E$8:$CE$57, MATCH($C44, $C$8:$C$57, 0), (COLUMNS($DC44:DN44)-1)*5 + 4) = "F"), INDEX($CZ$8:$CZ$23, COLUMNS($DC44:DN44)), "0"), "")</f>
        <v/>
      </c>
      <c r="DO44" s="395">
        <f t="array" ref="DO44">IFERROR(IF(AND(INDEX($E$8:$CE$57, MATCH($C44, $C$8:$C$57, 0), (COLUMNS($DC44:DO44)-1)*5 + 1) = INDEX($E$5:$CE$5, 1, (COLUMNS($DC44:DO44)-1)*5 + 1), INDEX($E$8:$CE$57, MATCH($C44, $C$8:$C$57, 0), (COLUMNS($DC44:DO44)-1)*5 + 4) = "F"), INDEX($CZ$8:$CZ$23, COLUMNS($DC44:DO44)), "0"), "")</f>
        <v/>
      </c>
      <c r="DP44" s="395">
        <f t="array" ref="DP44">IFERROR(IF(AND(INDEX($E$8:$CE$57, MATCH($C44, $C$8:$C$57, 0), (COLUMNS($DC44:DP44)-1)*5 + 1) = INDEX($E$5:$CE$5, 1, (COLUMNS($DC44:DP44)-1)*5 + 1), INDEX($E$8:$CE$57, MATCH($C44, $C$8:$C$57, 0), (COLUMNS($DC44:DP44)-1)*5 + 4) = "F"), INDEX($CZ$8:$CZ$23, COLUMNS($DC44:DP44)), "0"), "")</f>
        <v/>
      </c>
      <c r="DQ44" s="395">
        <f t="array" ref="DQ44">IFERROR(IF(AND(INDEX($E$8:$CE$57, MATCH($C44, $C$8:$C$57, 0), (COLUMNS($DC44:DQ44)-1)*5 + 1) = INDEX($E$5:$CE$5, 1, (COLUMNS($DC44:DQ44)-1)*5 + 1), INDEX($E$8:$CE$57, MATCH($C44, $C$8:$C$57, 0), (COLUMNS($DC44:DQ44)-1)*5 + 4) = "F"), INDEX($CZ$8:$CZ$23, COLUMNS($DC44:DQ44)), "0"), "")</f>
        <v/>
      </c>
      <c r="DR44" s="395">
        <f t="array" ref="DR44">IFERROR(IF(AND(INDEX($E$8:$CE$57, MATCH($C44, $C$8:$C$57, 0), (COLUMNS($DC44:DR44)-1)*5 + 1) = INDEX($E$5:$CE$5, 1, (COLUMNS($DC44:DR44)-1)*5 + 1), INDEX($E$8:$CE$57, MATCH($C44, $C$8:$C$57, 0), (COLUMNS($DC44:DR44)-1)*5 + 4) = "F"), INDEX($CZ$8:$CZ$23, COLUMNS($DC44:DR44)), "0"), "")</f>
        <v/>
      </c>
      <c r="DT44" s="605">
        <f>BASE01[[#This Row],[COD]]</f>
        <v/>
      </c>
      <c r="DU44" s="395">
        <f t="array" ref="DU44">IFERROR(IF(AND(INDEX($E$8:$CE$57, MATCH($C44, $C$8:$C$57, 0), (COLUMNS($DU44:DU44)-1)*5 + 1) = INDEX($E$5:$CE$5, 1, (COLUMNS($DU44:DU44)-1)*5 + 1), INDEX($E$8:$CE$57, MATCH($C44, $C$8:$C$57, 0), (COLUMNS($DU44:DU44)-1)*5 + 4) = "SF"), INDEX($CZ$8:$CZ$23, COLUMNS($DU44:DU44)), "0"), "")</f>
        <v/>
      </c>
      <c r="DV44" s="395">
        <f t="array" ref="DV44">IFERROR(IF(AND(INDEX($E$8:$CE$57, MATCH($C44, $C$8:$C$57, 0), (COLUMNS($DU44:DV44)-1)*5 + 1) = INDEX($E$5:$CE$5, 1, (COLUMNS($DU44:DV44)-1)*5 + 1), INDEX($E$8:$CE$57, MATCH($C44, $C$8:$C$57, 0), (COLUMNS($DU44:DV44)-1)*5 + 4) = "SF"), INDEX($CZ$8:$CZ$23, COLUMNS($DU44:DV44)), "0"), "")</f>
        <v/>
      </c>
      <c r="DW44" s="395">
        <f t="array" ref="DW44">IFERROR(IF(AND(INDEX($E$8:$CE$57, MATCH($C44, $C$8:$C$57, 0), (COLUMNS($DU44:DW44)-1)*5 + 1) = INDEX($E$5:$CE$5, 1, (COLUMNS($DU44:DW44)-1)*5 + 1), INDEX($E$8:$CE$57, MATCH($C44, $C$8:$C$57, 0), (COLUMNS($DU44:DW44)-1)*5 + 4) = "SF"), INDEX($CZ$8:$CZ$23, COLUMNS($DU44:DW44)), "0"), "")</f>
        <v/>
      </c>
      <c r="DX44" s="395">
        <f t="array" ref="DX44">IFERROR(IF(AND(INDEX($E$8:$CE$57, MATCH($C44, $C$8:$C$57, 0), (COLUMNS($DU44:DX44)-1)*5 + 1) = INDEX($E$5:$CE$5, 1, (COLUMNS($DU44:DX44)-1)*5 + 1), INDEX($E$8:$CE$57, MATCH($C44, $C$8:$C$57, 0), (COLUMNS($DU44:DX44)-1)*5 + 4) = "SF"), INDEX($CZ$8:$CZ$23, COLUMNS($DU44:DX44)), "0"), "")</f>
        <v/>
      </c>
      <c r="DY44" s="395">
        <f t="array" ref="DY44">IFERROR(IF(AND(INDEX($E$8:$CE$57, MATCH($C44, $C$8:$C$57, 0), (COLUMNS($DU44:DY44)-1)*5 + 1) = INDEX($E$5:$CE$5, 1, (COLUMNS($DU44:DY44)-1)*5 + 1), INDEX($E$8:$CE$57, MATCH($C44, $C$8:$C$57, 0), (COLUMNS($DU44:DY44)-1)*5 + 4) = "SF"), INDEX($CZ$8:$CZ$23, COLUMNS($DU44:DY44)), "0"), "")</f>
        <v/>
      </c>
      <c r="DZ44" s="395">
        <f t="array" ref="DZ44">IFERROR(IF(AND(INDEX($E$8:$CE$57, MATCH($C44, $C$8:$C$57, 0), (COLUMNS($DU44:DZ44)-1)*5 + 1) = INDEX($E$5:$CE$5, 1, (COLUMNS($DU44:DZ44)-1)*5 + 1), INDEX($E$8:$CE$57, MATCH($C44, $C$8:$C$57, 0), (COLUMNS($DU44:DZ44)-1)*5 + 4) = "SF"), INDEX($CZ$8:$CZ$23, COLUMNS($DU44:DZ44)), "0"), "")</f>
        <v/>
      </c>
      <c r="EA44" s="395">
        <f t="array" ref="EA44">IFERROR(IF(AND(INDEX($E$8:$CE$57, MATCH($C44, $C$8:$C$57, 0), (COLUMNS($DU44:EA44)-1)*5 + 1) = INDEX($E$5:$CE$5, 1, (COLUMNS($DU44:EA44)-1)*5 + 1), INDEX($E$8:$CE$57, MATCH($C44, $C$8:$C$57, 0), (COLUMNS($DU44:EA44)-1)*5 + 4) = "SF"), INDEX($CZ$8:$CZ$23, COLUMNS($DU44:EA44)), "0"), "")</f>
        <v/>
      </c>
      <c r="EB44" s="395">
        <f t="array" ref="EB44">IFERROR(IF(AND(INDEX($E$8:$CE$57, MATCH($C44, $C$8:$C$57, 0), (COLUMNS($DU44:EB44)-1)*5 + 1) = INDEX($E$5:$CE$5, 1, (COLUMNS($DU44:EB44)-1)*5 + 1), INDEX($E$8:$CE$57, MATCH($C44, $C$8:$C$57, 0), (COLUMNS($DU44:EB44)-1)*5 + 4) = "SF"), INDEX($CZ$8:$CZ$23, COLUMNS($DU44:EB44)), "0"), "")</f>
        <v/>
      </c>
      <c r="EC44" s="395">
        <f t="array" ref="EC44">IFERROR(IF(AND(INDEX($E$8:$CE$57, MATCH($C44, $C$8:$C$57, 0), (COLUMNS($DU44:EC44)-1)*5 + 1) = INDEX($E$5:$CE$5, 1, (COLUMNS($DU44:EC44)-1)*5 + 1), INDEX($E$8:$CE$57, MATCH($C44, $C$8:$C$57, 0), (COLUMNS($DU44:EC44)-1)*5 + 4) = "SF"), INDEX($CZ$8:$CZ$23, COLUMNS($DU44:EC44)), "0"), "")</f>
        <v/>
      </c>
      <c r="ED44" s="395">
        <f t="array" ref="ED44">IFERROR(IF(AND(INDEX($E$8:$CE$57, MATCH($C44, $C$8:$C$57, 0), (COLUMNS($DU44:ED44)-1)*5 + 1) = INDEX($E$5:$CE$5, 1, (COLUMNS($DU44:ED44)-1)*5 + 1), INDEX($E$8:$CE$57, MATCH($C44, $C$8:$C$57, 0), (COLUMNS($DU44:ED44)-1)*5 + 4) = "SF"), INDEX($CZ$8:$CZ$23, COLUMNS($DU44:ED44)), "0"), "")</f>
        <v/>
      </c>
      <c r="EE44" s="395">
        <f t="array" ref="EE44">IFERROR(IF(AND(INDEX($E$8:$CE$57, MATCH($C44, $C$8:$C$57, 0), (COLUMNS($DU44:EE44)-1)*5 + 1) = INDEX($E$5:$CE$5, 1, (COLUMNS($DU44:EE44)-1)*5 + 1), INDEX($E$8:$CE$57, MATCH($C44, $C$8:$C$57, 0), (COLUMNS($DU44:EE44)-1)*5 + 4) = "SF"), INDEX($CZ$8:$CZ$23, COLUMNS($DU44:EE44)), "0"), "")</f>
        <v/>
      </c>
      <c r="EF44" s="395">
        <f t="array" ref="EF44">IFERROR(IF(AND(INDEX($E$8:$CE$57, MATCH($C44, $C$8:$C$57, 0), (COLUMNS($DU44:EF44)-1)*5 + 1) = INDEX($E$5:$CE$5, 1, (COLUMNS($DU44:EF44)-1)*5 + 1), INDEX($E$8:$CE$57, MATCH($C44, $C$8:$C$57, 0), (COLUMNS($DU44:EF44)-1)*5 + 4) = "SF"), INDEX($CZ$8:$CZ$23, COLUMNS($DU44:EF44)), "0"), "")</f>
        <v/>
      </c>
      <c r="EG44" s="395">
        <f t="array" ref="EG44">IFERROR(IF(AND(INDEX($E$8:$CE$57, MATCH($C44, $C$8:$C$57, 0), (COLUMNS($DU44:EG44)-1)*5 + 1) = INDEX($E$5:$CE$5, 1, (COLUMNS($DU44:EG44)-1)*5 + 1), INDEX($E$8:$CE$57, MATCH($C44, $C$8:$C$57, 0), (COLUMNS($DU44:EG44)-1)*5 + 4) = "SF"), INDEX($CZ$8:$CZ$23, COLUMNS($DU44:EG44)), "0"), "")</f>
        <v/>
      </c>
      <c r="EH44" s="395">
        <f t="array" ref="EH44">IFERROR(IF(AND(INDEX($E$8:$CE$57, MATCH($C44, $C$8:$C$57, 0), (COLUMNS($DU44:EH44)-1)*5 + 1) = INDEX($E$5:$CE$5, 1, (COLUMNS($DU44:EH44)-1)*5 + 1), INDEX($E$8:$CE$57, MATCH($C44, $C$8:$C$57, 0), (COLUMNS($DU44:EH44)-1)*5 + 4) = "SF"), INDEX($CZ$8:$CZ$23, COLUMNS($DU44:EH44)), "0"), "")</f>
        <v/>
      </c>
      <c r="EI44" s="395">
        <f t="array" ref="EI44">IFERROR(IF(AND(INDEX($E$8:$CE$57, MATCH($C44, $C$8:$C$57, 0), (COLUMNS($DU44:EI44)-1)*5 + 1) = INDEX($E$5:$CE$5, 1, (COLUMNS($DU44:EI44)-1)*5 + 1), INDEX($E$8:$CE$57, MATCH($C44, $C$8:$C$57, 0), (COLUMNS($DU44:EI44)-1)*5 + 4) = "SF"), INDEX($CZ$8:$CZ$23, COLUMNS($DU44:EI44)), "0"), "")</f>
        <v/>
      </c>
      <c r="EJ44" s="395">
        <f t="array" ref="EJ44">IFERROR(IF(AND(INDEX($E$8:$CE$57, MATCH($C44, $C$8:$C$57, 0), (COLUMNS($DU44:EJ44)-1)*5 + 1) = INDEX($E$5:$CE$5, 1, (COLUMNS($DU44:EJ44)-1)*5 + 1), INDEX($E$8:$CE$57, MATCH($C44, $C$8:$C$57, 0), (COLUMNS($DU44:EJ44)-1)*5 + 4) = "SF"), INDEX($CZ$8:$CZ$23, COLUMNS($DU44:EJ44)), "0"), "")</f>
        <v/>
      </c>
    </row>
    <row r="45" ht="20.1" customHeight="1" s="568">
      <c r="A45" s="576" t="n"/>
      <c r="B45" s="92">
        <f>IF(BASE01[[#This Row],[COD]]&lt;&gt;"",B44+1,"")</f>
        <v/>
      </c>
      <c r="C45" s="601" t="inlineStr">
        <is>
          <t>COD 38</t>
        </is>
      </c>
      <c r="D45" s="93">
        <f t="array" ref="D45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5" s="145" t="n">
        <v>1</v>
      </c>
      <c r="F45" s="146" t="n">
        <v>8</v>
      </c>
      <c r="G45" s="146" t="n">
        <v>6</v>
      </c>
      <c r="H45" s="146" t="n"/>
      <c r="I45" s="602">
        <f>SUM(IF(E45=E$5,4,0),IF(E45&amp;F45=E$5&amp;F$5,1,0),
IF(AND(E45=E$5,F$6&gt;=$D$115),1,0),
IF(AND(F45=E$5,F$6&gt;=$D$115),1,0),
IF(AND(G45=E$5,F$6&gt;=$D$115),1,0),
IF(E45&amp;H45=I$5,1,0),
IF(F45=E$5,2,0),
IF(G45=E$5,1,0),
IF(OR(E45&amp;F45&amp;G45=E$5&amp;F$5&amp;G$5,E45&amp;F45&amp;G45=E$5&amp;G$5&amp;F$5,E45&amp;F45&amp;G45=F$5&amp;E$5&amp;G$5,E45&amp;F45&amp;G45=F$5&amp;G$5&amp;E$5,E45&amp;F45&amp;G45=G$5&amp;E$5&amp;F$5,E45&amp;F45&amp;G45=G$5&amp;F$5&amp;E$5),2,0),IF(AND(E45=E$5,F$6&gt;=$D$129),1,0),IF(AND(F45=E$5,F$6&gt;=$D$129),1,0),IF(AND(G45=E$5,F$6&gt;=$D$129),1,0),IF(E45&amp;H45=H$5,4,0),IF(AND(E45=E$5,F$6&lt;=$D$104),-0.5,0),IF(AND(F45=E$5,F$6&lt;=$D$104),-0.5,0),IF(AND(G45=E$5,F$6&lt;=$D$104),-0.5,0))</f>
        <v/>
      </c>
      <c r="J45" s="145" t="n">
        <v>8</v>
      </c>
      <c r="K45" s="146" t="n">
        <v>3</v>
      </c>
      <c r="L45" s="146" t="n">
        <v>1</v>
      </c>
      <c r="M45" s="146" t="n"/>
      <c r="N45" s="602">
        <f>SUM(IF(J45=J$5,4,0),IF(J45&amp;K45=J$5&amp;K$5,1,0),
IF(AND(J45=J$5,K$6&gt;=$D$115),1,0),
IF(AND(K45=J$5,K$6&gt;=$D$115),1,0),
IF(AND(L45=J$5,K$6&gt;=$D$115),1,0),
IF(J45&amp;M45=N$5,1,0),
IF(K45=J$5,2,0),
IF(L45=J$5,1,0),
IF(OR(J45&amp;K45&amp;L45=J$5&amp;K$5&amp;L$5,J45&amp;K45&amp;L45=J$5&amp;L$5&amp;K$5,J45&amp;K45&amp;L45=K$5&amp;J$5&amp;L$5,J45&amp;K45&amp;L45=K$5&amp;L$5&amp;J$5,J45&amp;K45&amp;L45=L$5&amp;J$5&amp;K$5,J45&amp;K45&amp;L45=L$5&amp;K$5&amp;J$5),2,0),IF(AND(J45=J$5,K$6&gt;=$D$129),1,0),IF(AND(K45=J$5,K$6&gt;=$D$129),1,0),IF(AND(L45=J$5,K$6&gt;=$D$129),1,0),IF(J45&amp;M45=M$5,4,0),IF(AND(J45=J$5,K$6&lt;=$D$104),-0.5,0),IF(AND(K45=J$5,K$6&lt;=$D$104),-0.5,0),IF(AND(L45=J$5,K$6&lt;=$D$104),-0.5,0))</f>
        <v/>
      </c>
      <c r="O45" s="145" t="n">
        <v>3</v>
      </c>
      <c r="P45" s="146" t="n">
        <v>8</v>
      </c>
      <c r="Q45" s="146" t="n">
        <v>6</v>
      </c>
      <c r="R45" s="146" t="n"/>
      <c r="S45" s="602">
        <f>SUM(IF(O45=O$5,4,0),IF(O45&amp;P45=O$5&amp;P$5,1,0),
IF(AND(O45=O$5,P$6&gt;=$D$115),1,0),
IF(AND(P45=O$5,P$6&gt;=$D$115),1,0),
IF(AND(Q45=O$5,P$6&gt;=$D$115),1,0),
IF(O45&amp;R45=S$5,1,0),
IF(P45=O$5,2,0),
IF(Q45=O$5,1,0),
IF(OR(O45&amp;P45&amp;Q45=O$5&amp;P$5&amp;Q$5,O45&amp;P45&amp;Q45=O$5&amp;Q$5&amp;P$5,O45&amp;P45&amp;Q45=P$5&amp;O$5&amp;Q$5,O45&amp;P45&amp;Q45=P$5&amp;Q$5&amp;O$5,O45&amp;P45&amp;Q45=Q$5&amp;O$5&amp;P$5,O45&amp;P45&amp;Q45=Q$5&amp;P$5&amp;O$5),2,0),IF(AND(O45=O$5,P$6&gt;=$D$129),1,0),IF(AND(P45=O$5,P$6&gt;=$D$129),1,0),IF(AND(Q45=O$5,P$6&gt;=$D$129),1,0),IF(O45&amp;R45=R$5,4,0),IF(AND(O45=O$5,P$6&lt;=$D$104),-0.5,0),IF(AND(P45=O$5,P$6&lt;=$D$104),-0.5,0),IF(AND(Q45=O$5,P$6&lt;=$D$104),-0.5,0))</f>
        <v/>
      </c>
      <c r="T45" s="145" t="n">
        <v>6</v>
      </c>
      <c r="U45" s="146" t="n">
        <v>8</v>
      </c>
      <c r="V45" s="146" t="n">
        <v>4</v>
      </c>
      <c r="W45" s="146" t="inlineStr">
        <is>
          <t>F</t>
        </is>
      </c>
      <c r="X45" s="602">
        <f>SUM(IF(T45=T$5,4,0),IF(T45&amp;U45=T$5&amp;U$5,1,0),
IF(AND(T45=T$5,U$6&gt;=$D$115),1,0),
IF(AND(U45=T$5,U$6&gt;=$D$115),1,0),
IF(AND(V45=T$5,U$6&gt;=$D$115),1,0),
IF(T45&amp;W45=X$5,1,0),
IF(U45=T$5,2,0),
IF(V45=T$5,1,0),
IF(OR(T45&amp;U45&amp;V45=T$5&amp;U$5&amp;V$5,T45&amp;U45&amp;V45=T$5&amp;V$5&amp;U$5,T45&amp;U45&amp;V45=U$5&amp;T$5&amp;V$5,T45&amp;U45&amp;V45=U$5&amp;V$5&amp;T$5,T45&amp;U45&amp;V45=V$5&amp;T$5&amp;U$5,T45&amp;U45&amp;V45=V$5&amp;U$5&amp;T$5),2,0),IF(AND(T45=T$5,U$6&gt;=$D$129),1,0),IF(AND(U45=T$5,U$6&gt;=$D$129),1,0),IF(AND(V45=T$5,U$6&gt;=$D$129),1,0),IF(T45&amp;W45=W$5,4,0),IF(AND(T45=T$5,U$6&lt;=$D$104),-0.5,0),IF(AND(U45=T$5,U$6&lt;=$D$104),-0.5,0),IF(AND(V45=T$5,U$6&lt;=$D$104),-0.5,0))</f>
        <v/>
      </c>
      <c r="Y45" s="145" t="n">
        <v>5</v>
      </c>
      <c r="Z45" s="146" t="n"/>
      <c r="AA45" s="146" t="n"/>
      <c r="AB45" s="146" t="inlineStr">
        <is>
          <t>SF</t>
        </is>
      </c>
      <c r="AC45" s="602">
        <f>SUM(IF(Y45=Y$5,4,0),IF(Y45&amp;Z45=Y$5&amp;Z$5,1,0),
IF(AND(Y45=Y$5,Z$6&gt;=$D$115),1,0),
IF(AND(Z45=Y$5,Z$6&gt;=$D$115),1,0),
IF(AND(AA45=Y$5,Z$6&gt;=$D$115),1,0),
IF(Y45&amp;AB45=AC$5,1,0),
IF(Z45=Y$5,2,0),
IF(AA45=Y$5,1,0),
IF(OR(Y45&amp;Z45&amp;AA45=Y$5&amp;Z$5&amp;AA$5,Y45&amp;Z45&amp;AA45=Y$5&amp;AA$5&amp;Z$5,Y45&amp;Z45&amp;AA45=Z$5&amp;Y$5&amp;AA$5,Y45&amp;Z45&amp;AA45=Z$5&amp;AA$5&amp;Y$5,Y45&amp;Z45&amp;AA45=AA$5&amp;Y$5&amp;Z$5,Y45&amp;Z45&amp;AA45=AA$5&amp;Z$5&amp;Y$5),2,0),IF(AND(Y45=Y$5,Z$6&gt;=$D$129),1,0),IF(AND(Z45=Y$5,Z$6&gt;=$D$129),1,0),IF(AND(AA45=Y$5,Z$6&gt;=$D$129),1,0),IF(Y45&amp;AB45=AB$5,4,0),IF(AND(Y45=Y$5,Z$6&lt;=$D$104),-0.5,0),IF(AND(Z45=Y$5,Z$6&lt;=$D$104),-0.5,0),IF(AND(AA45=Y$5,Z$6&lt;=$D$104),-0.5,0))</f>
        <v/>
      </c>
      <c r="AD45" s="145" t="n">
        <v>7</v>
      </c>
      <c r="AE45" s="146" t="n">
        <v>5</v>
      </c>
      <c r="AF45" s="146" t="n">
        <v>2</v>
      </c>
      <c r="AG45" s="146" t="n"/>
      <c r="AH45" s="602">
        <f>SUM(IF(AD45=AD$5,4,0),IF(AD45&amp;AE45=AD$5&amp;AE$5,1,0),
IF(AND(AD45=AD$5,AE$6&gt;=$D$115),1,0),
IF(AND(AE45=AD$5,AE$6&gt;=$D$115),1,0),
IF(AND(AF45=AD$5,AE$6&gt;=$D$115),1,0),
IF(AD45&amp;AG45=AH$5,1,0),
IF(AE45=AD$5,2,0),
IF(AF45=AD$5,1,0),
IF(OR(AD45&amp;AE45&amp;AF45=AD$5&amp;AE$5&amp;AF$5,AD45&amp;AE45&amp;AF45=AD$5&amp;AF$5&amp;AE$5,AD45&amp;AE45&amp;AF45=AE$5&amp;AD$5&amp;AF$5,AD45&amp;AE45&amp;AF45=AE$5&amp;AF$5&amp;AD$5,AD45&amp;AE45&amp;AF45=AF$5&amp;AD$5&amp;AE$5,AD45&amp;AE45&amp;AF45=AF$5&amp;AE$5&amp;AD$5),2,0),IF(AND(AD45=AD$5,AE$6&gt;=$D$129),1,0),IF(AND(AE45=AD$5,AE$6&gt;=$D$129),1,0),IF(AND(AF45=AD$5,AE$6&gt;=$D$129),1,0),IF(AD45&amp;AG45=AG$5,4,0),IF(AND(AD45=AD$5,AE$6&lt;=$D$104),-0.5,0),IF(AND(AE45=AD$5,AE$6&lt;=$D$104),-0.5,0),IF(AND(AF45=AD$5,AE$6&lt;=$D$104),-0.5,0))</f>
        <v/>
      </c>
      <c r="AI45" s="145" t="n">
        <v>4</v>
      </c>
      <c r="AJ45" s="146" t="n">
        <v>3</v>
      </c>
      <c r="AK45" s="146" t="n">
        <v>7</v>
      </c>
      <c r="AL45" s="146" t="n"/>
      <c r="AM45" s="602">
        <f>SUM(IF(AI45=AI$5,4,0),IF(AI45&amp;AJ45=AI$5&amp;AJ$5,1,0),
IF(AND(AI45=AI$5,AJ$6&gt;=$D$115),1,0),
IF(AND(AJ45=AI$5,AJ$6&gt;=$D$115),1,0),
IF(AND(AK45=AI$5,AJ$6&gt;=$D$115),1,0),
IF(AI45&amp;AL45=AM$5,1,0),
IF(AJ45=AI$5,2,0),
IF(AK45=AI$5,1,0),
IF(OR(AI45&amp;AJ45&amp;AK45=AI$5&amp;AJ$5&amp;AK$5,AI45&amp;AJ45&amp;AK45=AI$5&amp;AK$5&amp;AJ$5,AI45&amp;AJ45&amp;AK45=AJ$5&amp;AI$5&amp;AK$5,AI45&amp;AJ45&amp;AK45=AJ$5&amp;AK$5&amp;AI$5,AI45&amp;AJ45&amp;AK45=AK$5&amp;AI$5&amp;AJ$5,AI45&amp;AJ45&amp;AK45=AK$5&amp;AJ$5&amp;AI$5),2,0),IF(AND(AI45=AI$5,AJ$6&gt;=$D$129),1,0),IF(AND(AJ45=AI$5,AJ$6&gt;=$D$129),1,0),IF(AND(AK45=AI$5,AJ$6&gt;=$D$129),1,0),IF(AI45&amp;AL45=AL$5,4,0),IF(AND(AI45=AI$5,AJ$6&lt;=$D$104),-0.5,0),IF(AND(AJ45=AI$5,AJ$6&lt;=$D$104),-0.5,0),IF(AND(AK45=AI$5,AJ$6&lt;=$D$104),-0.5,0))</f>
        <v/>
      </c>
      <c r="AN45" s="145" t="n">
        <v>8</v>
      </c>
      <c r="AO45" s="146" t="n">
        <v>9</v>
      </c>
      <c r="AP45" s="146" t="n">
        <v>11</v>
      </c>
      <c r="AQ45" s="146" t="inlineStr">
        <is>
          <t>F</t>
        </is>
      </c>
      <c r="AR45" s="602">
        <f>SUM(IF(AN45=AN$5,4,0),IF(AN45&amp;AO45=AN$5&amp;AO$5,1,0),
IF(AND(AN45=AN$5,AO$6&gt;=$D$115),1,0),
IF(AND(AO45=AN$5,AO$6&gt;=$D$115),1,0),
IF(AND(AP45=AN$5,AO$6&gt;=$D$115),1,0),
IF(AN45&amp;AQ45=AR$5,1,0),
IF(AO45=AN$5,2,0),
IF(AP45=AN$5,1,0),
IF(OR(AN45&amp;AO45&amp;AP45=AN$5&amp;AO$5&amp;AP$5,AN45&amp;AO45&amp;AP45=AN$5&amp;AP$5&amp;AO$5,AN45&amp;AO45&amp;AP45=AO$5&amp;AN$5&amp;AP$5,AN45&amp;AO45&amp;AP45=AO$5&amp;AP$5&amp;AN$5,AN45&amp;AO45&amp;AP45=AP$5&amp;AN$5&amp;AO$5,AN45&amp;AO45&amp;AP45=AP$5&amp;AO$5&amp;AN$5),2,0),IF(AND(AN45=AN$5,AO$6&gt;=$D$129),1,0),IF(AND(AO45=AN$5,AO$6&gt;=$D$129),1,0),IF(AND(AP45=AN$5,AO$6&gt;=$D$129),1,0),IF(AN45&amp;AQ45=AQ$5,4,0),IF(AND(AN45=AN$5,AO$6&lt;=$D$104),-0.5,0),IF(AND(AO45=AN$5,AO$6&lt;=$D$104),-0.5,0),IF(AND(AP45=AN$5,AO$6&lt;=$D$104),-0.5,0))</f>
        <v/>
      </c>
      <c r="AS45" s="145" t="n">
        <v>7</v>
      </c>
      <c r="AT45" s="146" t="n">
        <v>1</v>
      </c>
      <c r="AU45" s="146" t="n">
        <v>2</v>
      </c>
      <c r="AV45" s="146" t="n"/>
      <c r="AW45" s="602">
        <f>SUM(IF(AS45=AS$5,4,0),IF(AS45&amp;AT45=AS$5&amp;AT$5,1,0),
IF(AND(AS45=AS$5,AT$6&gt;=$D$115),1,0),
IF(AND(AT45=AS$5,AT$6&gt;=$D$115),1,0),
IF(AND(AU45=AS$5,AT$6&gt;=$D$115),1,0),
IF(AS45&amp;AV45=AW$5,1,0),
IF(AT45=AS$5,2,0),
IF(AU45=AS$5,1,0),
IF(OR(AS45&amp;AT45&amp;AU45=AS$5&amp;AT$5&amp;AU$5,AS45&amp;AT45&amp;AU45=AS$5&amp;AU$5&amp;AT$5,AS45&amp;AT45&amp;AU45=AT$5&amp;AS$5&amp;AU$5,AS45&amp;AT45&amp;AU45=AT$5&amp;AU$5&amp;AS$5,AS45&amp;AT45&amp;AU45=AU$5&amp;AS$5&amp;AT$5,AS45&amp;AT45&amp;AU45=AU$5&amp;AT$5&amp;AS$5),2,0),IF(AND(AS45=AS$5,AT$6&gt;=$D$129),1,0),IF(AND(AT45=AS$5,AT$6&gt;=$D$129),1,0),IF(AND(AU45=AS$5,AT$6&gt;=$D$129),1,0),IF(AS45&amp;AV45=AV$5,4,0),IF(AND(AS45=AS$5,AT$6&lt;=$D$104),-0.5,0),IF(AND(AT45=AS$5,AT$6&lt;=$D$104),-0.5,0),IF(AND(AU45=AS$5,AT$6&lt;=$D$104),-0.5,0))</f>
        <v/>
      </c>
      <c r="AX45" s="145" t="n">
        <v>1</v>
      </c>
      <c r="AY45" s="146" t="n">
        <v>9</v>
      </c>
      <c r="AZ45" s="146" t="n">
        <v>8</v>
      </c>
      <c r="BA45" s="146" t="n"/>
      <c r="BB45" s="602">
        <f>SUM(IF(AX45=AX$5,4,0),IF(AX45&amp;AY45=AX$5&amp;AY$5,1,0),
IF(AND(AX45=AX$5,AY$6&gt;=$D$115),1,0),
IF(AND(AY45=AX$5,AY$6&gt;=$D$115),1,0),
IF(AND(AZ45=AX$5,AY$6&gt;=$D$115),1,0),
IF(AX45&amp;BA45=BB$5,1,0),
IF(AY45=AX$5,2,0),
IF(AZ45=AX$5,1,0),
IF(OR(AX45&amp;AY45&amp;AZ45=AX$5&amp;AY$5&amp;AZ$5,AX45&amp;AY45&amp;AZ45=AX$5&amp;AZ$5&amp;AY$5,AX45&amp;AY45&amp;AZ45=AY$5&amp;AX$5&amp;AZ$5,AX45&amp;AY45&amp;AZ45=AY$5&amp;AZ$5&amp;AX$5,AX45&amp;AY45&amp;AZ45=AZ$5&amp;AX$5&amp;AY$5,AX45&amp;AY45&amp;AZ45=AZ$5&amp;AY$5&amp;AX$5),2,0),IF(AND(AX45=AX$5,AY$6&gt;=$D$129),1,0),IF(AND(AY45=AX$5,AY$6&gt;=$D$129),1,0),IF(AND(AZ45=AX$5,AY$6&gt;=$D$129),1,0),IF(AX45&amp;BA45=BA$5,4,0),IF(AND(AX45=AX$5,AY$6&lt;=$D$104),-0.5,0),IF(AND(AY45=AX$5,AY$6&lt;=$D$104),-0.5,0),IF(AND(AZ45=AX$5,AY$6&lt;=$D$104),-0.5,0))</f>
        <v/>
      </c>
      <c r="BC45" s="145" t="n">
        <v>4</v>
      </c>
      <c r="BD45" s="146" t="n">
        <v>3</v>
      </c>
      <c r="BE45" s="146" t="n">
        <v>2</v>
      </c>
      <c r="BF45" s="146" t="n"/>
      <c r="BG45" s="602">
        <f>SUM(IF(BC45=BC$5,4,0),IF(BC45&amp;BD45=BC$5&amp;BD$5,1,0),
IF(AND(BC45=BC$5,BD$6&gt;=$D$115),1,0),
IF(AND(BD45=BC$5,BD$6&gt;=$D$115),1,0),
IF(AND(BE45=BC$5,BD$6&gt;=$D$115),1,0),
IF(BC45&amp;BF45=BG$5,1,0),
IF(BD45=BC$5,2,0),
IF(BE45=BC$5,1,0),
IF(OR(BC45&amp;BD45&amp;BE45=BC$5&amp;BD$5&amp;BE$5,BC45&amp;BD45&amp;BE45=BC$5&amp;BE$5&amp;BD$5,BC45&amp;BD45&amp;BE45=BD$5&amp;BC$5&amp;BE$5,BC45&amp;BD45&amp;BE45=BD$5&amp;BE$5&amp;BC$5,BC45&amp;BD45&amp;BE45=BE$5&amp;BC$5&amp;BD$5,BC45&amp;BD45&amp;BE45=BE$5&amp;BD$5&amp;BC$5),2,0),IF(AND(BC45=BC$5,BD$6&gt;=$D$129),1,0),IF(AND(BD45=BC$5,BD$6&gt;=$D$129),1,0),IF(AND(BE45=BC$5,BD$6&gt;=$D$129),1,0),IF(BC45&amp;BF45=BF$5,4,0),IF(AND(BC45=BC$5,BD$6&lt;=$D$104),-0.5,0),IF(AND(BD45=BC$5,BD$6&lt;=$D$104),-0.5,0),IF(AND(BE45=BC$5,BD$6&lt;=$D$104),-0.5,0))</f>
        <v/>
      </c>
      <c r="BH45" s="145" t="n">
        <v>5</v>
      </c>
      <c r="BI45" s="146" t="n">
        <v>1</v>
      </c>
      <c r="BJ45" s="146" t="n">
        <v>6</v>
      </c>
      <c r="BK45" s="146" t="n"/>
      <c r="BL45" s="602">
        <f>SUM(IF(BH45=BH$5,4,0),IF(BH45&amp;BI45=BH$5&amp;BI$5,1,0),
IF(AND(BH45=BH$5,BI$6&gt;=$D$115),1,0),
IF(AND(BI45=BH$5,BI$6&gt;=$D$115),1,0),
IF(AND(BJ45=BH$5,BI$6&gt;=$D$115),1,0),
IF(BH45&amp;BK45=BL$5,1,0),
IF(BI45=BH$5,2,0),
IF(BJ45=BH$5,1,0),
IF(OR(BH45&amp;BI45&amp;BJ45=BH$5&amp;BI$5&amp;BJ$5,BH45&amp;BI45&amp;BJ45=BH$5&amp;BJ$5&amp;BI$5,BH45&amp;BI45&amp;BJ45=BI$5&amp;BH$5&amp;BJ$5,BH45&amp;BI45&amp;BJ45=BI$5&amp;BJ$5&amp;BH$5,BH45&amp;BI45&amp;BJ45=BJ$5&amp;BH$5&amp;BI$5,BH45&amp;BI45&amp;BJ45=BJ$5&amp;BI$5&amp;BH$5),2,0),IF(AND(BH45=BH$5,BI$6&gt;=$D$129),1,0),IF(AND(BI45=BH$5,BI$6&gt;=$D$129),1,0),IF(AND(BJ45=BH$5,BI$6&gt;=$D$129),1,0),IF(BH45&amp;BK45=BK$5,4,0),IF(AND(BH45=BH$5,BI$6&lt;=$D$104),-0.5,0),IF(AND(BI45=BH$5,BI$6&lt;=$D$104),-0.5,0),IF(AND(BJ45=BH$5,BI$6&lt;=$D$104),-0.5,0))</f>
        <v/>
      </c>
      <c r="BM45" s="145" t="n">
        <v>12</v>
      </c>
      <c r="BN45" s="146" t="n">
        <v>3</v>
      </c>
      <c r="BO45" s="146" t="n">
        <v>9</v>
      </c>
      <c r="BP45" s="146" t="n"/>
      <c r="BQ45" s="602">
        <f>SUM(IF(BM45=BM$5,4,0),IF(BM45&amp;BN45=BM$5&amp;BN$5,1,0),
IF(AND(BM45=BM$5,BN$6&gt;=$D$115),1,0),
IF(AND(BN45=BM$5,BN$6&gt;=$D$115),1,0),
IF(AND(BO45=BM$5,BN$6&gt;=$D$115),1,0),
IF(BM45&amp;BP45=BQ$5,1,0),
IF(BN45=BM$5,2,0),
IF(BO45=BM$5,1,0),
IF(OR(BM45&amp;BN45&amp;BO45=BM$5&amp;BN$5&amp;BO$5,BM45&amp;BN45&amp;BO45=BM$5&amp;BO$5&amp;BN$5,BM45&amp;BN45&amp;BO45=BN$5&amp;BM$5&amp;BO$5,BM45&amp;BN45&amp;BO45=BN$5&amp;BO$5&amp;BM$5,BM45&amp;BN45&amp;BO45=BO$5&amp;BM$5&amp;BN$5,BM45&amp;BN45&amp;BO45=BO$5&amp;BN$5&amp;BM$5),2,0),IF(AND(BM45=BM$5,BN$6&gt;=$D$129),1,0),IF(AND(BN45=BM$5,BN$6&gt;=$D$129),1,0),IF(AND(BO45=BM$5,BN$6&gt;=$D$129),1,0),IF(BM45&amp;BP45=BP$5,4,0),IF(AND(BM45=BM$5,BN$6&lt;=$D$104),-0.5,0),IF(AND(BN45=BM$5,BN$6&lt;=$D$104),-0.5,0),IF(AND(BO45=BM$5,BN$6&lt;=$D$104),-0.5,0))</f>
        <v/>
      </c>
      <c r="BR45" s="145" t="n"/>
      <c r="BS45" s="146" t="n"/>
      <c r="BT45" s="146" t="n"/>
      <c r="BU45" s="146" t="n"/>
      <c r="BV45" s="602">
        <f>SUM(IF(BR45=BR$5,4,0),IF(BR45&amp;BS45=BR$5&amp;BS$5,1,0),
IF(AND(BR45=BR$5,BS$6&gt;=$D$115),1,0),
IF(AND(BS45=BR$5,BS$6&gt;=$D$115),1,0),
IF(AND(BT45=BR$5,BS$6&gt;=$D$115),1,0),
IF(BR45&amp;BU45=BV$5,1,0),
IF(BS45=BR$5,2,0),
IF(BT45=BR$5,1,0),
IF(OR(BR45&amp;BS45&amp;BT45=BR$5&amp;BS$5&amp;BT$5,BR45&amp;BS45&amp;BT45=BR$5&amp;BT$5&amp;BS$5,BR45&amp;BS45&amp;BT45=BS$5&amp;BR$5&amp;BT$5,BR45&amp;BS45&amp;BT45=BS$5&amp;BT$5&amp;BR$5,BR45&amp;BS45&amp;BT45=BT$5&amp;BR$5&amp;BS$5,BR45&amp;BS45&amp;BT45=BT$5&amp;BS$5&amp;BR$5),2,0),IF(AND(BR45=BR$5,BS$6&gt;=$D$129),1,0),IF(AND(BS45=BR$5,BS$6&gt;=$D$129),1,0),IF(AND(BT45=BR$5,BS$6&gt;=$D$129),1,0),IF(BR45&amp;BU45=BU$5,4,0),IF(AND(BR45=BR$5,BS$6&lt;=$D$104),-0.5,0),IF(AND(BS45=BR$5,BS$6&lt;=$D$104),-0.5,0),IF(AND(BT45=BR$5,BS$6&lt;=$D$104),-0.5,0))</f>
        <v/>
      </c>
      <c r="BW45" s="145" t="n"/>
      <c r="BX45" s="146" t="n"/>
      <c r="BY45" s="146" t="n"/>
      <c r="BZ45" s="146" t="n"/>
      <c r="CA45" s="602">
        <f>SUM(IF(BW45=BW$5,4,0),IF(BW45&amp;BX45=BW$5&amp;BX$5,1,0),
IF(AND(BW45=BW$5,BX$6&gt;=$D$115),1,0),
IF(AND(BX45=BW$5,BX$6&gt;=$D$115),1,0),
IF(AND(BY45=BW$5,BX$6&gt;=$D$115),1,0),
IF(BW45&amp;BZ45=CA$5,1,0),
IF(BX45=BW$5,2,0),
IF(BY45=BW$5,1,0),
IF(OR(BW45&amp;BX45&amp;BY45=BW$5&amp;BX$5&amp;BY$5,BW45&amp;BX45&amp;BY45=BW$5&amp;BY$5&amp;BX$5,BW45&amp;BX45&amp;BY45=BX$5&amp;BW$5&amp;BY$5,BW45&amp;BX45&amp;BY45=BX$5&amp;BY$5&amp;BW$5,BW45&amp;BX45&amp;BY45=BY$5&amp;BW$5&amp;BX$5,BW45&amp;BX45&amp;BY45=BY$5&amp;BX$5&amp;BW$5),2,0),IF(AND(BW45=BW$5,BX$6&gt;=$D$129),1,0),IF(AND(BX45=BW$5,BX$6&gt;=$D$129),1,0),IF(AND(BY45=BW$5,BX$6&gt;=$D$129),1,0),IF(BW45&amp;BZ45=BZ$5,4,0),IF(AND(BW45=BW$5,BX$6&lt;=$D$104),-0.5,0),IF(AND(BX45=BW$5,BX$6&lt;=$D$104),-0.5,0),IF(AND(BY45=BW$5,BX$6&lt;=$D$104),-0.5,0))</f>
        <v/>
      </c>
      <c r="CB45" s="145" t="n"/>
      <c r="CC45" s="146" t="n"/>
      <c r="CD45" s="146" t="n"/>
      <c r="CE45" s="146" t="n"/>
      <c r="CF45" s="602">
        <f>SUM(IF(CB45=CB$5,4,0),IF(CB45&amp;CC45=CB$5&amp;CC$5,1,0),
IF(AND(CB45=CB$5,CC$6&gt;=$D$115),1,0),
IF(AND(CC45=CB$5,CC$6&gt;=$D$115),1,0),
IF(AND(CD45=CB$5,CC$6&gt;=$D$115),1,0),
IF(CB45&amp;CE45=CF$5,1,0),
IF(CC45=CB$5,2,0),
IF(CD45=CB$5,1,0),
IF(OR(CB45&amp;CC45&amp;CD45=CB$5&amp;CC$5&amp;CD$5,CB45&amp;CC45&amp;CD45=CB$5&amp;CD$5&amp;CC$5,CB45&amp;CC45&amp;CD45=CC$5&amp;CB$5&amp;CD$5,CB45&amp;CC45&amp;CD45=CC$5&amp;CD$5&amp;CB$5,CB45&amp;CC45&amp;CD45=CD$5&amp;CB$5&amp;CC$5,CB45&amp;CC45&amp;CD45=CD$5&amp;CC$5&amp;CB$5),2,0),IF(AND(CB45=CB$5,CC$6&gt;=$D$129),1,0),IF(AND(CC45=CB$5,CC$6&gt;=$D$129),1,0),IF(AND(CD45=CB$5,CC$6&gt;=$D$129),1,0),IF(CB45&amp;CE45=CE$5,4,0),IF(AND(CB45=CB$5,CC$6&lt;=$D$104),-0.5,0),IF(AND(CC45=CB$5,CC$6&lt;=$D$104),-0.5,0),IF(AND(CD45=CB$5,CC$6&lt;=$D$104),-0.5,0))</f>
        <v/>
      </c>
      <c r="CG45" s="164">
        <f>IF(BASE01[[#This Row],[1]]="",0,$B$4)</f>
        <v/>
      </c>
      <c r="CH45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5" s="166">
        <f>IF(BASE01[[#This Row],[Columna14]]=0,0,(CH45/CG45))</f>
        <v/>
      </c>
      <c r="CJ45" s="165">
        <f>IF(BASE01[[#This Row],[1]]="",0,$B$4)</f>
        <v/>
      </c>
      <c r="CK45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5" s="166">
        <f>IF(BASE01[[#This Row],[Columna14]]=0,0,(CK45/CJ45))</f>
        <v/>
      </c>
      <c r="CM45" s="164">
        <f>IF(BASE01[[#This Row],[1]]="",0,$B$4)</f>
        <v/>
      </c>
      <c r="CN45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5" s="166">
        <f>IF(BASE01[[#This Row],[Columna14]]=0,0,(CN45/CM45))</f>
        <v/>
      </c>
      <c r="CP45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5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Row],[Columna25]],$AX$5,BA45,"SF")+COUNTIFS(BASE01[[#This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5" s="166">
        <f>IF(BASE01[[#This Row],[Columna14]]=0,0,(CQ45/CP45))</f>
        <v/>
      </c>
      <c r="CS45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5" s="95" t="n"/>
      <c r="CU45" s="604">
        <f>SUM(CS45,CT45)</f>
        <v/>
      </c>
      <c r="CV45" s="96">
        <f>IF(BASE01[[#This Row],[TIPO]]="PREMIO",$O$3,"0,00")</f>
        <v/>
      </c>
      <c r="CW45" s="576" t="n"/>
      <c r="CY45" s="606">
        <f>IF(CZ45="","",$CZ$25)</f>
        <v/>
      </c>
      <c r="CZ45" s="392" t="n"/>
      <c r="DA45" s="392">
        <f t="array" ref="DA45">IF(CZ45="", "", IF((INDEX(E$8:CE$57, MATCH(CZ45, C$8:C$57, 0), ($CZ$25-1)*5 + 1) &amp; "") = (INDEX(E$5:CE$5, 1, ($CZ$25-1)*5 + 1) &amp; ""), 1, IF((INDEX(E$8:CE$57, MATCH(CZ45, C$8:C$57, 0), ($CZ$25-1)*5 + 2) &amp; "") = (INDEX(E$5:CE$5, 1, ($CZ$25-1)*5 + 1) &amp; ""), 2, IF((INDEX(E$8:CE$57, MATCH(CZ45, C$8:C$57, 0), ($CZ$25-1)*5 + 3) &amp; "") = (INDEX(E$5:CE$5, 1, ($CZ$25-1)*5 + 1) &amp; ""), 3, ""))))</f>
        <v/>
      </c>
      <c r="DB45" s="605">
        <f>BASE01[[#This Row],[COD]]</f>
        <v/>
      </c>
      <c r="DC45" s="395">
        <f t="array" ref="DC45">IFERROR(IF(AND(INDEX($E$8:$CE$57, MATCH($C45, $C$8:$C$57, 0), (COLUMNS($DC45:DC45)-1)*5 + 1) = INDEX($E$5:$CE$5, 1, (COLUMNS($DC45:DC45)-1)*5 + 1), INDEX($E$8:$CE$57, MATCH($C45, $C$8:$C$57, 0), (COLUMNS($DC45:DC45)-1)*5 + 4) = "F"), INDEX($CZ$8:$CZ$23, COLUMNS($DC45:DC45)), "0"), "")</f>
        <v/>
      </c>
      <c r="DD45" s="395">
        <f t="array" ref="DD45">IFERROR(IF(AND(INDEX($E$8:$CE$57, MATCH($C45, $C$8:$C$57, 0), (COLUMNS($DC45:DD45)-1)*5 + 1) = INDEX($E$5:$CE$5, 1, (COLUMNS($DC45:DD45)-1)*5 + 1), INDEX($E$8:$CE$57, MATCH($C45, $C$8:$C$57, 0), (COLUMNS($DC45:DD45)-1)*5 + 4) = "F"), INDEX($CZ$8:$CZ$23, COLUMNS($DC45:DD45)), "0"), "")</f>
        <v/>
      </c>
      <c r="DE45" s="395">
        <f t="array" ref="DE45">IFERROR(IF(AND(INDEX($E$8:$CE$57, MATCH($C45, $C$8:$C$57, 0), (COLUMNS($DC45:DE45)-1)*5 + 1) = INDEX($E$5:$CE$5, 1, (COLUMNS($DC45:DE45)-1)*5 + 1), INDEX($E$8:$CE$57, MATCH($C45, $C$8:$C$57, 0), (COLUMNS($DC45:DE45)-1)*5 + 4) = "F"), INDEX($CZ$8:$CZ$23, COLUMNS($DC45:DE45)), "0"), "")</f>
        <v/>
      </c>
      <c r="DF45" s="395">
        <f t="array" ref="DF45">IFERROR(IF(AND(INDEX($E$8:$CE$57, MATCH($C45, $C$8:$C$57, 0), (COLUMNS($DC45:DF45)-1)*5 + 1) = INDEX($E$5:$CE$5, 1, (COLUMNS($DC45:DF45)-1)*5 + 1), INDEX($E$8:$CE$57, MATCH($C45, $C$8:$C$57, 0), (COLUMNS($DC45:DF45)-1)*5 + 4) = "F"), INDEX($CZ$8:$CZ$23, COLUMNS($DC45:DF45)), "0"), "")</f>
        <v/>
      </c>
      <c r="DG45" s="395">
        <f t="array" ref="DG45">IFERROR(IF(AND(INDEX($E$8:$CE$57, MATCH($C45, $C$8:$C$57, 0), (COLUMNS($DC45:DG45)-1)*5 + 1) = INDEX($E$5:$CE$5, 1, (COLUMNS($DC45:DG45)-1)*5 + 1), INDEX($E$8:$CE$57, MATCH($C45, $C$8:$C$57, 0), (COLUMNS($DC45:DG45)-1)*5 + 4) = "F"), INDEX($CZ$8:$CZ$23, COLUMNS($DC45:DG45)), "0"), "")</f>
        <v/>
      </c>
      <c r="DH45" s="395">
        <f t="array" ref="DH45">IFERROR(IF(AND(INDEX($E$8:$CE$57, MATCH($C45, $C$8:$C$57, 0), (COLUMNS($DC45:DH45)-1)*5 + 1) = INDEX($E$5:$CE$5, 1, (COLUMNS($DC45:DH45)-1)*5 + 1), INDEX($E$8:$CE$57, MATCH($C45, $C$8:$C$57, 0), (COLUMNS($DC45:DH45)-1)*5 + 4) = "F"), INDEX($CZ$8:$CZ$23, COLUMNS($DC45:DH45)), "0"), "")</f>
        <v/>
      </c>
      <c r="DI45" s="395">
        <f t="array" ref="DI45">IFERROR(IF(AND(INDEX($E$8:$CE$57, MATCH($C45, $C$8:$C$57, 0), (COLUMNS($DC45:DI45)-1)*5 + 1) = INDEX($E$5:$CE$5, 1, (COLUMNS($DC45:DI45)-1)*5 + 1), INDEX($E$8:$CE$57, MATCH($C45, $C$8:$C$57, 0), (COLUMNS($DC45:DI45)-1)*5 + 4) = "F"), INDEX($CZ$8:$CZ$23, COLUMNS($DC45:DI45)), "0"), "")</f>
        <v/>
      </c>
      <c r="DJ45" s="395">
        <f t="array" ref="DJ45">IFERROR(IF(AND(INDEX($E$8:$CE$57, MATCH($C45, $C$8:$C$57, 0), (COLUMNS($DC45:DJ45)-1)*5 + 1) = INDEX($E$5:$CE$5, 1, (COLUMNS($DC45:DJ45)-1)*5 + 1), INDEX($E$8:$CE$57, MATCH($C45, $C$8:$C$57, 0), (COLUMNS($DC45:DJ45)-1)*5 + 4) = "F"), INDEX($CZ$8:$CZ$23, COLUMNS($DC45:DJ45)), "0"), "")</f>
        <v/>
      </c>
      <c r="DK45" s="395">
        <f t="array" ref="DK45">IFERROR(IF(AND(INDEX($E$8:$CE$57, MATCH($C45, $C$8:$C$57, 0), (COLUMNS($DC45:DK45)-1)*5 + 1) = INDEX($E$5:$CE$5, 1, (COLUMNS($DC45:DK45)-1)*5 + 1), INDEX($E$8:$CE$57, MATCH($C45, $C$8:$C$57, 0), (COLUMNS($DC45:DK45)-1)*5 + 4) = "F"), INDEX($CZ$8:$CZ$23, COLUMNS($DC45:DK45)), "0"), "")</f>
        <v/>
      </c>
      <c r="DL45" s="395">
        <f t="array" ref="DL45">IFERROR(IF(AND(INDEX($E$8:$CE$57, MATCH($C45, $C$8:$C$57, 0), (COLUMNS($DC45:DL45)-1)*5 + 1) = INDEX($E$5:$CE$5, 1, (COLUMNS($DC45:DL45)-1)*5 + 1), INDEX($E$8:$CE$57, MATCH($C45, $C$8:$C$57, 0), (COLUMNS($DC45:DL45)-1)*5 + 4) = "F"), INDEX($CZ$8:$CZ$23, COLUMNS($DC45:DL45)), "0"), "")</f>
        <v/>
      </c>
      <c r="DM45" s="395">
        <f t="array" ref="DM45">IFERROR(IF(AND(INDEX($E$8:$CE$57, MATCH($C45, $C$8:$C$57, 0), (COLUMNS($DC45:DM45)-1)*5 + 1) = INDEX($E$5:$CE$5, 1, (COLUMNS($DC45:DM45)-1)*5 + 1), INDEX($E$8:$CE$57, MATCH($C45, $C$8:$C$57, 0), (COLUMNS($DC45:DM45)-1)*5 + 4) = "F"), INDEX($CZ$8:$CZ$23, COLUMNS($DC45:DM45)), "0"), "")</f>
        <v/>
      </c>
      <c r="DN45" s="395">
        <f t="array" ref="DN45">IFERROR(IF(AND(INDEX($E$8:$CE$57, MATCH($C45, $C$8:$C$57, 0), (COLUMNS($DC45:DN45)-1)*5 + 1) = INDEX($E$5:$CE$5, 1, (COLUMNS($DC45:DN45)-1)*5 + 1), INDEX($E$8:$CE$57, MATCH($C45, $C$8:$C$57, 0), (COLUMNS($DC45:DN45)-1)*5 + 4) = "F"), INDEX($CZ$8:$CZ$23, COLUMNS($DC45:DN45)), "0"), "")</f>
        <v/>
      </c>
      <c r="DO45" s="395">
        <f t="array" ref="DO45">IFERROR(IF(AND(INDEX($E$8:$CE$57, MATCH($C45, $C$8:$C$57, 0), (COLUMNS($DC45:DO45)-1)*5 + 1) = INDEX($E$5:$CE$5, 1, (COLUMNS($DC45:DO45)-1)*5 + 1), INDEX($E$8:$CE$57, MATCH($C45, $C$8:$C$57, 0), (COLUMNS($DC45:DO45)-1)*5 + 4) = "F"), INDEX($CZ$8:$CZ$23, COLUMNS($DC45:DO45)), "0"), "")</f>
        <v/>
      </c>
      <c r="DP45" s="395">
        <f t="array" ref="DP45">IFERROR(IF(AND(INDEX($E$8:$CE$57, MATCH($C45, $C$8:$C$57, 0), (COLUMNS($DC45:DP45)-1)*5 + 1) = INDEX($E$5:$CE$5, 1, (COLUMNS($DC45:DP45)-1)*5 + 1), INDEX($E$8:$CE$57, MATCH($C45, $C$8:$C$57, 0), (COLUMNS($DC45:DP45)-1)*5 + 4) = "F"), INDEX($CZ$8:$CZ$23, COLUMNS($DC45:DP45)), "0"), "")</f>
        <v/>
      </c>
      <c r="DQ45" s="395">
        <f t="array" ref="DQ45">IFERROR(IF(AND(INDEX($E$8:$CE$57, MATCH($C45, $C$8:$C$57, 0), (COLUMNS($DC45:DQ45)-1)*5 + 1) = INDEX($E$5:$CE$5, 1, (COLUMNS($DC45:DQ45)-1)*5 + 1), INDEX($E$8:$CE$57, MATCH($C45, $C$8:$C$57, 0), (COLUMNS($DC45:DQ45)-1)*5 + 4) = "F"), INDEX($CZ$8:$CZ$23, COLUMNS($DC45:DQ45)), "0"), "")</f>
        <v/>
      </c>
      <c r="DR45" s="395">
        <f t="array" ref="DR45">IFERROR(IF(AND(INDEX($E$8:$CE$57, MATCH($C45, $C$8:$C$57, 0), (COLUMNS($DC45:DR45)-1)*5 + 1) = INDEX($E$5:$CE$5, 1, (COLUMNS($DC45:DR45)-1)*5 + 1), INDEX($E$8:$CE$57, MATCH($C45, $C$8:$C$57, 0), (COLUMNS($DC45:DR45)-1)*5 + 4) = "F"), INDEX($CZ$8:$CZ$23, COLUMNS($DC45:DR45)), "0"), "")</f>
        <v/>
      </c>
      <c r="DT45" s="605">
        <f>BASE01[[#This Row],[COD]]</f>
        <v/>
      </c>
      <c r="DU45" s="395">
        <f t="array" ref="DU45">IFERROR(IF(AND(INDEX($E$8:$CE$57, MATCH($C45, $C$8:$C$57, 0), (COLUMNS($DU45:DU45)-1)*5 + 1) = INDEX($E$5:$CE$5, 1, (COLUMNS($DU45:DU45)-1)*5 + 1), INDEX($E$8:$CE$57, MATCH($C45, $C$8:$C$57, 0), (COLUMNS($DU45:DU45)-1)*5 + 4) = "SF"), INDEX($CZ$8:$CZ$23, COLUMNS($DU45:DU45)), "0"), "")</f>
        <v/>
      </c>
      <c r="DV45" s="395">
        <f t="array" ref="DV45">IFERROR(IF(AND(INDEX($E$8:$CE$57, MATCH($C45, $C$8:$C$57, 0), (COLUMNS($DU45:DV45)-1)*5 + 1) = INDEX($E$5:$CE$5, 1, (COLUMNS($DU45:DV45)-1)*5 + 1), INDEX($E$8:$CE$57, MATCH($C45, $C$8:$C$57, 0), (COLUMNS($DU45:DV45)-1)*5 + 4) = "SF"), INDEX($CZ$8:$CZ$23, COLUMNS($DU45:DV45)), "0"), "")</f>
        <v/>
      </c>
      <c r="DW45" s="395">
        <f t="array" ref="DW45">IFERROR(IF(AND(INDEX($E$8:$CE$57, MATCH($C45, $C$8:$C$57, 0), (COLUMNS($DU45:DW45)-1)*5 + 1) = INDEX($E$5:$CE$5, 1, (COLUMNS($DU45:DW45)-1)*5 + 1), INDEX($E$8:$CE$57, MATCH($C45, $C$8:$C$57, 0), (COLUMNS($DU45:DW45)-1)*5 + 4) = "SF"), INDEX($CZ$8:$CZ$23, COLUMNS($DU45:DW45)), "0"), "")</f>
        <v/>
      </c>
      <c r="DX45" s="395">
        <f t="array" ref="DX45">IFERROR(IF(AND(INDEX($E$8:$CE$57, MATCH($C45, $C$8:$C$57, 0), (COLUMNS($DU45:DX45)-1)*5 + 1) = INDEX($E$5:$CE$5, 1, (COLUMNS($DU45:DX45)-1)*5 + 1), INDEX($E$8:$CE$57, MATCH($C45, $C$8:$C$57, 0), (COLUMNS($DU45:DX45)-1)*5 + 4) = "SF"), INDEX($CZ$8:$CZ$23, COLUMNS($DU45:DX45)), "0"), "")</f>
        <v/>
      </c>
      <c r="DY45" s="395">
        <f t="array" ref="DY45">IFERROR(IF(AND(INDEX($E$8:$CE$57, MATCH($C45, $C$8:$C$57, 0), (COLUMNS($DU45:DY45)-1)*5 + 1) = INDEX($E$5:$CE$5, 1, (COLUMNS($DU45:DY45)-1)*5 + 1), INDEX($E$8:$CE$57, MATCH($C45, $C$8:$C$57, 0), (COLUMNS($DU45:DY45)-1)*5 + 4) = "SF"), INDEX($CZ$8:$CZ$23, COLUMNS($DU45:DY45)), "0"), "")</f>
        <v/>
      </c>
      <c r="DZ45" s="395">
        <f t="array" ref="DZ45">IFERROR(IF(AND(INDEX($E$8:$CE$57, MATCH($C45, $C$8:$C$57, 0), (COLUMNS($DU45:DZ45)-1)*5 + 1) = INDEX($E$5:$CE$5, 1, (COLUMNS($DU45:DZ45)-1)*5 + 1), INDEX($E$8:$CE$57, MATCH($C45, $C$8:$C$57, 0), (COLUMNS($DU45:DZ45)-1)*5 + 4) = "SF"), INDEX($CZ$8:$CZ$23, COLUMNS($DU45:DZ45)), "0"), "")</f>
        <v/>
      </c>
      <c r="EA45" s="395">
        <f t="array" ref="EA45">IFERROR(IF(AND(INDEX($E$8:$CE$57, MATCH($C45, $C$8:$C$57, 0), (COLUMNS($DU45:EA45)-1)*5 + 1) = INDEX($E$5:$CE$5, 1, (COLUMNS($DU45:EA45)-1)*5 + 1), INDEX($E$8:$CE$57, MATCH($C45, $C$8:$C$57, 0), (COLUMNS($DU45:EA45)-1)*5 + 4) = "SF"), INDEX($CZ$8:$CZ$23, COLUMNS($DU45:EA45)), "0"), "")</f>
        <v/>
      </c>
      <c r="EB45" s="395">
        <f t="array" ref="EB45">IFERROR(IF(AND(INDEX($E$8:$CE$57, MATCH($C45, $C$8:$C$57, 0), (COLUMNS($DU45:EB45)-1)*5 + 1) = INDEX($E$5:$CE$5, 1, (COLUMNS($DU45:EB45)-1)*5 + 1), INDEX($E$8:$CE$57, MATCH($C45, $C$8:$C$57, 0), (COLUMNS($DU45:EB45)-1)*5 + 4) = "SF"), INDEX($CZ$8:$CZ$23, COLUMNS($DU45:EB45)), "0"), "")</f>
        <v/>
      </c>
      <c r="EC45" s="395">
        <f t="array" ref="EC45">IFERROR(IF(AND(INDEX($E$8:$CE$57, MATCH($C45, $C$8:$C$57, 0), (COLUMNS($DU45:EC45)-1)*5 + 1) = INDEX($E$5:$CE$5, 1, (COLUMNS($DU45:EC45)-1)*5 + 1), INDEX($E$8:$CE$57, MATCH($C45, $C$8:$C$57, 0), (COLUMNS($DU45:EC45)-1)*5 + 4) = "SF"), INDEX($CZ$8:$CZ$23, COLUMNS($DU45:EC45)), "0"), "")</f>
        <v/>
      </c>
      <c r="ED45" s="395">
        <f t="array" ref="ED45">IFERROR(IF(AND(INDEX($E$8:$CE$57, MATCH($C45, $C$8:$C$57, 0), (COLUMNS($DU45:ED45)-1)*5 + 1) = INDEX($E$5:$CE$5, 1, (COLUMNS($DU45:ED45)-1)*5 + 1), INDEX($E$8:$CE$57, MATCH($C45, $C$8:$C$57, 0), (COLUMNS($DU45:ED45)-1)*5 + 4) = "SF"), INDEX($CZ$8:$CZ$23, COLUMNS($DU45:ED45)), "0"), "")</f>
        <v/>
      </c>
      <c r="EE45" s="395">
        <f t="array" ref="EE45">IFERROR(IF(AND(INDEX($E$8:$CE$57, MATCH($C45, $C$8:$C$57, 0), (COLUMNS($DU45:EE45)-1)*5 + 1) = INDEX($E$5:$CE$5, 1, (COLUMNS($DU45:EE45)-1)*5 + 1), INDEX($E$8:$CE$57, MATCH($C45, $C$8:$C$57, 0), (COLUMNS($DU45:EE45)-1)*5 + 4) = "SF"), INDEX($CZ$8:$CZ$23, COLUMNS($DU45:EE45)), "0"), "")</f>
        <v/>
      </c>
      <c r="EF45" s="395">
        <f t="array" ref="EF45">IFERROR(IF(AND(INDEX($E$8:$CE$57, MATCH($C45, $C$8:$C$57, 0), (COLUMNS($DU45:EF45)-1)*5 + 1) = INDEX($E$5:$CE$5, 1, (COLUMNS($DU45:EF45)-1)*5 + 1), INDEX($E$8:$CE$57, MATCH($C45, $C$8:$C$57, 0), (COLUMNS($DU45:EF45)-1)*5 + 4) = "SF"), INDEX($CZ$8:$CZ$23, COLUMNS($DU45:EF45)), "0"), "")</f>
        <v/>
      </c>
      <c r="EG45" s="395">
        <f t="array" ref="EG45">IFERROR(IF(AND(INDEX($E$8:$CE$57, MATCH($C45, $C$8:$C$57, 0), (COLUMNS($DU45:EG45)-1)*5 + 1) = INDEX($E$5:$CE$5, 1, (COLUMNS($DU45:EG45)-1)*5 + 1), INDEX($E$8:$CE$57, MATCH($C45, $C$8:$C$57, 0), (COLUMNS($DU45:EG45)-1)*5 + 4) = "SF"), INDEX($CZ$8:$CZ$23, COLUMNS($DU45:EG45)), "0"), "")</f>
        <v/>
      </c>
      <c r="EH45" s="395">
        <f t="array" ref="EH45">IFERROR(IF(AND(INDEX($E$8:$CE$57, MATCH($C45, $C$8:$C$57, 0), (COLUMNS($DU45:EH45)-1)*5 + 1) = INDEX($E$5:$CE$5, 1, (COLUMNS($DU45:EH45)-1)*5 + 1), INDEX($E$8:$CE$57, MATCH($C45, $C$8:$C$57, 0), (COLUMNS($DU45:EH45)-1)*5 + 4) = "SF"), INDEX($CZ$8:$CZ$23, COLUMNS($DU45:EH45)), "0"), "")</f>
        <v/>
      </c>
      <c r="EI45" s="395">
        <f t="array" ref="EI45">IFERROR(IF(AND(INDEX($E$8:$CE$57, MATCH($C45, $C$8:$C$57, 0), (COLUMNS($DU45:EI45)-1)*5 + 1) = INDEX($E$5:$CE$5, 1, (COLUMNS($DU45:EI45)-1)*5 + 1), INDEX($E$8:$CE$57, MATCH($C45, $C$8:$C$57, 0), (COLUMNS($DU45:EI45)-1)*5 + 4) = "SF"), INDEX($CZ$8:$CZ$23, COLUMNS($DU45:EI45)), "0"), "")</f>
        <v/>
      </c>
      <c r="EJ45" s="395">
        <f t="array" ref="EJ45">IFERROR(IF(AND(INDEX($E$8:$CE$57, MATCH($C45, $C$8:$C$57, 0), (COLUMNS($DU45:EJ45)-1)*5 + 1) = INDEX($E$5:$CE$5, 1, (COLUMNS($DU45:EJ45)-1)*5 + 1), INDEX($E$8:$CE$57, MATCH($C45, $C$8:$C$57, 0), (COLUMNS($DU45:EJ45)-1)*5 + 4) = "SF"), INDEX($CZ$8:$CZ$23, COLUMNS($DU45:EJ45)), "0"), "")</f>
        <v/>
      </c>
    </row>
    <row r="46" outlineLevel="1" ht="20.1" customHeight="1" s="568">
      <c r="A46" s="576" t="n"/>
      <c r="B46" s="92">
        <f>IF(BASE01[[#This Row],[COD]]&lt;&gt;"",B45+1,"")</f>
        <v/>
      </c>
      <c r="C46" s="601" t="inlineStr">
        <is>
          <t>COD 39</t>
        </is>
      </c>
      <c r="D46" s="93">
        <f t="array" ref="D46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6" s="145" t="n"/>
      <c r="F46" s="147" t="n"/>
      <c r="G46" s="147" t="n"/>
      <c r="H46" s="147" t="n"/>
      <c r="I46" s="602">
        <f>SUM(IF(E46=E$5,4,0),IF(E46&amp;F46=E$5&amp;F$5,1,0),
IF(AND(E46=E$5,F$6&gt;=$D$115),1,0),
IF(AND(F46=E$5,F$6&gt;=$D$115),1,0),
IF(AND(G46=E$5,F$6&gt;=$D$115),1,0),
IF(E46&amp;H46=I$5,1,0),
IF(F46=E$5,2,0),
IF(G46=E$5,1,0),
IF(OR(E46&amp;F46&amp;G46=E$5&amp;F$5&amp;G$5,E46&amp;F46&amp;G46=E$5&amp;G$5&amp;F$5,E46&amp;F46&amp;G46=F$5&amp;E$5&amp;G$5,E46&amp;F46&amp;G46=F$5&amp;G$5&amp;E$5,E46&amp;F46&amp;G46=G$5&amp;E$5&amp;F$5,E46&amp;F46&amp;G46=G$5&amp;F$5&amp;E$5),2,0),IF(AND(E46=E$5,F$6&gt;=$D$129),1,0),IF(AND(F46=E$5,F$6&gt;=$D$129),1,0),IF(AND(G46=E$5,F$6&gt;=$D$129),1,0),IF(E46&amp;H46=H$5,4,0),IF(AND(E46=E$5,F$6&lt;=$D$104),-0.5,0),IF(AND(F46=E$5,F$6&lt;=$D$104),-0.5,0),IF(AND(G46=E$5,F$6&lt;=$D$104),-0.5,0))</f>
        <v/>
      </c>
      <c r="J46" s="145" t="n"/>
      <c r="K46" s="147" t="n"/>
      <c r="L46" s="147" t="n"/>
      <c r="M46" s="147" t="n"/>
      <c r="N46" s="602">
        <f>SUM(IF(J46=J$5,4,0),IF(J46&amp;K46=J$5&amp;K$5,1,0),
IF(AND(J46=J$5,K$6&gt;=$D$115),1,0),
IF(AND(K46=J$5,K$6&gt;=$D$115),1,0),
IF(AND(L46=J$5,K$6&gt;=$D$115),1,0),
IF(J46&amp;M46=N$5,1,0),
IF(K46=J$5,2,0),
IF(L46=J$5,1,0),
IF(OR(J46&amp;K46&amp;L46=J$5&amp;K$5&amp;L$5,J46&amp;K46&amp;L46=J$5&amp;L$5&amp;K$5,J46&amp;K46&amp;L46=K$5&amp;J$5&amp;L$5,J46&amp;K46&amp;L46=K$5&amp;L$5&amp;J$5,J46&amp;K46&amp;L46=L$5&amp;J$5&amp;K$5,J46&amp;K46&amp;L46=L$5&amp;K$5&amp;J$5),2,0),IF(AND(J46=J$5,K$6&gt;=$D$129),1,0),IF(AND(K46=J$5,K$6&gt;=$D$129),1,0),IF(AND(L46=J$5,K$6&gt;=$D$129),1,0),IF(J46&amp;M46=M$5,4,0),IF(AND(J46=J$5,K$6&lt;=$D$104),-0.5,0),IF(AND(K46=J$5,K$6&lt;=$D$104),-0.5,0),IF(AND(L46=J$5,K$6&lt;=$D$104),-0.5,0))</f>
        <v/>
      </c>
      <c r="O46" s="145" t="n"/>
      <c r="P46" s="147" t="n"/>
      <c r="Q46" s="147" t="n"/>
      <c r="R46" s="147" t="n"/>
      <c r="S46" s="602">
        <f>SUM(IF(O46=O$5,4,0),IF(O46&amp;P46=O$5&amp;P$5,1,0),
IF(AND(O46=O$5,P$6&gt;=$D$115),1,0),
IF(AND(P46=O$5,P$6&gt;=$D$115),1,0),
IF(AND(Q46=O$5,P$6&gt;=$D$115),1,0),
IF(O46&amp;R46=S$5,1,0),
IF(P46=O$5,2,0),
IF(Q46=O$5,1,0),
IF(OR(O46&amp;P46&amp;Q46=O$5&amp;P$5&amp;Q$5,O46&amp;P46&amp;Q46=O$5&amp;Q$5&amp;P$5,O46&amp;P46&amp;Q46=P$5&amp;O$5&amp;Q$5,O46&amp;P46&amp;Q46=P$5&amp;Q$5&amp;O$5,O46&amp;P46&amp;Q46=Q$5&amp;O$5&amp;P$5,O46&amp;P46&amp;Q46=Q$5&amp;P$5&amp;O$5),2,0),IF(AND(O46=O$5,P$6&gt;=$D$129),1,0),IF(AND(P46=O$5,P$6&gt;=$D$129),1,0),IF(AND(Q46=O$5,P$6&gt;=$D$129),1,0),IF(O46&amp;R46=R$5,4,0),IF(AND(O46=O$5,P$6&lt;=$D$104),-0.5,0),IF(AND(P46=O$5,P$6&lt;=$D$104),-0.5,0),IF(AND(Q46=O$5,P$6&lt;=$D$104),-0.5,0))</f>
        <v/>
      </c>
      <c r="T46" s="145" t="n"/>
      <c r="U46" s="147" t="n"/>
      <c r="V46" s="147" t="n"/>
      <c r="W46" s="147" t="n"/>
      <c r="X46" s="602">
        <f>SUM(IF(T46=T$5,4,0),IF(T46&amp;U46=T$5&amp;U$5,1,0),
IF(AND(T46=T$5,U$6&gt;=$D$115),1,0),
IF(AND(U46=T$5,U$6&gt;=$D$115),1,0),
IF(AND(V46=T$5,U$6&gt;=$D$115),1,0),
IF(T46&amp;W46=X$5,1,0),
IF(U46=T$5,2,0),
IF(V46=T$5,1,0),
IF(OR(T46&amp;U46&amp;V46=T$5&amp;U$5&amp;V$5,T46&amp;U46&amp;V46=T$5&amp;V$5&amp;U$5,T46&amp;U46&amp;V46=U$5&amp;T$5&amp;V$5,T46&amp;U46&amp;V46=U$5&amp;V$5&amp;T$5,T46&amp;U46&amp;V46=V$5&amp;T$5&amp;U$5,T46&amp;U46&amp;V46=V$5&amp;U$5&amp;T$5),2,0),IF(AND(T46=T$5,U$6&gt;=$D$129),1,0),IF(AND(U46=T$5,U$6&gt;=$D$129),1,0),IF(AND(V46=T$5,U$6&gt;=$D$129),1,0),IF(T46&amp;W46=W$5,4,0),IF(AND(T46=T$5,U$6&lt;=$D$104),-0.5,0),IF(AND(U46=T$5,U$6&lt;=$D$104),-0.5,0),IF(AND(V46=T$5,U$6&lt;=$D$104),-0.5,0))</f>
        <v/>
      </c>
      <c r="Y46" s="145" t="n"/>
      <c r="Z46" s="147" t="n"/>
      <c r="AA46" s="147" t="n"/>
      <c r="AB46" s="147" t="n"/>
      <c r="AC46" s="602">
        <f>SUM(IF(Y46=Y$5,4,0),IF(Y46&amp;Z46=Y$5&amp;Z$5,1,0),
IF(AND(Y46=Y$5,Z$6&gt;=$D$115),1,0),
IF(AND(Z46=Y$5,Z$6&gt;=$D$115),1,0),
IF(AND(AA46=Y$5,Z$6&gt;=$D$115),1,0),
IF(Y46&amp;AB46=AC$5,1,0),
IF(Z46=Y$5,2,0),
IF(AA46=Y$5,1,0),
IF(OR(Y46&amp;Z46&amp;AA46=Y$5&amp;Z$5&amp;AA$5,Y46&amp;Z46&amp;AA46=Y$5&amp;AA$5&amp;Z$5,Y46&amp;Z46&amp;AA46=Z$5&amp;Y$5&amp;AA$5,Y46&amp;Z46&amp;AA46=Z$5&amp;AA$5&amp;Y$5,Y46&amp;Z46&amp;AA46=AA$5&amp;Y$5&amp;Z$5,Y46&amp;Z46&amp;AA46=AA$5&amp;Z$5&amp;Y$5),2,0),IF(AND(Y46=Y$5,Z$6&gt;=$D$129),1,0),IF(AND(Z46=Y$5,Z$6&gt;=$D$129),1,0),IF(AND(AA46=Y$5,Z$6&gt;=$D$129),1,0),IF(Y46&amp;AB46=AB$5,4,0),IF(AND(Y46=Y$5,Z$6&lt;=$D$104),-0.5,0),IF(AND(Z46=Y$5,Z$6&lt;=$D$104),-0.5,0),IF(AND(AA46=Y$5,Z$6&lt;=$D$104),-0.5,0))</f>
        <v/>
      </c>
      <c r="AD46" s="145" t="n"/>
      <c r="AE46" s="147" t="n"/>
      <c r="AF46" s="147" t="n"/>
      <c r="AG46" s="147" t="n"/>
      <c r="AH46" s="602">
        <f>SUM(IF(AD46=AD$5,4,0),IF(AD46&amp;AE46=AD$5&amp;AE$5,1,0),
IF(AND(AD46=AD$5,AE$6&gt;=$D$115),1,0),
IF(AND(AE46=AD$5,AE$6&gt;=$D$115),1,0),
IF(AND(AF46=AD$5,AE$6&gt;=$D$115),1,0),
IF(AD46&amp;AG46=AH$5,1,0),
IF(AE46=AD$5,2,0),
IF(AF46=AD$5,1,0),
IF(OR(AD46&amp;AE46&amp;AF46=AD$5&amp;AE$5&amp;AF$5,AD46&amp;AE46&amp;AF46=AD$5&amp;AF$5&amp;AE$5,AD46&amp;AE46&amp;AF46=AE$5&amp;AD$5&amp;AF$5,AD46&amp;AE46&amp;AF46=AE$5&amp;AF$5&amp;AD$5,AD46&amp;AE46&amp;AF46=AF$5&amp;AD$5&amp;AE$5,AD46&amp;AE46&amp;AF46=AF$5&amp;AE$5&amp;AD$5),2,0),IF(AND(AD46=AD$5,AE$6&gt;=$D$129),1,0),IF(AND(AE46=AD$5,AE$6&gt;=$D$129),1,0),IF(AND(AF46=AD$5,AE$6&gt;=$D$129),1,0),IF(AD46&amp;AG46=AG$5,4,0),IF(AND(AD46=AD$5,AE$6&lt;=$D$104),-0.5,0),IF(AND(AE46=AD$5,AE$6&lt;=$D$104),-0.5,0),IF(AND(AF46=AD$5,AE$6&lt;=$D$104),-0.5,0))</f>
        <v/>
      </c>
      <c r="AI46" s="145" t="n"/>
      <c r="AJ46" s="147" t="n"/>
      <c r="AK46" s="147" t="n"/>
      <c r="AL46" s="147" t="n"/>
      <c r="AM46" s="602">
        <f>SUM(IF(AI46=AI$5,4,0),IF(AI46&amp;AJ46=AI$5&amp;AJ$5,1,0),
IF(AND(AI46=AI$5,AJ$6&gt;=$D$115),1,0),
IF(AND(AJ46=AI$5,AJ$6&gt;=$D$115),1,0),
IF(AND(AK46=AI$5,AJ$6&gt;=$D$115),1,0),
IF(AI46&amp;AL46=AM$5,1,0),
IF(AJ46=AI$5,2,0),
IF(AK46=AI$5,1,0),
IF(OR(AI46&amp;AJ46&amp;AK46=AI$5&amp;AJ$5&amp;AK$5,AI46&amp;AJ46&amp;AK46=AI$5&amp;AK$5&amp;AJ$5,AI46&amp;AJ46&amp;AK46=AJ$5&amp;AI$5&amp;AK$5,AI46&amp;AJ46&amp;AK46=AJ$5&amp;AK$5&amp;AI$5,AI46&amp;AJ46&amp;AK46=AK$5&amp;AI$5&amp;AJ$5,AI46&amp;AJ46&amp;AK46=AK$5&amp;AJ$5&amp;AI$5),2,0),IF(AND(AI46=AI$5,AJ$6&gt;=$D$129),1,0),IF(AND(AJ46=AI$5,AJ$6&gt;=$D$129),1,0),IF(AND(AK46=AI$5,AJ$6&gt;=$D$129),1,0),IF(AI46&amp;AL46=AL$5,4,0),IF(AND(AI46=AI$5,AJ$6&lt;=$D$104),-0.5,0),IF(AND(AJ46=AI$5,AJ$6&lt;=$D$104),-0.5,0),IF(AND(AK46=AI$5,AJ$6&lt;=$D$104),-0.5,0))</f>
        <v/>
      </c>
      <c r="AN46" s="145" t="n"/>
      <c r="AO46" s="147" t="n"/>
      <c r="AP46" s="147" t="n"/>
      <c r="AQ46" s="147" t="n"/>
      <c r="AR46" s="602">
        <f>SUM(IF(AN46=AN$5,4,0),IF(AN46&amp;AO46=AN$5&amp;AO$5,1,0),
IF(AND(AN46=AN$5,AO$6&gt;=$D$115),1,0),
IF(AND(AO46=AN$5,AO$6&gt;=$D$115),1,0),
IF(AND(AP46=AN$5,AO$6&gt;=$D$115),1,0),
IF(AN46&amp;AQ46=AR$5,1,0),
IF(AO46=AN$5,2,0),
IF(AP46=AN$5,1,0),
IF(OR(AN46&amp;AO46&amp;AP46=AN$5&amp;AO$5&amp;AP$5,AN46&amp;AO46&amp;AP46=AN$5&amp;AP$5&amp;AO$5,AN46&amp;AO46&amp;AP46=AO$5&amp;AN$5&amp;AP$5,AN46&amp;AO46&amp;AP46=AO$5&amp;AP$5&amp;AN$5,AN46&amp;AO46&amp;AP46=AP$5&amp;AN$5&amp;AO$5,AN46&amp;AO46&amp;AP46=AP$5&amp;AO$5&amp;AN$5),2,0),IF(AND(AN46=AN$5,AO$6&gt;=$D$129),1,0),IF(AND(AO46=AN$5,AO$6&gt;=$D$129),1,0),IF(AND(AP46=AN$5,AO$6&gt;=$D$129),1,0),IF(AN46&amp;AQ46=AQ$5,4,0),IF(AND(AN46=AN$5,AO$6&lt;=$D$104),-0.5,0),IF(AND(AO46=AN$5,AO$6&lt;=$D$104),-0.5,0),IF(AND(AP46=AN$5,AO$6&lt;=$D$104),-0.5,0))</f>
        <v/>
      </c>
      <c r="AS46" s="145" t="n"/>
      <c r="AT46" s="147" t="n"/>
      <c r="AU46" s="147" t="n"/>
      <c r="AV46" s="147" t="n"/>
      <c r="AW46" s="602">
        <f>SUM(IF(AS46=AS$5,4,0),IF(AS46&amp;AT46=AS$5&amp;AT$5,1,0),
IF(AND(AS46=AS$5,AT$6&gt;=$D$115),1,0),
IF(AND(AT46=AS$5,AT$6&gt;=$D$115),1,0),
IF(AND(AU46=AS$5,AT$6&gt;=$D$115),1,0),
IF(AS46&amp;AV46=AW$5,1,0),
IF(AT46=AS$5,2,0),
IF(AU46=AS$5,1,0),
IF(OR(AS46&amp;AT46&amp;AU46=AS$5&amp;AT$5&amp;AU$5,AS46&amp;AT46&amp;AU46=AS$5&amp;AU$5&amp;AT$5,AS46&amp;AT46&amp;AU46=AT$5&amp;AS$5&amp;AU$5,AS46&amp;AT46&amp;AU46=AT$5&amp;AU$5&amp;AS$5,AS46&amp;AT46&amp;AU46=AU$5&amp;AS$5&amp;AT$5,AS46&amp;AT46&amp;AU46=AU$5&amp;AT$5&amp;AS$5),2,0),IF(AND(AS46=AS$5,AT$6&gt;=$D$129),1,0),IF(AND(AT46=AS$5,AT$6&gt;=$D$129),1,0),IF(AND(AU46=AS$5,AT$6&gt;=$D$129),1,0),IF(AS46&amp;AV46=AV$5,4,0),IF(AND(AS46=AS$5,AT$6&lt;=$D$104),-0.5,0),IF(AND(AT46=AS$5,AT$6&lt;=$D$104),-0.5,0),IF(AND(AU46=AS$5,AT$6&lt;=$D$104),-0.5,0))</f>
        <v/>
      </c>
      <c r="AX46" s="145" t="n"/>
      <c r="AY46" s="147" t="n"/>
      <c r="AZ46" s="147" t="n"/>
      <c r="BA46" s="147" t="n"/>
      <c r="BB46" s="602">
        <f>SUM(IF(AX46=AX$5,4,0),IF(AX46&amp;AY46=AX$5&amp;AY$5,1,0),
IF(AND(AX46=AX$5,AY$6&gt;=$D$115),1,0),
IF(AND(AY46=AX$5,AY$6&gt;=$D$115),1,0),
IF(AND(AZ46=AX$5,AY$6&gt;=$D$115),1,0),
IF(AX46&amp;BA46=BB$5,1,0),
IF(AY46=AX$5,2,0),
IF(AZ46=AX$5,1,0),
IF(OR(AX46&amp;AY46&amp;AZ46=AX$5&amp;AY$5&amp;AZ$5,AX46&amp;AY46&amp;AZ46=AX$5&amp;AZ$5&amp;AY$5,AX46&amp;AY46&amp;AZ46=AY$5&amp;AX$5&amp;AZ$5,AX46&amp;AY46&amp;AZ46=AY$5&amp;AZ$5&amp;AX$5,AX46&amp;AY46&amp;AZ46=AZ$5&amp;AX$5&amp;AY$5,AX46&amp;AY46&amp;AZ46=AZ$5&amp;AY$5&amp;AX$5),2,0),IF(AND(AX46=AX$5,AY$6&gt;=$D$129),1,0),IF(AND(AY46=AX$5,AY$6&gt;=$D$129),1,0),IF(AND(AZ46=AX$5,AY$6&gt;=$D$129),1,0),IF(AX46&amp;BA46=BA$5,4,0),IF(AND(AX46=AX$5,AY$6&lt;=$D$104),-0.5,0),IF(AND(AY46=AX$5,AY$6&lt;=$D$104),-0.5,0),IF(AND(AZ46=AX$5,AY$6&lt;=$D$104),-0.5,0))</f>
        <v/>
      </c>
      <c r="BC46" s="145" t="n"/>
      <c r="BD46" s="147" t="n"/>
      <c r="BE46" s="147" t="n"/>
      <c r="BF46" s="147" t="n"/>
      <c r="BG46" s="602">
        <f>SUM(IF(BC46=BC$5,4,0),IF(BC46&amp;BD46=BC$5&amp;BD$5,1,0),
IF(AND(BC46=BC$5,BD$6&gt;=$D$115),1,0),
IF(AND(BD46=BC$5,BD$6&gt;=$D$115),1,0),
IF(AND(BE46=BC$5,BD$6&gt;=$D$115),1,0),
IF(BC46&amp;BF46=BG$5,1,0),
IF(BD46=BC$5,2,0),
IF(BE46=BC$5,1,0),
IF(OR(BC46&amp;BD46&amp;BE46=BC$5&amp;BD$5&amp;BE$5,BC46&amp;BD46&amp;BE46=BC$5&amp;BE$5&amp;BD$5,BC46&amp;BD46&amp;BE46=BD$5&amp;BC$5&amp;BE$5,BC46&amp;BD46&amp;BE46=BD$5&amp;BE$5&amp;BC$5,BC46&amp;BD46&amp;BE46=BE$5&amp;BC$5&amp;BD$5,BC46&amp;BD46&amp;BE46=BE$5&amp;BD$5&amp;BC$5),2,0),IF(AND(BC46=BC$5,BD$6&gt;=$D$129),1,0),IF(AND(BD46=BC$5,BD$6&gt;=$D$129),1,0),IF(AND(BE46=BC$5,BD$6&gt;=$D$129),1,0),IF(BC46&amp;BF46=BF$5,4,0),IF(AND(BC46=BC$5,BD$6&lt;=$D$104),-0.5,0),IF(AND(BD46=BC$5,BD$6&lt;=$D$104),-0.5,0),IF(AND(BE46=BC$5,BD$6&lt;=$D$104),-0.5,0))</f>
        <v/>
      </c>
      <c r="BH46" s="145" t="n"/>
      <c r="BI46" s="147" t="n"/>
      <c r="BJ46" s="147" t="n"/>
      <c r="BK46" s="147" t="n"/>
      <c r="BL46" s="602">
        <f>SUM(IF(BH46=BH$5,4,0),IF(BH46&amp;BI46=BH$5&amp;BI$5,1,0),
IF(AND(BH46=BH$5,BI$6&gt;=$D$115),1,0),
IF(AND(BI46=BH$5,BI$6&gt;=$D$115),1,0),
IF(AND(BJ46=BH$5,BI$6&gt;=$D$115),1,0),
IF(BH46&amp;BK46=BL$5,1,0),
IF(BI46=BH$5,2,0),
IF(BJ46=BH$5,1,0),
IF(OR(BH46&amp;BI46&amp;BJ46=BH$5&amp;BI$5&amp;BJ$5,BH46&amp;BI46&amp;BJ46=BH$5&amp;BJ$5&amp;BI$5,BH46&amp;BI46&amp;BJ46=BI$5&amp;BH$5&amp;BJ$5,BH46&amp;BI46&amp;BJ46=BI$5&amp;BJ$5&amp;BH$5,BH46&amp;BI46&amp;BJ46=BJ$5&amp;BH$5&amp;BI$5,BH46&amp;BI46&amp;BJ46=BJ$5&amp;BI$5&amp;BH$5),2,0),IF(AND(BH46=BH$5,BI$6&gt;=$D$129),1,0),IF(AND(BI46=BH$5,BI$6&gt;=$D$129),1,0),IF(AND(BJ46=BH$5,BI$6&gt;=$D$129),1,0),IF(BH46&amp;BK46=BK$5,4,0),IF(AND(BH46=BH$5,BI$6&lt;=$D$104),-0.5,0),IF(AND(BI46=BH$5,BI$6&lt;=$D$104),-0.5,0),IF(AND(BJ46=BH$5,BI$6&lt;=$D$104),-0.5,0))</f>
        <v/>
      </c>
      <c r="BM46" s="145" t="n"/>
      <c r="BN46" s="147" t="n"/>
      <c r="BO46" s="147" t="n"/>
      <c r="BP46" s="147" t="n"/>
      <c r="BQ46" s="602">
        <f>SUM(IF(BM46=BM$5,4,0),IF(BM46&amp;BN46=BM$5&amp;BN$5,1,0),
IF(AND(BM46=BM$5,BN$6&gt;=$D$115),1,0),
IF(AND(BN46=BM$5,BN$6&gt;=$D$115),1,0),
IF(AND(BO46=BM$5,BN$6&gt;=$D$115),1,0),
IF(BM46&amp;BP46=BQ$5,1,0),
IF(BN46=BM$5,2,0),
IF(BO46=BM$5,1,0),
IF(OR(BM46&amp;BN46&amp;BO46=BM$5&amp;BN$5&amp;BO$5,BM46&amp;BN46&amp;BO46=BM$5&amp;BO$5&amp;BN$5,BM46&amp;BN46&amp;BO46=BN$5&amp;BM$5&amp;BO$5,BM46&amp;BN46&amp;BO46=BN$5&amp;BO$5&amp;BM$5,BM46&amp;BN46&amp;BO46=BO$5&amp;BM$5&amp;BN$5,BM46&amp;BN46&amp;BO46=BO$5&amp;BN$5&amp;BM$5),2,0),IF(AND(BM46=BM$5,BN$6&gt;=$D$129),1,0),IF(AND(BN46=BM$5,BN$6&gt;=$D$129),1,0),IF(AND(BO46=BM$5,BN$6&gt;=$D$129),1,0),IF(BM46&amp;BP46=BP$5,4,0),IF(AND(BM46=BM$5,BN$6&lt;=$D$104),-0.5,0),IF(AND(BN46=BM$5,BN$6&lt;=$D$104),-0.5,0),IF(AND(BO46=BM$5,BN$6&lt;=$D$104),-0.5,0))</f>
        <v/>
      </c>
      <c r="BR46" s="145" t="n"/>
      <c r="BS46" s="147" t="n"/>
      <c r="BT46" s="147" t="n"/>
      <c r="BU46" s="147" t="n"/>
      <c r="BV46" s="602">
        <f>SUM(IF(BR46=BR$5,4,0),IF(BR46&amp;BS46=BR$5&amp;BS$5,1,0),
IF(AND(BR46=BR$5,BS$6&gt;=$D$115),1,0),
IF(AND(BS46=BR$5,BS$6&gt;=$D$115),1,0),
IF(AND(BT46=BR$5,BS$6&gt;=$D$115),1,0),
IF(BR46&amp;BU46=BV$5,1,0),
IF(BS46=BR$5,2,0),
IF(BT46=BR$5,1,0),
IF(OR(BR46&amp;BS46&amp;BT46=BR$5&amp;BS$5&amp;BT$5,BR46&amp;BS46&amp;BT46=BR$5&amp;BT$5&amp;BS$5,BR46&amp;BS46&amp;BT46=BS$5&amp;BR$5&amp;BT$5,BR46&amp;BS46&amp;BT46=BS$5&amp;BT$5&amp;BR$5,BR46&amp;BS46&amp;BT46=BT$5&amp;BR$5&amp;BS$5,BR46&amp;BS46&amp;BT46=BT$5&amp;BS$5&amp;BR$5),2,0),IF(AND(BR46=BR$5,BS$6&gt;=$D$129),1,0),IF(AND(BS46=BR$5,BS$6&gt;=$D$129),1,0),IF(AND(BT46=BR$5,BS$6&gt;=$D$129),1,0),IF(BR46&amp;BU46=BU$5,4,0),IF(AND(BR46=BR$5,BS$6&lt;=$D$104),-0.5,0),IF(AND(BS46=BR$5,BS$6&lt;=$D$104),-0.5,0),IF(AND(BT46=BR$5,BS$6&lt;=$D$104),-0.5,0))</f>
        <v/>
      </c>
      <c r="BW46" s="145" t="n"/>
      <c r="BX46" s="147" t="n"/>
      <c r="BY46" s="147" t="n"/>
      <c r="BZ46" s="147" t="n"/>
      <c r="CA46" s="602">
        <f>SUM(IF(BW46=BW$5,4,0),IF(BW46&amp;BX46=BW$5&amp;BX$5,1,0),
IF(AND(BW46=BW$5,BX$6&gt;=$D$115),1,0),
IF(AND(BX46=BW$5,BX$6&gt;=$D$115),1,0),
IF(AND(BY46=BW$5,BX$6&gt;=$D$115),1,0),
IF(BW46&amp;BZ46=CA$5,1,0),
IF(BX46=BW$5,2,0),
IF(BY46=BW$5,1,0),
IF(OR(BW46&amp;BX46&amp;BY46=BW$5&amp;BX$5&amp;BY$5,BW46&amp;BX46&amp;BY46=BW$5&amp;BY$5&amp;BX$5,BW46&amp;BX46&amp;BY46=BX$5&amp;BW$5&amp;BY$5,BW46&amp;BX46&amp;BY46=BX$5&amp;BY$5&amp;BW$5,BW46&amp;BX46&amp;BY46=BY$5&amp;BW$5&amp;BX$5,BW46&amp;BX46&amp;BY46=BY$5&amp;BX$5&amp;BW$5),2,0),IF(AND(BW46=BW$5,BX$6&gt;=$D$129),1,0),IF(AND(BX46=BW$5,BX$6&gt;=$D$129),1,0),IF(AND(BY46=BW$5,BX$6&gt;=$D$129),1,0),IF(BW46&amp;BZ46=BZ$5,4,0),IF(AND(BW46=BW$5,BX$6&lt;=$D$104),-0.5,0),IF(AND(BX46=BW$5,BX$6&lt;=$D$104),-0.5,0),IF(AND(BY46=BW$5,BX$6&lt;=$D$104),-0.5,0))</f>
        <v/>
      </c>
      <c r="CB46" s="145" t="n"/>
      <c r="CC46" s="147" t="n"/>
      <c r="CD46" s="147" t="n"/>
      <c r="CE46" s="147" t="n"/>
      <c r="CF46" s="602">
        <f>SUM(IF(CB46=CB$5,4,0),IF(CB46&amp;CC46=CB$5&amp;CC$5,1,0),
IF(AND(CB46=CB$5,CC$6&gt;=$D$115),1,0),
IF(AND(CC46=CB$5,CC$6&gt;=$D$115),1,0),
IF(AND(CD46=CB$5,CC$6&gt;=$D$115),1,0),
IF(CB46&amp;CE46=CF$5,1,0),
IF(CC46=CB$5,2,0),
IF(CD46=CB$5,1,0),
IF(OR(CB46&amp;CC46&amp;CD46=CB$5&amp;CC$5&amp;CD$5,CB46&amp;CC46&amp;CD46=CB$5&amp;CD$5&amp;CC$5,CB46&amp;CC46&amp;CD46=CC$5&amp;CB$5&amp;CD$5,CB46&amp;CC46&amp;CD46=CC$5&amp;CD$5&amp;CB$5,CB46&amp;CC46&amp;CD46=CD$5&amp;CB$5&amp;CC$5,CB46&amp;CC46&amp;CD46=CD$5&amp;CC$5&amp;CB$5),2,0),IF(AND(CB46=CB$5,CC$6&gt;=$D$129),1,0),IF(AND(CC46=CB$5,CC$6&gt;=$D$129),1,0),IF(AND(CD46=CB$5,CC$6&gt;=$D$129),1,0),IF(CB46&amp;CE46=CE$5,4,0),IF(AND(CB46=CB$5,CC$6&lt;=$D$104),-0.5,0),IF(AND(CC46=CB$5,CC$6&lt;=$D$104),-0.5,0),IF(AND(CD46=CB$5,CC$6&lt;=$D$104),-0.5,0))</f>
        <v/>
      </c>
      <c r="CG46" s="164">
        <f>IF(BASE01[[#This Row],[1]]="",0,$B$4)</f>
        <v/>
      </c>
      <c r="CH46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6" s="166">
        <f>IF(BASE01[[#This Row],[Columna14]]=0,0,(CH46/CG46))</f>
        <v/>
      </c>
      <c r="CJ46" s="165">
        <f>IF(BASE01[[#This Row],[1]]="",0,$B$4)</f>
        <v/>
      </c>
      <c r="CK46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6" s="166">
        <f>IF(BASE01[[#This Row],[Columna14]]=0,0,(CK46/CJ46))</f>
        <v/>
      </c>
      <c r="CM46" s="164">
        <f>IF(BASE01[[#This Row],[1]]="",0,$B$4)</f>
        <v/>
      </c>
      <c r="CN46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6" s="166">
        <f>IF(BASE01[[#This Row],[Columna14]]=0,0,(CN46/CM46))</f>
        <v/>
      </c>
      <c r="CP46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6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Row],[Columna25]],$AX$5,BA46,"SF")+COUNTIFS(BASE01[[#This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6" s="166">
        <f>IF(BASE01[[#This Row],[Columna14]]=0,0,(CQ46/CP46))</f>
        <v/>
      </c>
      <c r="CS46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6" s="95" t="n"/>
      <c r="CU46" s="604">
        <f>SUM(CS46,CT46)</f>
        <v/>
      </c>
      <c r="CV46" s="96">
        <f>IF(BASE01[[#This Row],[TIPO]]="PREMIO",$O$3,"0,00")</f>
        <v/>
      </c>
      <c r="CW46" s="576" t="n"/>
      <c r="CY46" s="606">
        <f>IF(CZ46="","",$CZ$25)</f>
        <v/>
      </c>
      <c r="CZ46" s="392" t="n"/>
      <c r="DA46" s="392">
        <f t="array" ref="DA46">IF(CZ46="", "", IF((INDEX(E$8:CE$57, MATCH(CZ46, C$8:C$57, 0), ($CZ$25-1)*5 + 1) &amp; "") = (INDEX(E$5:CE$5, 1, ($CZ$25-1)*5 + 1) &amp; ""), 1, IF((INDEX(E$8:CE$57, MATCH(CZ46, C$8:C$57, 0), ($CZ$25-1)*5 + 2) &amp; "") = (INDEX(E$5:CE$5, 1, ($CZ$25-1)*5 + 1) &amp; ""), 2, IF((INDEX(E$8:CE$57, MATCH(CZ46, C$8:C$57, 0), ($CZ$25-1)*5 + 3) &amp; "") = (INDEX(E$5:CE$5, 1, ($CZ$25-1)*5 + 1) &amp; ""), 3, ""))))</f>
        <v/>
      </c>
      <c r="DB46" s="605">
        <f>BASE01[[#This Row],[COD]]</f>
        <v/>
      </c>
      <c r="DC46" s="395">
        <f t="array" ref="DC46">IFERROR(IF(AND(INDEX($E$8:$CE$57, MATCH($C46, $C$8:$C$57, 0), (COLUMNS($DC46:DC46)-1)*5 + 1) = INDEX($E$5:$CE$5, 1, (COLUMNS($DC46:DC46)-1)*5 + 1), INDEX($E$8:$CE$57, MATCH($C46, $C$8:$C$57, 0), (COLUMNS($DC46:DC46)-1)*5 + 4) = "F"), INDEX($CZ$8:$CZ$23, COLUMNS($DC46:DC46)), "0"), "")</f>
        <v/>
      </c>
      <c r="DD46" s="395">
        <f t="array" ref="DD46">IFERROR(IF(AND(INDEX($E$8:$CE$57, MATCH($C46, $C$8:$C$57, 0), (COLUMNS($DC46:DD46)-1)*5 + 1) = INDEX($E$5:$CE$5, 1, (COLUMNS($DC46:DD46)-1)*5 + 1), INDEX($E$8:$CE$57, MATCH($C46, $C$8:$C$57, 0), (COLUMNS($DC46:DD46)-1)*5 + 4) = "F"), INDEX($CZ$8:$CZ$23, COLUMNS($DC46:DD46)), "0"), "")</f>
        <v/>
      </c>
      <c r="DE46" s="395">
        <f t="array" ref="DE46">IFERROR(IF(AND(INDEX($E$8:$CE$57, MATCH($C46, $C$8:$C$57, 0), (COLUMNS($DC46:DE46)-1)*5 + 1) = INDEX($E$5:$CE$5, 1, (COLUMNS($DC46:DE46)-1)*5 + 1), INDEX($E$8:$CE$57, MATCH($C46, $C$8:$C$57, 0), (COLUMNS($DC46:DE46)-1)*5 + 4) = "F"), INDEX($CZ$8:$CZ$23, COLUMNS($DC46:DE46)), "0"), "")</f>
        <v/>
      </c>
      <c r="DF46" s="395">
        <f t="array" ref="DF46">IFERROR(IF(AND(INDEX($E$8:$CE$57, MATCH($C46, $C$8:$C$57, 0), (COLUMNS($DC46:DF46)-1)*5 + 1) = INDEX($E$5:$CE$5, 1, (COLUMNS($DC46:DF46)-1)*5 + 1), INDEX($E$8:$CE$57, MATCH($C46, $C$8:$C$57, 0), (COLUMNS($DC46:DF46)-1)*5 + 4) = "F"), INDEX($CZ$8:$CZ$23, COLUMNS($DC46:DF46)), "0"), "")</f>
        <v/>
      </c>
      <c r="DG46" s="395">
        <f t="array" ref="DG46">IFERROR(IF(AND(INDEX($E$8:$CE$57, MATCH($C46, $C$8:$C$57, 0), (COLUMNS($DC46:DG46)-1)*5 + 1) = INDEX($E$5:$CE$5, 1, (COLUMNS($DC46:DG46)-1)*5 + 1), INDEX($E$8:$CE$57, MATCH($C46, $C$8:$C$57, 0), (COLUMNS($DC46:DG46)-1)*5 + 4) = "F"), INDEX($CZ$8:$CZ$23, COLUMNS($DC46:DG46)), "0"), "")</f>
        <v/>
      </c>
      <c r="DH46" s="395">
        <f t="array" ref="DH46">IFERROR(IF(AND(INDEX($E$8:$CE$57, MATCH($C46, $C$8:$C$57, 0), (COLUMNS($DC46:DH46)-1)*5 + 1) = INDEX($E$5:$CE$5, 1, (COLUMNS($DC46:DH46)-1)*5 + 1), INDEX($E$8:$CE$57, MATCH($C46, $C$8:$C$57, 0), (COLUMNS($DC46:DH46)-1)*5 + 4) = "F"), INDEX($CZ$8:$CZ$23, COLUMNS($DC46:DH46)), "0"), "")</f>
        <v/>
      </c>
      <c r="DI46" s="395">
        <f t="array" ref="DI46">IFERROR(IF(AND(INDEX($E$8:$CE$57, MATCH($C46, $C$8:$C$57, 0), (COLUMNS($DC46:DI46)-1)*5 + 1) = INDEX($E$5:$CE$5, 1, (COLUMNS($DC46:DI46)-1)*5 + 1), INDEX($E$8:$CE$57, MATCH($C46, $C$8:$C$57, 0), (COLUMNS($DC46:DI46)-1)*5 + 4) = "F"), INDEX($CZ$8:$CZ$23, COLUMNS($DC46:DI46)), "0"), "")</f>
        <v/>
      </c>
      <c r="DJ46" s="395">
        <f t="array" ref="DJ46">IFERROR(IF(AND(INDEX($E$8:$CE$57, MATCH($C46, $C$8:$C$57, 0), (COLUMNS($DC46:DJ46)-1)*5 + 1) = INDEX($E$5:$CE$5, 1, (COLUMNS($DC46:DJ46)-1)*5 + 1), INDEX($E$8:$CE$57, MATCH($C46, $C$8:$C$57, 0), (COLUMNS($DC46:DJ46)-1)*5 + 4) = "F"), INDEX($CZ$8:$CZ$23, COLUMNS($DC46:DJ46)), "0"), "")</f>
        <v/>
      </c>
      <c r="DK46" s="395">
        <f t="array" ref="DK46">IFERROR(IF(AND(INDEX($E$8:$CE$57, MATCH($C46, $C$8:$C$57, 0), (COLUMNS($DC46:DK46)-1)*5 + 1) = INDEX($E$5:$CE$5, 1, (COLUMNS($DC46:DK46)-1)*5 + 1), INDEX($E$8:$CE$57, MATCH($C46, $C$8:$C$57, 0), (COLUMNS($DC46:DK46)-1)*5 + 4) = "F"), INDEX($CZ$8:$CZ$23, COLUMNS($DC46:DK46)), "0"), "")</f>
        <v/>
      </c>
      <c r="DL46" s="395">
        <f t="array" ref="DL46">IFERROR(IF(AND(INDEX($E$8:$CE$57, MATCH($C46, $C$8:$C$57, 0), (COLUMNS($DC46:DL46)-1)*5 + 1) = INDEX($E$5:$CE$5, 1, (COLUMNS($DC46:DL46)-1)*5 + 1), INDEX($E$8:$CE$57, MATCH($C46, $C$8:$C$57, 0), (COLUMNS($DC46:DL46)-1)*5 + 4) = "F"), INDEX($CZ$8:$CZ$23, COLUMNS($DC46:DL46)), "0"), "")</f>
        <v/>
      </c>
      <c r="DM46" s="395">
        <f t="array" ref="DM46">IFERROR(IF(AND(INDEX($E$8:$CE$57, MATCH($C46, $C$8:$C$57, 0), (COLUMNS($DC46:DM46)-1)*5 + 1) = INDEX($E$5:$CE$5, 1, (COLUMNS($DC46:DM46)-1)*5 + 1), INDEX($E$8:$CE$57, MATCH($C46, $C$8:$C$57, 0), (COLUMNS($DC46:DM46)-1)*5 + 4) = "F"), INDEX($CZ$8:$CZ$23, COLUMNS($DC46:DM46)), "0"), "")</f>
        <v/>
      </c>
      <c r="DN46" s="395">
        <f t="array" ref="DN46">IFERROR(IF(AND(INDEX($E$8:$CE$57, MATCH($C46, $C$8:$C$57, 0), (COLUMNS($DC46:DN46)-1)*5 + 1) = INDEX($E$5:$CE$5, 1, (COLUMNS($DC46:DN46)-1)*5 + 1), INDEX($E$8:$CE$57, MATCH($C46, $C$8:$C$57, 0), (COLUMNS($DC46:DN46)-1)*5 + 4) = "F"), INDEX($CZ$8:$CZ$23, COLUMNS($DC46:DN46)), "0"), "")</f>
        <v/>
      </c>
      <c r="DO46" s="395">
        <f t="array" ref="DO46">IFERROR(IF(AND(INDEX($E$8:$CE$57, MATCH($C46, $C$8:$C$57, 0), (COLUMNS($DC46:DO46)-1)*5 + 1) = INDEX($E$5:$CE$5, 1, (COLUMNS($DC46:DO46)-1)*5 + 1), INDEX($E$8:$CE$57, MATCH($C46, $C$8:$C$57, 0), (COLUMNS($DC46:DO46)-1)*5 + 4) = "F"), INDEX($CZ$8:$CZ$23, COLUMNS($DC46:DO46)), "0"), "")</f>
        <v/>
      </c>
      <c r="DP46" s="395">
        <f t="array" ref="DP46">IFERROR(IF(AND(INDEX($E$8:$CE$57, MATCH($C46, $C$8:$C$57, 0), (COLUMNS($DC46:DP46)-1)*5 + 1) = INDEX($E$5:$CE$5, 1, (COLUMNS($DC46:DP46)-1)*5 + 1), INDEX($E$8:$CE$57, MATCH($C46, $C$8:$C$57, 0), (COLUMNS($DC46:DP46)-1)*5 + 4) = "F"), INDEX($CZ$8:$CZ$23, COLUMNS($DC46:DP46)), "0"), "")</f>
        <v/>
      </c>
      <c r="DQ46" s="395">
        <f t="array" ref="DQ46">IFERROR(IF(AND(INDEX($E$8:$CE$57, MATCH($C46, $C$8:$C$57, 0), (COLUMNS($DC46:DQ46)-1)*5 + 1) = INDEX($E$5:$CE$5, 1, (COLUMNS($DC46:DQ46)-1)*5 + 1), INDEX($E$8:$CE$57, MATCH($C46, $C$8:$C$57, 0), (COLUMNS($DC46:DQ46)-1)*5 + 4) = "F"), INDEX($CZ$8:$CZ$23, COLUMNS($DC46:DQ46)), "0"), "")</f>
        <v/>
      </c>
      <c r="DR46" s="395">
        <f t="array" ref="DR46">IFERROR(IF(AND(INDEX($E$8:$CE$57, MATCH($C46, $C$8:$C$57, 0), (COLUMNS($DC46:DR46)-1)*5 + 1) = INDEX($E$5:$CE$5, 1, (COLUMNS($DC46:DR46)-1)*5 + 1), INDEX($E$8:$CE$57, MATCH($C46, $C$8:$C$57, 0), (COLUMNS($DC46:DR46)-1)*5 + 4) = "F"), INDEX($CZ$8:$CZ$23, COLUMNS($DC46:DR46)), "0"), "")</f>
        <v/>
      </c>
      <c r="DT46" s="605">
        <f>BASE01[[#This Row],[COD]]</f>
        <v/>
      </c>
      <c r="DU46" s="395">
        <f t="array" ref="DU46">IFERROR(IF(AND(INDEX($E$8:$CE$57, MATCH($C46, $C$8:$C$57, 0), (COLUMNS($DU46:DU46)-1)*5 + 1) = INDEX($E$5:$CE$5, 1, (COLUMNS($DU46:DU46)-1)*5 + 1), INDEX($E$8:$CE$57, MATCH($C46, $C$8:$C$57, 0), (COLUMNS($DU46:DU46)-1)*5 + 4) = "SF"), INDEX($CZ$8:$CZ$23, COLUMNS($DU46:DU46)), "0"), "")</f>
        <v/>
      </c>
      <c r="DV46" s="395">
        <f t="array" ref="DV46">IFERROR(IF(AND(INDEX($E$8:$CE$57, MATCH($C46, $C$8:$C$57, 0), (COLUMNS($DU46:DV46)-1)*5 + 1) = INDEX($E$5:$CE$5, 1, (COLUMNS($DU46:DV46)-1)*5 + 1), INDEX($E$8:$CE$57, MATCH($C46, $C$8:$C$57, 0), (COLUMNS($DU46:DV46)-1)*5 + 4) = "SF"), INDEX($CZ$8:$CZ$23, COLUMNS($DU46:DV46)), "0"), "")</f>
        <v/>
      </c>
      <c r="DW46" s="395">
        <f t="array" ref="DW46">IFERROR(IF(AND(INDEX($E$8:$CE$57, MATCH($C46, $C$8:$C$57, 0), (COLUMNS($DU46:DW46)-1)*5 + 1) = INDEX($E$5:$CE$5, 1, (COLUMNS($DU46:DW46)-1)*5 + 1), INDEX($E$8:$CE$57, MATCH($C46, $C$8:$C$57, 0), (COLUMNS($DU46:DW46)-1)*5 + 4) = "SF"), INDEX($CZ$8:$CZ$23, COLUMNS($DU46:DW46)), "0"), "")</f>
        <v/>
      </c>
      <c r="DX46" s="395">
        <f t="array" ref="DX46">IFERROR(IF(AND(INDEX($E$8:$CE$57, MATCH($C46, $C$8:$C$57, 0), (COLUMNS($DU46:DX46)-1)*5 + 1) = INDEX($E$5:$CE$5, 1, (COLUMNS($DU46:DX46)-1)*5 + 1), INDEX($E$8:$CE$57, MATCH($C46, $C$8:$C$57, 0), (COLUMNS($DU46:DX46)-1)*5 + 4) = "SF"), INDEX($CZ$8:$CZ$23, COLUMNS($DU46:DX46)), "0"), "")</f>
        <v/>
      </c>
      <c r="DY46" s="395">
        <f t="array" ref="DY46">IFERROR(IF(AND(INDEX($E$8:$CE$57, MATCH($C46, $C$8:$C$57, 0), (COLUMNS($DU46:DY46)-1)*5 + 1) = INDEX($E$5:$CE$5, 1, (COLUMNS($DU46:DY46)-1)*5 + 1), INDEX($E$8:$CE$57, MATCH($C46, $C$8:$C$57, 0), (COLUMNS($DU46:DY46)-1)*5 + 4) = "SF"), INDEX($CZ$8:$CZ$23, COLUMNS($DU46:DY46)), "0"), "")</f>
        <v/>
      </c>
      <c r="DZ46" s="395">
        <f t="array" ref="DZ46">IFERROR(IF(AND(INDEX($E$8:$CE$57, MATCH($C46, $C$8:$C$57, 0), (COLUMNS($DU46:DZ46)-1)*5 + 1) = INDEX($E$5:$CE$5, 1, (COLUMNS($DU46:DZ46)-1)*5 + 1), INDEX($E$8:$CE$57, MATCH($C46, $C$8:$C$57, 0), (COLUMNS($DU46:DZ46)-1)*5 + 4) = "SF"), INDEX($CZ$8:$CZ$23, COLUMNS($DU46:DZ46)), "0"), "")</f>
        <v/>
      </c>
      <c r="EA46" s="395">
        <f t="array" ref="EA46">IFERROR(IF(AND(INDEX($E$8:$CE$57, MATCH($C46, $C$8:$C$57, 0), (COLUMNS($DU46:EA46)-1)*5 + 1) = INDEX($E$5:$CE$5, 1, (COLUMNS($DU46:EA46)-1)*5 + 1), INDEX($E$8:$CE$57, MATCH($C46, $C$8:$C$57, 0), (COLUMNS($DU46:EA46)-1)*5 + 4) = "SF"), INDEX($CZ$8:$CZ$23, COLUMNS($DU46:EA46)), "0"), "")</f>
        <v/>
      </c>
      <c r="EB46" s="395">
        <f t="array" ref="EB46">IFERROR(IF(AND(INDEX($E$8:$CE$57, MATCH($C46, $C$8:$C$57, 0), (COLUMNS($DU46:EB46)-1)*5 + 1) = INDEX($E$5:$CE$5, 1, (COLUMNS($DU46:EB46)-1)*5 + 1), INDEX($E$8:$CE$57, MATCH($C46, $C$8:$C$57, 0), (COLUMNS($DU46:EB46)-1)*5 + 4) = "SF"), INDEX($CZ$8:$CZ$23, COLUMNS($DU46:EB46)), "0"), "")</f>
        <v/>
      </c>
      <c r="EC46" s="395">
        <f t="array" ref="EC46">IFERROR(IF(AND(INDEX($E$8:$CE$57, MATCH($C46, $C$8:$C$57, 0), (COLUMNS($DU46:EC46)-1)*5 + 1) = INDEX($E$5:$CE$5, 1, (COLUMNS($DU46:EC46)-1)*5 + 1), INDEX($E$8:$CE$57, MATCH($C46, $C$8:$C$57, 0), (COLUMNS($DU46:EC46)-1)*5 + 4) = "SF"), INDEX($CZ$8:$CZ$23, COLUMNS($DU46:EC46)), "0"), "")</f>
        <v/>
      </c>
      <c r="ED46" s="395">
        <f t="array" ref="ED46">IFERROR(IF(AND(INDEX($E$8:$CE$57, MATCH($C46, $C$8:$C$57, 0), (COLUMNS($DU46:ED46)-1)*5 + 1) = INDEX($E$5:$CE$5, 1, (COLUMNS($DU46:ED46)-1)*5 + 1), INDEX($E$8:$CE$57, MATCH($C46, $C$8:$C$57, 0), (COLUMNS($DU46:ED46)-1)*5 + 4) = "SF"), INDEX($CZ$8:$CZ$23, COLUMNS($DU46:ED46)), "0"), "")</f>
        <v/>
      </c>
      <c r="EE46" s="395">
        <f t="array" ref="EE46">IFERROR(IF(AND(INDEX($E$8:$CE$57, MATCH($C46, $C$8:$C$57, 0), (COLUMNS($DU46:EE46)-1)*5 + 1) = INDEX($E$5:$CE$5, 1, (COLUMNS($DU46:EE46)-1)*5 + 1), INDEX($E$8:$CE$57, MATCH($C46, $C$8:$C$57, 0), (COLUMNS($DU46:EE46)-1)*5 + 4) = "SF"), INDEX($CZ$8:$CZ$23, COLUMNS($DU46:EE46)), "0"), "")</f>
        <v/>
      </c>
      <c r="EF46" s="395">
        <f t="array" ref="EF46">IFERROR(IF(AND(INDEX($E$8:$CE$57, MATCH($C46, $C$8:$C$57, 0), (COLUMNS($DU46:EF46)-1)*5 + 1) = INDEX($E$5:$CE$5, 1, (COLUMNS($DU46:EF46)-1)*5 + 1), INDEX($E$8:$CE$57, MATCH($C46, $C$8:$C$57, 0), (COLUMNS($DU46:EF46)-1)*5 + 4) = "SF"), INDEX($CZ$8:$CZ$23, COLUMNS($DU46:EF46)), "0"), "")</f>
        <v/>
      </c>
      <c r="EG46" s="395">
        <f t="array" ref="EG46">IFERROR(IF(AND(INDEX($E$8:$CE$57, MATCH($C46, $C$8:$C$57, 0), (COLUMNS($DU46:EG46)-1)*5 + 1) = INDEX($E$5:$CE$5, 1, (COLUMNS($DU46:EG46)-1)*5 + 1), INDEX($E$8:$CE$57, MATCH($C46, $C$8:$C$57, 0), (COLUMNS($DU46:EG46)-1)*5 + 4) = "SF"), INDEX($CZ$8:$CZ$23, COLUMNS($DU46:EG46)), "0"), "")</f>
        <v/>
      </c>
      <c r="EH46" s="395">
        <f t="array" ref="EH46">IFERROR(IF(AND(INDEX($E$8:$CE$57, MATCH($C46, $C$8:$C$57, 0), (COLUMNS($DU46:EH46)-1)*5 + 1) = INDEX($E$5:$CE$5, 1, (COLUMNS($DU46:EH46)-1)*5 + 1), INDEX($E$8:$CE$57, MATCH($C46, $C$8:$C$57, 0), (COLUMNS($DU46:EH46)-1)*5 + 4) = "SF"), INDEX($CZ$8:$CZ$23, COLUMNS($DU46:EH46)), "0"), "")</f>
        <v/>
      </c>
      <c r="EI46" s="395">
        <f t="array" ref="EI46">IFERROR(IF(AND(INDEX($E$8:$CE$57, MATCH($C46, $C$8:$C$57, 0), (COLUMNS($DU46:EI46)-1)*5 + 1) = INDEX($E$5:$CE$5, 1, (COLUMNS($DU46:EI46)-1)*5 + 1), INDEX($E$8:$CE$57, MATCH($C46, $C$8:$C$57, 0), (COLUMNS($DU46:EI46)-1)*5 + 4) = "SF"), INDEX($CZ$8:$CZ$23, COLUMNS($DU46:EI46)), "0"), "")</f>
        <v/>
      </c>
      <c r="EJ46" s="395">
        <f t="array" ref="EJ46">IFERROR(IF(AND(INDEX($E$8:$CE$57, MATCH($C46, $C$8:$C$57, 0), (COLUMNS($DU46:EJ46)-1)*5 + 1) = INDEX($E$5:$CE$5, 1, (COLUMNS($DU46:EJ46)-1)*5 + 1), INDEX($E$8:$CE$57, MATCH($C46, $C$8:$C$57, 0), (COLUMNS($DU46:EJ46)-1)*5 + 4) = "SF"), INDEX($CZ$8:$CZ$23, COLUMNS($DU46:EJ46)), "0"), "")</f>
        <v/>
      </c>
    </row>
    <row r="47" outlineLevel="1" ht="20.1" customHeight="1" s="568">
      <c r="A47" s="576" t="n"/>
      <c r="B47" s="92">
        <f>IF(BASE01[[#This Row],[COD]]&lt;&gt;"",B46+1,"")</f>
        <v/>
      </c>
      <c r="C47" s="601" t="inlineStr">
        <is>
          <t>COD 40</t>
        </is>
      </c>
      <c r="D47" s="93">
        <f t="array" ref="D47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7" s="145" t="n"/>
      <c r="F47" s="146" t="n"/>
      <c r="G47" s="146" t="n"/>
      <c r="H47" s="146" t="n"/>
      <c r="I47" s="602">
        <f>SUM(IF(E47=E$5,4,0),IF(E47&amp;F47=E$5&amp;F$5,1,0),
IF(AND(E47=E$5,F$6&gt;=$D$115),1,0),
IF(AND(F47=E$5,F$6&gt;=$D$115),1,0),
IF(AND(G47=E$5,F$6&gt;=$D$115),1,0),
IF(E47&amp;H47=I$5,1,0),
IF(F47=E$5,2,0),
IF(G47=E$5,1,0),
IF(OR(E47&amp;F47&amp;G47=E$5&amp;F$5&amp;G$5,E47&amp;F47&amp;G47=E$5&amp;G$5&amp;F$5,E47&amp;F47&amp;G47=F$5&amp;E$5&amp;G$5,E47&amp;F47&amp;G47=F$5&amp;G$5&amp;E$5,E47&amp;F47&amp;G47=G$5&amp;E$5&amp;F$5,E47&amp;F47&amp;G47=G$5&amp;F$5&amp;E$5),2,0),IF(AND(E47=E$5,F$6&gt;=$D$129),1,0),IF(AND(F47=E$5,F$6&gt;=$D$129),1,0),IF(AND(G47=E$5,F$6&gt;=$D$129),1,0),IF(E47&amp;H47=H$5,4,0),IF(AND(E47=E$5,F$6&lt;=$D$104),-0.5,0),IF(AND(F47=E$5,F$6&lt;=$D$104),-0.5,0),IF(AND(G47=E$5,F$6&lt;=$D$104),-0.5,0))</f>
        <v/>
      </c>
      <c r="J47" s="145" t="n"/>
      <c r="K47" s="146" t="n"/>
      <c r="L47" s="146" t="n"/>
      <c r="M47" s="146" t="n"/>
      <c r="N47" s="602">
        <f>SUM(IF(J47=J$5,4,0),IF(J47&amp;K47=J$5&amp;K$5,1,0),
IF(AND(J47=J$5,K$6&gt;=$D$115),1,0),
IF(AND(K47=J$5,K$6&gt;=$D$115),1,0),
IF(AND(L47=J$5,K$6&gt;=$D$115),1,0),
IF(J47&amp;M47=N$5,1,0),
IF(K47=J$5,2,0),
IF(L47=J$5,1,0),
IF(OR(J47&amp;K47&amp;L47=J$5&amp;K$5&amp;L$5,J47&amp;K47&amp;L47=J$5&amp;L$5&amp;K$5,J47&amp;K47&amp;L47=K$5&amp;J$5&amp;L$5,J47&amp;K47&amp;L47=K$5&amp;L$5&amp;J$5,J47&amp;K47&amp;L47=L$5&amp;J$5&amp;K$5,J47&amp;K47&amp;L47=L$5&amp;K$5&amp;J$5),2,0),IF(AND(J47=J$5,K$6&gt;=$D$129),1,0),IF(AND(K47=J$5,K$6&gt;=$D$129),1,0),IF(AND(L47=J$5,K$6&gt;=$D$129),1,0),IF(J47&amp;M47=M$5,4,0),IF(AND(J47=J$5,K$6&lt;=$D$104),-0.5,0),IF(AND(K47=J$5,K$6&lt;=$D$104),-0.5,0),IF(AND(L47=J$5,K$6&lt;=$D$104),-0.5,0))</f>
        <v/>
      </c>
      <c r="O47" s="145" t="n"/>
      <c r="P47" s="146" t="n"/>
      <c r="Q47" s="146" t="n"/>
      <c r="R47" s="146" t="n"/>
      <c r="S47" s="602">
        <f>SUM(IF(O47=O$5,4,0),IF(O47&amp;P47=O$5&amp;P$5,1,0),
IF(AND(O47=O$5,P$6&gt;=$D$115),1,0),
IF(AND(P47=O$5,P$6&gt;=$D$115),1,0),
IF(AND(Q47=O$5,P$6&gt;=$D$115),1,0),
IF(O47&amp;R47=S$5,1,0),
IF(P47=O$5,2,0),
IF(Q47=O$5,1,0),
IF(OR(O47&amp;P47&amp;Q47=O$5&amp;P$5&amp;Q$5,O47&amp;P47&amp;Q47=O$5&amp;Q$5&amp;P$5,O47&amp;P47&amp;Q47=P$5&amp;O$5&amp;Q$5,O47&amp;P47&amp;Q47=P$5&amp;Q$5&amp;O$5,O47&amp;P47&amp;Q47=Q$5&amp;O$5&amp;P$5,O47&amp;P47&amp;Q47=Q$5&amp;P$5&amp;O$5),2,0),IF(AND(O47=O$5,P$6&gt;=$D$129),1,0),IF(AND(P47=O$5,P$6&gt;=$D$129),1,0),IF(AND(Q47=O$5,P$6&gt;=$D$129),1,0),IF(O47&amp;R47=R$5,4,0),IF(AND(O47=O$5,P$6&lt;=$D$104),-0.5,0),IF(AND(P47=O$5,P$6&lt;=$D$104),-0.5,0),IF(AND(Q47=O$5,P$6&lt;=$D$104),-0.5,0))</f>
        <v/>
      </c>
      <c r="T47" s="145" t="n"/>
      <c r="U47" s="146" t="n"/>
      <c r="V47" s="146" t="n"/>
      <c r="W47" s="146" t="n"/>
      <c r="X47" s="602">
        <f>SUM(IF(T47=T$5,4,0),IF(T47&amp;U47=T$5&amp;U$5,1,0),
IF(AND(T47=T$5,U$6&gt;=$D$115),1,0),
IF(AND(U47=T$5,U$6&gt;=$D$115),1,0),
IF(AND(V47=T$5,U$6&gt;=$D$115),1,0),
IF(T47&amp;W47=X$5,1,0),
IF(U47=T$5,2,0),
IF(V47=T$5,1,0),
IF(OR(T47&amp;U47&amp;V47=T$5&amp;U$5&amp;V$5,T47&amp;U47&amp;V47=T$5&amp;V$5&amp;U$5,T47&amp;U47&amp;V47=U$5&amp;T$5&amp;V$5,T47&amp;U47&amp;V47=U$5&amp;V$5&amp;T$5,T47&amp;U47&amp;V47=V$5&amp;T$5&amp;U$5,T47&amp;U47&amp;V47=V$5&amp;U$5&amp;T$5),2,0),IF(AND(T47=T$5,U$6&gt;=$D$129),1,0),IF(AND(U47=T$5,U$6&gt;=$D$129),1,0),IF(AND(V47=T$5,U$6&gt;=$D$129),1,0),IF(T47&amp;W47=W$5,4,0),IF(AND(T47=T$5,U$6&lt;=$D$104),-0.5,0),IF(AND(U47=T$5,U$6&lt;=$D$104),-0.5,0),IF(AND(V47=T$5,U$6&lt;=$D$104),-0.5,0))</f>
        <v/>
      </c>
      <c r="Y47" s="145" t="n"/>
      <c r="Z47" s="146" t="n"/>
      <c r="AA47" s="146" t="n"/>
      <c r="AB47" s="146" t="n"/>
      <c r="AC47" s="602">
        <f>SUM(IF(Y47=Y$5,4,0),IF(Y47&amp;Z47=Y$5&amp;Z$5,1,0),
IF(AND(Y47=Y$5,Z$6&gt;=$D$115),1,0),
IF(AND(Z47=Y$5,Z$6&gt;=$D$115),1,0),
IF(AND(AA47=Y$5,Z$6&gt;=$D$115),1,0),
IF(Y47&amp;AB47=AC$5,1,0),
IF(Z47=Y$5,2,0),
IF(AA47=Y$5,1,0),
IF(OR(Y47&amp;Z47&amp;AA47=Y$5&amp;Z$5&amp;AA$5,Y47&amp;Z47&amp;AA47=Y$5&amp;AA$5&amp;Z$5,Y47&amp;Z47&amp;AA47=Z$5&amp;Y$5&amp;AA$5,Y47&amp;Z47&amp;AA47=Z$5&amp;AA$5&amp;Y$5,Y47&amp;Z47&amp;AA47=AA$5&amp;Y$5&amp;Z$5,Y47&amp;Z47&amp;AA47=AA$5&amp;Z$5&amp;Y$5),2,0),IF(AND(Y47=Y$5,Z$6&gt;=$D$129),1,0),IF(AND(Z47=Y$5,Z$6&gt;=$D$129),1,0),IF(AND(AA47=Y$5,Z$6&gt;=$D$129),1,0),IF(Y47&amp;AB47=AB$5,4,0),IF(AND(Y47=Y$5,Z$6&lt;=$D$104),-0.5,0),IF(AND(Z47=Y$5,Z$6&lt;=$D$104),-0.5,0),IF(AND(AA47=Y$5,Z$6&lt;=$D$104),-0.5,0))</f>
        <v/>
      </c>
      <c r="AD47" s="145" t="n"/>
      <c r="AE47" s="146" t="n"/>
      <c r="AF47" s="146" t="n"/>
      <c r="AG47" s="146" t="n"/>
      <c r="AH47" s="602">
        <f>SUM(IF(AD47=AD$5,4,0),IF(AD47&amp;AE47=AD$5&amp;AE$5,1,0),
IF(AND(AD47=AD$5,AE$6&gt;=$D$115),1,0),
IF(AND(AE47=AD$5,AE$6&gt;=$D$115),1,0),
IF(AND(AF47=AD$5,AE$6&gt;=$D$115),1,0),
IF(AD47&amp;AG47=AH$5,1,0),
IF(AE47=AD$5,2,0),
IF(AF47=AD$5,1,0),
IF(OR(AD47&amp;AE47&amp;AF47=AD$5&amp;AE$5&amp;AF$5,AD47&amp;AE47&amp;AF47=AD$5&amp;AF$5&amp;AE$5,AD47&amp;AE47&amp;AF47=AE$5&amp;AD$5&amp;AF$5,AD47&amp;AE47&amp;AF47=AE$5&amp;AF$5&amp;AD$5,AD47&amp;AE47&amp;AF47=AF$5&amp;AD$5&amp;AE$5,AD47&amp;AE47&amp;AF47=AF$5&amp;AE$5&amp;AD$5),2,0),IF(AND(AD47=AD$5,AE$6&gt;=$D$129),1,0),IF(AND(AE47=AD$5,AE$6&gt;=$D$129),1,0),IF(AND(AF47=AD$5,AE$6&gt;=$D$129),1,0),IF(AD47&amp;AG47=AG$5,4,0),IF(AND(AD47=AD$5,AE$6&lt;=$D$104),-0.5,0),IF(AND(AE47=AD$5,AE$6&lt;=$D$104),-0.5,0),IF(AND(AF47=AD$5,AE$6&lt;=$D$104),-0.5,0))</f>
        <v/>
      </c>
      <c r="AI47" s="145" t="n"/>
      <c r="AJ47" s="146" t="n"/>
      <c r="AK47" s="146" t="n"/>
      <c r="AL47" s="146" t="n"/>
      <c r="AM47" s="602">
        <f>SUM(IF(AI47=AI$5,4,0),IF(AI47&amp;AJ47=AI$5&amp;AJ$5,1,0),
IF(AND(AI47=AI$5,AJ$6&gt;=$D$115),1,0),
IF(AND(AJ47=AI$5,AJ$6&gt;=$D$115),1,0),
IF(AND(AK47=AI$5,AJ$6&gt;=$D$115),1,0),
IF(AI47&amp;AL47=AM$5,1,0),
IF(AJ47=AI$5,2,0),
IF(AK47=AI$5,1,0),
IF(OR(AI47&amp;AJ47&amp;AK47=AI$5&amp;AJ$5&amp;AK$5,AI47&amp;AJ47&amp;AK47=AI$5&amp;AK$5&amp;AJ$5,AI47&amp;AJ47&amp;AK47=AJ$5&amp;AI$5&amp;AK$5,AI47&amp;AJ47&amp;AK47=AJ$5&amp;AK$5&amp;AI$5,AI47&amp;AJ47&amp;AK47=AK$5&amp;AI$5&amp;AJ$5,AI47&amp;AJ47&amp;AK47=AK$5&amp;AJ$5&amp;AI$5),2,0),IF(AND(AI47=AI$5,AJ$6&gt;=$D$129),1,0),IF(AND(AJ47=AI$5,AJ$6&gt;=$D$129),1,0),IF(AND(AK47=AI$5,AJ$6&gt;=$D$129),1,0),IF(AI47&amp;AL47=AL$5,4,0),IF(AND(AI47=AI$5,AJ$6&lt;=$D$104),-0.5,0),IF(AND(AJ47=AI$5,AJ$6&lt;=$D$104),-0.5,0),IF(AND(AK47=AI$5,AJ$6&lt;=$D$104),-0.5,0))</f>
        <v/>
      </c>
      <c r="AN47" s="145" t="n"/>
      <c r="AO47" s="146" t="n"/>
      <c r="AP47" s="146" t="n"/>
      <c r="AQ47" s="146" t="n"/>
      <c r="AR47" s="602">
        <f>SUM(IF(AN47=AN$5,4,0),IF(AN47&amp;AO47=AN$5&amp;AO$5,1,0),
IF(AND(AN47=AN$5,AO$6&gt;=$D$115),1,0),
IF(AND(AO47=AN$5,AO$6&gt;=$D$115),1,0),
IF(AND(AP47=AN$5,AO$6&gt;=$D$115),1,0),
IF(AN47&amp;AQ47=AR$5,1,0),
IF(AO47=AN$5,2,0),
IF(AP47=AN$5,1,0),
IF(OR(AN47&amp;AO47&amp;AP47=AN$5&amp;AO$5&amp;AP$5,AN47&amp;AO47&amp;AP47=AN$5&amp;AP$5&amp;AO$5,AN47&amp;AO47&amp;AP47=AO$5&amp;AN$5&amp;AP$5,AN47&amp;AO47&amp;AP47=AO$5&amp;AP$5&amp;AN$5,AN47&amp;AO47&amp;AP47=AP$5&amp;AN$5&amp;AO$5,AN47&amp;AO47&amp;AP47=AP$5&amp;AO$5&amp;AN$5),2,0),IF(AND(AN47=AN$5,AO$6&gt;=$D$129),1,0),IF(AND(AO47=AN$5,AO$6&gt;=$D$129),1,0),IF(AND(AP47=AN$5,AO$6&gt;=$D$129),1,0),IF(AN47&amp;AQ47=AQ$5,4,0),IF(AND(AN47=AN$5,AO$6&lt;=$D$104),-0.5,0),IF(AND(AO47=AN$5,AO$6&lt;=$D$104),-0.5,0),IF(AND(AP47=AN$5,AO$6&lt;=$D$104),-0.5,0))</f>
        <v/>
      </c>
      <c r="AS47" s="145" t="n"/>
      <c r="AT47" s="146" t="n"/>
      <c r="AU47" s="146" t="n"/>
      <c r="AV47" s="146" t="n"/>
      <c r="AW47" s="602">
        <f>SUM(IF(AS47=AS$5,4,0),IF(AS47&amp;AT47=AS$5&amp;AT$5,1,0),
IF(AND(AS47=AS$5,AT$6&gt;=$D$115),1,0),
IF(AND(AT47=AS$5,AT$6&gt;=$D$115),1,0),
IF(AND(AU47=AS$5,AT$6&gt;=$D$115),1,0),
IF(AS47&amp;AV47=AW$5,1,0),
IF(AT47=AS$5,2,0),
IF(AU47=AS$5,1,0),
IF(OR(AS47&amp;AT47&amp;AU47=AS$5&amp;AT$5&amp;AU$5,AS47&amp;AT47&amp;AU47=AS$5&amp;AU$5&amp;AT$5,AS47&amp;AT47&amp;AU47=AT$5&amp;AS$5&amp;AU$5,AS47&amp;AT47&amp;AU47=AT$5&amp;AU$5&amp;AS$5,AS47&amp;AT47&amp;AU47=AU$5&amp;AS$5&amp;AT$5,AS47&amp;AT47&amp;AU47=AU$5&amp;AT$5&amp;AS$5),2,0),IF(AND(AS47=AS$5,AT$6&gt;=$D$129),1,0),IF(AND(AT47=AS$5,AT$6&gt;=$D$129),1,0),IF(AND(AU47=AS$5,AT$6&gt;=$D$129),1,0),IF(AS47&amp;AV47=AV$5,4,0),IF(AND(AS47=AS$5,AT$6&lt;=$D$104),-0.5,0),IF(AND(AT47=AS$5,AT$6&lt;=$D$104),-0.5,0),IF(AND(AU47=AS$5,AT$6&lt;=$D$104),-0.5,0))</f>
        <v/>
      </c>
      <c r="AX47" s="145" t="n"/>
      <c r="AY47" s="146" t="n"/>
      <c r="AZ47" s="146" t="n"/>
      <c r="BA47" s="146" t="n"/>
      <c r="BB47" s="602">
        <f>SUM(IF(AX47=AX$5,4,0),IF(AX47&amp;AY47=AX$5&amp;AY$5,1,0),
IF(AND(AX47=AX$5,AY$6&gt;=$D$115),1,0),
IF(AND(AY47=AX$5,AY$6&gt;=$D$115),1,0),
IF(AND(AZ47=AX$5,AY$6&gt;=$D$115),1,0),
IF(AX47&amp;BA47=BB$5,1,0),
IF(AY47=AX$5,2,0),
IF(AZ47=AX$5,1,0),
IF(OR(AX47&amp;AY47&amp;AZ47=AX$5&amp;AY$5&amp;AZ$5,AX47&amp;AY47&amp;AZ47=AX$5&amp;AZ$5&amp;AY$5,AX47&amp;AY47&amp;AZ47=AY$5&amp;AX$5&amp;AZ$5,AX47&amp;AY47&amp;AZ47=AY$5&amp;AZ$5&amp;AX$5,AX47&amp;AY47&amp;AZ47=AZ$5&amp;AX$5&amp;AY$5,AX47&amp;AY47&amp;AZ47=AZ$5&amp;AY$5&amp;AX$5),2,0),IF(AND(AX47=AX$5,AY$6&gt;=$D$129),1,0),IF(AND(AY47=AX$5,AY$6&gt;=$D$129),1,0),IF(AND(AZ47=AX$5,AY$6&gt;=$D$129),1,0),IF(AX47&amp;BA47=BA$5,4,0),IF(AND(AX47=AX$5,AY$6&lt;=$D$104),-0.5,0),IF(AND(AY47=AX$5,AY$6&lt;=$D$104),-0.5,0),IF(AND(AZ47=AX$5,AY$6&lt;=$D$104),-0.5,0))</f>
        <v/>
      </c>
      <c r="BC47" s="145" t="n"/>
      <c r="BD47" s="146" t="n"/>
      <c r="BE47" s="146" t="n"/>
      <c r="BF47" s="146" t="n"/>
      <c r="BG47" s="602">
        <f>SUM(IF(BC47=BC$5,4,0),IF(BC47&amp;BD47=BC$5&amp;BD$5,1,0),
IF(AND(BC47=BC$5,BD$6&gt;=$D$115),1,0),
IF(AND(BD47=BC$5,BD$6&gt;=$D$115),1,0),
IF(AND(BE47=BC$5,BD$6&gt;=$D$115),1,0),
IF(BC47&amp;BF47=BG$5,1,0),
IF(BD47=BC$5,2,0),
IF(BE47=BC$5,1,0),
IF(OR(BC47&amp;BD47&amp;BE47=BC$5&amp;BD$5&amp;BE$5,BC47&amp;BD47&amp;BE47=BC$5&amp;BE$5&amp;BD$5,BC47&amp;BD47&amp;BE47=BD$5&amp;BC$5&amp;BE$5,BC47&amp;BD47&amp;BE47=BD$5&amp;BE$5&amp;BC$5,BC47&amp;BD47&amp;BE47=BE$5&amp;BC$5&amp;BD$5,BC47&amp;BD47&amp;BE47=BE$5&amp;BD$5&amp;BC$5),2,0),IF(AND(BC47=BC$5,BD$6&gt;=$D$129),1,0),IF(AND(BD47=BC$5,BD$6&gt;=$D$129),1,0),IF(AND(BE47=BC$5,BD$6&gt;=$D$129),1,0),IF(BC47&amp;BF47=BF$5,4,0),IF(AND(BC47=BC$5,BD$6&lt;=$D$104),-0.5,0),IF(AND(BD47=BC$5,BD$6&lt;=$D$104),-0.5,0),IF(AND(BE47=BC$5,BD$6&lt;=$D$104),-0.5,0))</f>
        <v/>
      </c>
      <c r="BH47" s="145" t="n"/>
      <c r="BI47" s="146" t="n"/>
      <c r="BJ47" s="146" t="n"/>
      <c r="BK47" s="146" t="n"/>
      <c r="BL47" s="602">
        <f>SUM(IF(BH47=BH$5,4,0),IF(BH47&amp;BI47=BH$5&amp;BI$5,1,0),
IF(AND(BH47=BH$5,BI$6&gt;=$D$115),1,0),
IF(AND(BI47=BH$5,BI$6&gt;=$D$115),1,0),
IF(AND(BJ47=BH$5,BI$6&gt;=$D$115),1,0),
IF(BH47&amp;BK47=BL$5,1,0),
IF(BI47=BH$5,2,0),
IF(BJ47=BH$5,1,0),
IF(OR(BH47&amp;BI47&amp;BJ47=BH$5&amp;BI$5&amp;BJ$5,BH47&amp;BI47&amp;BJ47=BH$5&amp;BJ$5&amp;BI$5,BH47&amp;BI47&amp;BJ47=BI$5&amp;BH$5&amp;BJ$5,BH47&amp;BI47&amp;BJ47=BI$5&amp;BJ$5&amp;BH$5,BH47&amp;BI47&amp;BJ47=BJ$5&amp;BH$5&amp;BI$5,BH47&amp;BI47&amp;BJ47=BJ$5&amp;BI$5&amp;BH$5),2,0),IF(AND(BH47=BH$5,BI$6&gt;=$D$129),1,0),IF(AND(BI47=BH$5,BI$6&gt;=$D$129),1,0),IF(AND(BJ47=BH$5,BI$6&gt;=$D$129),1,0),IF(BH47&amp;BK47=BK$5,4,0),IF(AND(BH47=BH$5,BI$6&lt;=$D$104),-0.5,0),IF(AND(BI47=BH$5,BI$6&lt;=$D$104),-0.5,0),IF(AND(BJ47=BH$5,BI$6&lt;=$D$104),-0.5,0))</f>
        <v/>
      </c>
      <c r="BM47" s="145" t="n"/>
      <c r="BN47" s="146" t="n"/>
      <c r="BO47" s="146" t="n"/>
      <c r="BP47" s="146" t="n"/>
      <c r="BQ47" s="602">
        <f>SUM(IF(BM47=BM$5,4,0),IF(BM47&amp;BN47=BM$5&amp;BN$5,1,0),
IF(AND(BM47=BM$5,BN$6&gt;=$D$115),1,0),
IF(AND(BN47=BM$5,BN$6&gt;=$D$115),1,0),
IF(AND(BO47=BM$5,BN$6&gt;=$D$115),1,0),
IF(BM47&amp;BP47=BQ$5,1,0),
IF(BN47=BM$5,2,0),
IF(BO47=BM$5,1,0),
IF(OR(BM47&amp;BN47&amp;BO47=BM$5&amp;BN$5&amp;BO$5,BM47&amp;BN47&amp;BO47=BM$5&amp;BO$5&amp;BN$5,BM47&amp;BN47&amp;BO47=BN$5&amp;BM$5&amp;BO$5,BM47&amp;BN47&amp;BO47=BN$5&amp;BO$5&amp;BM$5,BM47&amp;BN47&amp;BO47=BO$5&amp;BM$5&amp;BN$5,BM47&amp;BN47&amp;BO47=BO$5&amp;BN$5&amp;BM$5),2,0),IF(AND(BM47=BM$5,BN$6&gt;=$D$129),1,0),IF(AND(BN47=BM$5,BN$6&gt;=$D$129),1,0),IF(AND(BO47=BM$5,BN$6&gt;=$D$129),1,0),IF(BM47&amp;BP47=BP$5,4,0),IF(AND(BM47=BM$5,BN$6&lt;=$D$104),-0.5,0),IF(AND(BN47=BM$5,BN$6&lt;=$D$104),-0.5,0),IF(AND(BO47=BM$5,BN$6&lt;=$D$104),-0.5,0))</f>
        <v/>
      </c>
      <c r="BR47" s="145" t="n"/>
      <c r="BS47" s="146" t="n"/>
      <c r="BT47" s="146" t="n"/>
      <c r="BU47" s="146" t="n"/>
      <c r="BV47" s="602">
        <f>SUM(IF(BR47=BR$5,4,0),IF(BR47&amp;BS47=BR$5&amp;BS$5,1,0),
IF(AND(BR47=BR$5,BS$6&gt;=$D$115),1,0),
IF(AND(BS47=BR$5,BS$6&gt;=$D$115),1,0),
IF(AND(BT47=BR$5,BS$6&gt;=$D$115),1,0),
IF(BR47&amp;BU47=BV$5,1,0),
IF(BS47=BR$5,2,0),
IF(BT47=BR$5,1,0),
IF(OR(BR47&amp;BS47&amp;BT47=BR$5&amp;BS$5&amp;BT$5,BR47&amp;BS47&amp;BT47=BR$5&amp;BT$5&amp;BS$5,BR47&amp;BS47&amp;BT47=BS$5&amp;BR$5&amp;BT$5,BR47&amp;BS47&amp;BT47=BS$5&amp;BT$5&amp;BR$5,BR47&amp;BS47&amp;BT47=BT$5&amp;BR$5&amp;BS$5,BR47&amp;BS47&amp;BT47=BT$5&amp;BS$5&amp;BR$5),2,0),IF(AND(BR47=BR$5,BS$6&gt;=$D$129),1,0),IF(AND(BS47=BR$5,BS$6&gt;=$D$129),1,0),IF(AND(BT47=BR$5,BS$6&gt;=$D$129),1,0),IF(BR47&amp;BU47=BU$5,4,0),IF(AND(BR47=BR$5,BS$6&lt;=$D$104),-0.5,0),IF(AND(BS47=BR$5,BS$6&lt;=$D$104),-0.5,0),IF(AND(BT47=BR$5,BS$6&lt;=$D$104),-0.5,0))</f>
        <v/>
      </c>
      <c r="BW47" s="145" t="n"/>
      <c r="BX47" s="146" t="n"/>
      <c r="BY47" s="146" t="n"/>
      <c r="BZ47" s="146" t="n"/>
      <c r="CA47" s="602">
        <f>SUM(IF(BW47=BW$5,4,0),IF(BW47&amp;BX47=BW$5&amp;BX$5,1,0),
IF(AND(BW47=BW$5,BX$6&gt;=$D$115),1,0),
IF(AND(BX47=BW$5,BX$6&gt;=$D$115),1,0),
IF(AND(BY47=BW$5,BX$6&gt;=$D$115),1,0),
IF(BW47&amp;BZ47=CA$5,1,0),
IF(BX47=BW$5,2,0),
IF(BY47=BW$5,1,0),
IF(OR(BW47&amp;BX47&amp;BY47=BW$5&amp;BX$5&amp;BY$5,BW47&amp;BX47&amp;BY47=BW$5&amp;BY$5&amp;BX$5,BW47&amp;BX47&amp;BY47=BX$5&amp;BW$5&amp;BY$5,BW47&amp;BX47&amp;BY47=BX$5&amp;BY$5&amp;BW$5,BW47&amp;BX47&amp;BY47=BY$5&amp;BW$5&amp;BX$5,BW47&amp;BX47&amp;BY47=BY$5&amp;BX$5&amp;BW$5),2,0),IF(AND(BW47=BW$5,BX$6&gt;=$D$129),1,0),IF(AND(BX47=BW$5,BX$6&gt;=$D$129),1,0),IF(AND(BY47=BW$5,BX$6&gt;=$D$129),1,0),IF(BW47&amp;BZ47=BZ$5,4,0),IF(AND(BW47=BW$5,BX$6&lt;=$D$104),-0.5,0),IF(AND(BX47=BW$5,BX$6&lt;=$D$104),-0.5,0),IF(AND(BY47=BW$5,BX$6&lt;=$D$104),-0.5,0))</f>
        <v/>
      </c>
      <c r="CB47" s="145" t="n"/>
      <c r="CC47" s="146" t="n"/>
      <c r="CD47" s="146" t="n"/>
      <c r="CE47" s="146" t="n"/>
      <c r="CF47" s="602">
        <f>SUM(IF(CB47=CB$5,4,0),IF(CB47&amp;CC47=CB$5&amp;CC$5,1,0),
IF(AND(CB47=CB$5,CC$6&gt;=$D$115),1,0),
IF(AND(CC47=CB$5,CC$6&gt;=$D$115),1,0),
IF(AND(CD47=CB$5,CC$6&gt;=$D$115),1,0),
IF(CB47&amp;CE47=CF$5,1,0),
IF(CC47=CB$5,2,0),
IF(CD47=CB$5,1,0),
IF(OR(CB47&amp;CC47&amp;CD47=CB$5&amp;CC$5&amp;CD$5,CB47&amp;CC47&amp;CD47=CB$5&amp;CD$5&amp;CC$5,CB47&amp;CC47&amp;CD47=CC$5&amp;CB$5&amp;CD$5,CB47&amp;CC47&amp;CD47=CC$5&amp;CD$5&amp;CB$5,CB47&amp;CC47&amp;CD47=CD$5&amp;CB$5&amp;CC$5,CB47&amp;CC47&amp;CD47=CD$5&amp;CC$5&amp;CB$5),2,0),IF(AND(CB47=CB$5,CC$6&gt;=$D$129),1,0),IF(AND(CC47=CB$5,CC$6&gt;=$D$129),1,0),IF(AND(CD47=CB$5,CC$6&gt;=$D$129),1,0),IF(CB47&amp;CE47=CE$5,4,0),IF(AND(CB47=CB$5,CC$6&lt;=$D$104),-0.5,0),IF(AND(CC47=CB$5,CC$6&lt;=$D$104),-0.5,0),IF(AND(CD47=CB$5,CC$6&lt;=$D$104),-0.5,0))</f>
        <v/>
      </c>
      <c r="CG47" s="164">
        <f>IF(BASE01[[#This Row],[1]]="",0,$B$4)</f>
        <v/>
      </c>
      <c r="CH47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7" s="166">
        <f>IF(BASE01[[#This Row],[Columna14]]=0,0,(CH47/CG47))</f>
        <v/>
      </c>
      <c r="CJ47" s="165">
        <f>IF(BASE01[[#This Row],[1]]="",0,$B$4)</f>
        <v/>
      </c>
      <c r="CK47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7" s="166">
        <f>IF(BASE01[[#This Row],[Columna14]]=0,0,(CK47/CJ47))</f>
        <v/>
      </c>
      <c r="CM47" s="164">
        <f>IF(BASE01[[#This Row],[1]]="",0,$B$4)</f>
        <v/>
      </c>
      <c r="CN47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7" s="166">
        <f>IF(BASE01[[#This Row],[Columna14]]=0,0,(CN47/CM47))</f>
        <v/>
      </c>
      <c r="CP47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7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Row],[Columna25]],$AX$5,BA47,"SF")+COUNTIFS(BASE01[[#This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7" s="166">
        <f>IF(BASE01[[#This Row],[Columna14]]=0,0,(CQ47/CP47))</f>
        <v/>
      </c>
      <c r="CS47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7" s="95" t="n"/>
      <c r="CU47" s="604">
        <f>SUM(CS47,CT47)</f>
        <v/>
      </c>
      <c r="CV47" s="96">
        <f>IF(BASE01[[#This Row],[TIPO]]="PREMIO",$O$3,"0,00")</f>
        <v/>
      </c>
      <c r="CW47" s="576" t="n"/>
      <c r="CY47" s="606">
        <f>IF(CZ47="","",$CZ$25)</f>
        <v/>
      </c>
      <c r="CZ47" s="392" t="n"/>
      <c r="DA47" s="392">
        <f t="array" ref="DA47">IF(CZ47="", "", IF((INDEX(E$8:CE$57, MATCH(CZ47, C$8:C$57, 0), ($CZ$25-1)*5 + 1) &amp; "") = (INDEX(E$5:CE$5, 1, ($CZ$25-1)*5 + 1) &amp; ""), 1, IF((INDEX(E$8:CE$57, MATCH(CZ47, C$8:C$57, 0), ($CZ$25-1)*5 + 2) &amp; "") = (INDEX(E$5:CE$5, 1, ($CZ$25-1)*5 + 1) &amp; ""), 2, IF((INDEX(E$8:CE$57, MATCH(CZ47, C$8:C$57, 0), ($CZ$25-1)*5 + 3) &amp; "") = (INDEX(E$5:CE$5, 1, ($CZ$25-1)*5 + 1) &amp; ""), 3, ""))))</f>
        <v/>
      </c>
      <c r="DB47" s="605">
        <f>BASE01[[#This Row],[COD]]</f>
        <v/>
      </c>
      <c r="DC47" s="395">
        <f t="array" ref="DC47">IFERROR(IF(AND(INDEX($E$8:$CE$57, MATCH($C47, $C$8:$C$57, 0), (COLUMNS($DC47:DC47)-1)*5 + 1) = INDEX($E$5:$CE$5, 1, (COLUMNS($DC47:DC47)-1)*5 + 1), INDEX($E$8:$CE$57, MATCH($C47, $C$8:$C$57, 0), (COLUMNS($DC47:DC47)-1)*5 + 4) = "F"), INDEX($CZ$8:$CZ$23, COLUMNS($DC47:DC47)), "0"), "")</f>
        <v/>
      </c>
      <c r="DD47" s="395">
        <f t="array" ref="DD47">IFERROR(IF(AND(INDEX($E$8:$CE$57, MATCH($C47, $C$8:$C$57, 0), (COLUMNS($DC47:DD47)-1)*5 + 1) = INDEX($E$5:$CE$5, 1, (COLUMNS($DC47:DD47)-1)*5 + 1), INDEX($E$8:$CE$57, MATCH($C47, $C$8:$C$57, 0), (COLUMNS($DC47:DD47)-1)*5 + 4) = "F"), INDEX($CZ$8:$CZ$23, COLUMNS($DC47:DD47)), "0"), "")</f>
        <v/>
      </c>
      <c r="DE47" s="395">
        <f t="array" ref="DE47">IFERROR(IF(AND(INDEX($E$8:$CE$57, MATCH($C47, $C$8:$C$57, 0), (COLUMNS($DC47:DE47)-1)*5 + 1) = INDEX($E$5:$CE$5, 1, (COLUMNS($DC47:DE47)-1)*5 + 1), INDEX($E$8:$CE$57, MATCH($C47, $C$8:$C$57, 0), (COLUMNS($DC47:DE47)-1)*5 + 4) = "F"), INDEX($CZ$8:$CZ$23, COLUMNS($DC47:DE47)), "0"), "")</f>
        <v/>
      </c>
      <c r="DF47" s="395">
        <f t="array" ref="DF47">IFERROR(IF(AND(INDEX($E$8:$CE$57, MATCH($C47, $C$8:$C$57, 0), (COLUMNS($DC47:DF47)-1)*5 + 1) = INDEX($E$5:$CE$5, 1, (COLUMNS($DC47:DF47)-1)*5 + 1), INDEX($E$8:$CE$57, MATCH($C47, $C$8:$C$57, 0), (COLUMNS($DC47:DF47)-1)*5 + 4) = "F"), INDEX($CZ$8:$CZ$23, COLUMNS($DC47:DF47)), "0"), "")</f>
        <v/>
      </c>
      <c r="DG47" s="395">
        <f t="array" ref="DG47">IFERROR(IF(AND(INDEX($E$8:$CE$57, MATCH($C47, $C$8:$C$57, 0), (COLUMNS($DC47:DG47)-1)*5 + 1) = INDEX($E$5:$CE$5, 1, (COLUMNS($DC47:DG47)-1)*5 + 1), INDEX($E$8:$CE$57, MATCH($C47, $C$8:$C$57, 0), (COLUMNS($DC47:DG47)-1)*5 + 4) = "F"), INDEX($CZ$8:$CZ$23, COLUMNS($DC47:DG47)), "0"), "")</f>
        <v/>
      </c>
      <c r="DH47" s="395">
        <f t="array" ref="DH47">IFERROR(IF(AND(INDEX($E$8:$CE$57, MATCH($C47, $C$8:$C$57, 0), (COLUMNS($DC47:DH47)-1)*5 + 1) = INDEX($E$5:$CE$5, 1, (COLUMNS($DC47:DH47)-1)*5 + 1), INDEX($E$8:$CE$57, MATCH($C47, $C$8:$C$57, 0), (COLUMNS($DC47:DH47)-1)*5 + 4) = "F"), INDEX($CZ$8:$CZ$23, COLUMNS($DC47:DH47)), "0"), "")</f>
        <v/>
      </c>
      <c r="DI47" s="395">
        <f t="array" ref="DI47">IFERROR(IF(AND(INDEX($E$8:$CE$57, MATCH($C47, $C$8:$C$57, 0), (COLUMNS($DC47:DI47)-1)*5 + 1) = INDEX($E$5:$CE$5, 1, (COLUMNS($DC47:DI47)-1)*5 + 1), INDEX($E$8:$CE$57, MATCH($C47, $C$8:$C$57, 0), (COLUMNS($DC47:DI47)-1)*5 + 4) = "F"), INDEX($CZ$8:$CZ$23, COLUMNS($DC47:DI47)), "0"), "")</f>
        <v/>
      </c>
      <c r="DJ47" s="395">
        <f t="array" ref="DJ47">IFERROR(IF(AND(INDEX($E$8:$CE$57, MATCH($C47, $C$8:$C$57, 0), (COLUMNS($DC47:DJ47)-1)*5 + 1) = INDEX($E$5:$CE$5, 1, (COLUMNS($DC47:DJ47)-1)*5 + 1), INDEX($E$8:$CE$57, MATCH($C47, $C$8:$C$57, 0), (COLUMNS($DC47:DJ47)-1)*5 + 4) = "F"), INDEX($CZ$8:$CZ$23, COLUMNS($DC47:DJ47)), "0"), "")</f>
        <v/>
      </c>
      <c r="DK47" s="395">
        <f t="array" ref="DK47">IFERROR(IF(AND(INDEX($E$8:$CE$57, MATCH($C47, $C$8:$C$57, 0), (COLUMNS($DC47:DK47)-1)*5 + 1) = INDEX($E$5:$CE$5, 1, (COLUMNS($DC47:DK47)-1)*5 + 1), INDEX($E$8:$CE$57, MATCH($C47, $C$8:$C$57, 0), (COLUMNS($DC47:DK47)-1)*5 + 4) = "F"), INDEX($CZ$8:$CZ$23, COLUMNS($DC47:DK47)), "0"), "")</f>
        <v/>
      </c>
      <c r="DL47" s="395">
        <f t="array" ref="DL47">IFERROR(IF(AND(INDEX($E$8:$CE$57, MATCH($C47, $C$8:$C$57, 0), (COLUMNS($DC47:DL47)-1)*5 + 1) = INDEX($E$5:$CE$5, 1, (COLUMNS($DC47:DL47)-1)*5 + 1), INDEX($E$8:$CE$57, MATCH($C47, $C$8:$C$57, 0), (COLUMNS($DC47:DL47)-1)*5 + 4) = "F"), INDEX($CZ$8:$CZ$23, COLUMNS($DC47:DL47)), "0"), "")</f>
        <v/>
      </c>
      <c r="DM47" s="395">
        <f t="array" ref="DM47">IFERROR(IF(AND(INDEX($E$8:$CE$57, MATCH($C47, $C$8:$C$57, 0), (COLUMNS($DC47:DM47)-1)*5 + 1) = INDEX($E$5:$CE$5, 1, (COLUMNS($DC47:DM47)-1)*5 + 1), INDEX($E$8:$CE$57, MATCH($C47, $C$8:$C$57, 0), (COLUMNS($DC47:DM47)-1)*5 + 4) = "F"), INDEX($CZ$8:$CZ$23, COLUMNS($DC47:DM47)), "0"), "")</f>
        <v/>
      </c>
      <c r="DN47" s="395">
        <f t="array" ref="DN47">IFERROR(IF(AND(INDEX($E$8:$CE$57, MATCH($C47, $C$8:$C$57, 0), (COLUMNS($DC47:DN47)-1)*5 + 1) = INDEX($E$5:$CE$5, 1, (COLUMNS($DC47:DN47)-1)*5 + 1), INDEX($E$8:$CE$57, MATCH($C47, $C$8:$C$57, 0), (COLUMNS($DC47:DN47)-1)*5 + 4) = "F"), INDEX($CZ$8:$CZ$23, COLUMNS($DC47:DN47)), "0"), "")</f>
        <v/>
      </c>
      <c r="DO47" s="395">
        <f t="array" ref="DO47">IFERROR(IF(AND(INDEX($E$8:$CE$57, MATCH($C47, $C$8:$C$57, 0), (COLUMNS($DC47:DO47)-1)*5 + 1) = INDEX($E$5:$CE$5, 1, (COLUMNS($DC47:DO47)-1)*5 + 1), INDEX($E$8:$CE$57, MATCH($C47, $C$8:$C$57, 0), (COLUMNS($DC47:DO47)-1)*5 + 4) = "F"), INDEX($CZ$8:$CZ$23, COLUMNS($DC47:DO47)), "0"), "")</f>
        <v/>
      </c>
      <c r="DP47" s="395">
        <f t="array" ref="DP47">IFERROR(IF(AND(INDEX($E$8:$CE$57, MATCH($C47, $C$8:$C$57, 0), (COLUMNS($DC47:DP47)-1)*5 + 1) = INDEX($E$5:$CE$5, 1, (COLUMNS($DC47:DP47)-1)*5 + 1), INDEX($E$8:$CE$57, MATCH($C47, $C$8:$C$57, 0), (COLUMNS($DC47:DP47)-1)*5 + 4) = "F"), INDEX($CZ$8:$CZ$23, COLUMNS($DC47:DP47)), "0"), "")</f>
        <v/>
      </c>
      <c r="DQ47" s="395">
        <f t="array" ref="DQ47">IFERROR(IF(AND(INDEX($E$8:$CE$57, MATCH($C47, $C$8:$C$57, 0), (COLUMNS($DC47:DQ47)-1)*5 + 1) = INDEX($E$5:$CE$5, 1, (COLUMNS($DC47:DQ47)-1)*5 + 1), INDEX($E$8:$CE$57, MATCH($C47, $C$8:$C$57, 0), (COLUMNS($DC47:DQ47)-1)*5 + 4) = "F"), INDEX($CZ$8:$CZ$23, COLUMNS($DC47:DQ47)), "0"), "")</f>
        <v/>
      </c>
      <c r="DR47" s="395">
        <f t="array" ref="DR47">IFERROR(IF(AND(INDEX($E$8:$CE$57, MATCH($C47, $C$8:$C$57, 0), (COLUMNS($DC47:DR47)-1)*5 + 1) = INDEX($E$5:$CE$5, 1, (COLUMNS($DC47:DR47)-1)*5 + 1), INDEX($E$8:$CE$57, MATCH($C47, $C$8:$C$57, 0), (COLUMNS($DC47:DR47)-1)*5 + 4) = "F"), INDEX($CZ$8:$CZ$23, COLUMNS($DC47:DR47)), "0"), "")</f>
        <v/>
      </c>
      <c r="DT47" s="605">
        <f>BASE01[[#This Row],[COD]]</f>
        <v/>
      </c>
      <c r="DU47" s="395">
        <f t="array" ref="DU47">IFERROR(IF(AND(INDEX($E$8:$CE$57, MATCH($C47, $C$8:$C$57, 0), (COLUMNS($DU47:DU47)-1)*5 + 1) = INDEX($E$5:$CE$5, 1, (COLUMNS($DU47:DU47)-1)*5 + 1), INDEX($E$8:$CE$57, MATCH($C47, $C$8:$C$57, 0), (COLUMNS($DU47:DU47)-1)*5 + 4) = "SF"), INDEX($CZ$8:$CZ$23, COLUMNS($DU47:DU47)), "0"), "")</f>
        <v/>
      </c>
      <c r="DV47" s="395">
        <f t="array" ref="DV47">IFERROR(IF(AND(INDEX($E$8:$CE$57, MATCH($C47, $C$8:$C$57, 0), (COLUMNS($DU47:DV47)-1)*5 + 1) = INDEX($E$5:$CE$5, 1, (COLUMNS($DU47:DV47)-1)*5 + 1), INDEX($E$8:$CE$57, MATCH($C47, $C$8:$C$57, 0), (COLUMNS($DU47:DV47)-1)*5 + 4) = "SF"), INDEX($CZ$8:$CZ$23, COLUMNS($DU47:DV47)), "0"), "")</f>
        <v/>
      </c>
      <c r="DW47" s="395">
        <f t="array" ref="DW47">IFERROR(IF(AND(INDEX($E$8:$CE$57, MATCH($C47, $C$8:$C$57, 0), (COLUMNS($DU47:DW47)-1)*5 + 1) = INDEX($E$5:$CE$5, 1, (COLUMNS($DU47:DW47)-1)*5 + 1), INDEX($E$8:$CE$57, MATCH($C47, $C$8:$C$57, 0), (COLUMNS($DU47:DW47)-1)*5 + 4) = "SF"), INDEX($CZ$8:$CZ$23, COLUMNS($DU47:DW47)), "0"), "")</f>
        <v/>
      </c>
      <c r="DX47" s="395">
        <f t="array" ref="DX47">IFERROR(IF(AND(INDEX($E$8:$CE$57, MATCH($C47, $C$8:$C$57, 0), (COLUMNS($DU47:DX47)-1)*5 + 1) = INDEX($E$5:$CE$5, 1, (COLUMNS($DU47:DX47)-1)*5 + 1), INDEX($E$8:$CE$57, MATCH($C47, $C$8:$C$57, 0), (COLUMNS($DU47:DX47)-1)*5 + 4) = "SF"), INDEX($CZ$8:$CZ$23, COLUMNS($DU47:DX47)), "0"), "")</f>
        <v/>
      </c>
      <c r="DY47" s="395">
        <f t="array" ref="DY47">IFERROR(IF(AND(INDEX($E$8:$CE$57, MATCH($C47, $C$8:$C$57, 0), (COLUMNS($DU47:DY47)-1)*5 + 1) = INDEX($E$5:$CE$5, 1, (COLUMNS($DU47:DY47)-1)*5 + 1), INDEX($E$8:$CE$57, MATCH($C47, $C$8:$C$57, 0), (COLUMNS($DU47:DY47)-1)*5 + 4) = "SF"), INDEX($CZ$8:$CZ$23, COLUMNS($DU47:DY47)), "0"), "")</f>
        <v/>
      </c>
      <c r="DZ47" s="395">
        <f t="array" ref="DZ47">IFERROR(IF(AND(INDEX($E$8:$CE$57, MATCH($C47, $C$8:$C$57, 0), (COLUMNS($DU47:DZ47)-1)*5 + 1) = INDEX($E$5:$CE$5, 1, (COLUMNS($DU47:DZ47)-1)*5 + 1), INDEX($E$8:$CE$57, MATCH($C47, $C$8:$C$57, 0), (COLUMNS($DU47:DZ47)-1)*5 + 4) = "SF"), INDEX($CZ$8:$CZ$23, COLUMNS($DU47:DZ47)), "0"), "")</f>
        <v/>
      </c>
      <c r="EA47" s="395">
        <f t="array" ref="EA47">IFERROR(IF(AND(INDEX($E$8:$CE$57, MATCH($C47, $C$8:$C$57, 0), (COLUMNS($DU47:EA47)-1)*5 + 1) = INDEX($E$5:$CE$5, 1, (COLUMNS($DU47:EA47)-1)*5 + 1), INDEX($E$8:$CE$57, MATCH($C47, $C$8:$C$57, 0), (COLUMNS($DU47:EA47)-1)*5 + 4) = "SF"), INDEX($CZ$8:$CZ$23, COLUMNS($DU47:EA47)), "0"), "")</f>
        <v/>
      </c>
      <c r="EB47" s="395">
        <f t="array" ref="EB47">IFERROR(IF(AND(INDEX($E$8:$CE$57, MATCH($C47, $C$8:$C$57, 0), (COLUMNS($DU47:EB47)-1)*5 + 1) = INDEX($E$5:$CE$5, 1, (COLUMNS($DU47:EB47)-1)*5 + 1), INDEX($E$8:$CE$57, MATCH($C47, $C$8:$C$57, 0), (COLUMNS($DU47:EB47)-1)*5 + 4) = "SF"), INDEX($CZ$8:$CZ$23, COLUMNS($DU47:EB47)), "0"), "")</f>
        <v/>
      </c>
      <c r="EC47" s="395">
        <f t="array" ref="EC47">IFERROR(IF(AND(INDEX($E$8:$CE$57, MATCH($C47, $C$8:$C$57, 0), (COLUMNS($DU47:EC47)-1)*5 + 1) = INDEX($E$5:$CE$5, 1, (COLUMNS($DU47:EC47)-1)*5 + 1), INDEX($E$8:$CE$57, MATCH($C47, $C$8:$C$57, 0), (COLUMNS($DU47:EC47)-1)*5 + 4) = "SF"), INDEX($CZ$8:$CZ$23, COLUMNS($DU47:EC47)), "0"), "")</f>
        <v/>
      </c>
      <c r="ED47" s="395">
        <f t="array" ref="ED47">IFERROR(IF(AND(INDEX($E$8:$CE$57, MATCH($C47, $C$8:$C$57, 0), (COLUMNS($DU47:ED47)-1)*5 + 1) = INDEX($E$5:$CE$5, 1, (COLUMNS($DU47:ED47)-1)*5 + 1), INDEX($E$8:$CE$57, MATCH($C47, $C$8:$C$57, 0), (COLUMNS($DU47:ED47)-1)*5 + 4) = "SF"), INDEX($CZ$8:$CZ$23, COLUMNS($DU47:ED47)), "0"), "")</f>
        <v/>
      </c>
      <c r="EE47" s="395">
        <f t="array" ref="EE47">IFERROR(IF(AND(INDEX($E$8:$CE$57, MATCH($C47, $C$8:$C$57, 0), (COLUMNS($DU47:EE47)-1)*5 + 1) = INDEX($E$5:$CE$5, 1, (COLUMNS($DU47:EE47)-1)*5 + 1), INDEX($E$8:$CE$57, MATCH($C47, $C$8:$C$57, 0), (COLUMNS($DU47:EE47)-1)*5 + 4) = "SF"), INDEX($CZ$8:$CZ$23, COLUMNS($DU47:EE47)), "0"), "")</f>
        <v/>
      </c>
      <c r="EF47" s="395">
        <f t="array" ref="EF47">IFERROR(IF(AND(INDEX($E$8:$CE$57, MATCH($C47, $C$8:$C$57, 0), (COLUMNS($DU47:EF47)-1)*5 + 1) = INDEX($E$5:$CE$5, 1, (COLUMNS($DU47:EF47)-1)*5 + 1), INDEX($E$8:$CE$57, MATCH($C47, $C$8:$C$57, 0), (COLUMNS($DU47:EF47)-1)*5 + 4) = "SF"), INDEX($CZ$8:$CZ$23, COLUMNS($DU47:EF47)), "0"), "")</f>
        <v/>
      </c>
      <c r="EG47" s="395">
        <f t="array" ref="EG47">IFERROR(IF(AND(INDEX($E$8:$CE$57, MATCH($C47, $C$8:$C$57, 0), (COLUMNS($DU47:EG47)-1)*5 + 1) = INDEX($E$5:$CE$5, 1, (COLUMNS($DU47:EG47)-1)*5 + 1), INDEX($E$8:$CE$57, MATCH($C47, $C$8:$C$57, 0), (COLUMNS($DU47:EG47)-1)*5 + 4) = "SF"), INDEX($CZ$8:$CZ$23, COLUMNS($DU47:EG47)), "0"), "")</f>
        <v/>
      </c>
      <c r="EH47" s="395">
        <f t="array" ref="EH47">IFERROR(IF(AND(INDEX($E$8:$CE$57, MATCH($C47, $C$8:$C$57, 0), (COLUMNS($DU47:EH47)-1)*5 + 1) = INDEX($E$5:$CE$5, 1, (COLUMNS($DU47:EH47)-1)*5 + 1), INDEX($E$8:$CE$57, MATCH($C47, $C$8:$C$57, 0), (COLUMNS($DU47:EH47)-1)*5 + 4) = "SF"), INDEX($CZ$8:$CZ$23, COLUMNS($DU47:EH47)), "0"), "")</f>
        <v/>
      </c>
      <c r="EI47" s="395">
        <f t="array" ref="EI47">IFERROR(IF(AND(INDEX($E$8:$CE$57, MATCH($C47, $C$8:$C$57, 0), (COLUMNS($DU47:EI47)-1)*5 + 1) = INDEX($E$5:$CE$5, 1, (COLUMNS($DU47:EI47)-1)*5 + 1), INDEX($E$8:$CE$57, MATCH($C47, $C$8:$C$57, 0), (COLUMNS($DU47:EI47)-1)*5 + 4) = "SF"), INDEX($CZ$8:$CZ$23, COLUMNS($DU47:EI47)), "0"), "")</f>
        <v/>
      </c>
      <c r="EJ47" s="395">
        <f t="array" ref="EJ47">IFERROR(IF(AND(INDEX($E$8:$CE$57, MATCH($C47, $C$8:$C$57, 0), (COLUMNS($DU47:EJ47)-1)*5 + 1) = INDEX($E$5:$CE$5, 1, (COLUMNS($DU47:EJ47)-1)*5 + 1), INDEX($E$8:$CE$57, MATCH($C47, $C$8:$C$57, 0), (COLUMNS($DU47:EJ47)-1)*5 + 4) = "SF"), INDEX($CZ$8:$CZ$23, COLUMNS($DU47:EJ47)), "0"), "")</f>
        <v/>
      </c>
    </row>
    <row r="48" outlineLevel="1" ht="20.1" customHeight="1" s="568">
      <c r="A48" s="576" t="n"/>
      <c r="B48" s="92">
        <f>IF(BASE01[[#This Row],[COD]]&lt;&gt;"",B47+1,"")</f>
        <v/>
      </c>
      <c r="C48" s="601" t="inlineStr">
        <is>
          <t>COD 41</t>
        </is>
      </c>
      <c r="D48" s="93">
        <f t="array" ref="D48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8" s="145" t="n"/>
      <c r="F48" s="146" t="n"/>
      <c r="G48" s="146" t="n"/>
      <c r="H48" s="146" t="n"/>
      <c r="I48" s="602">
        <f>SUM(IF(E48=E$5,4,0),IF(E48&amp;F48=E$5&amp;F$5,1,0),
IF(AND(E48=E$5,F$6&gt;=$D$115),1,0),
IF(AND(F48=E$5,F$6&gt;=$D$115),1,0),
IF(AND(G48=E$5,F$6&gt;=$D$115),1,0),
IF(E48&amp;H48=I$5,1,0),
IF(F48=E$5,2,0),
IF(G48=E$5,1,0),
IF(OR(E48&amp;F48&amp;G48=E$5&amp;F$5&amp;G$5,E48&amp;F48&amp;G48=E$5&amp;G$5&amp;F$5,E48&amp;F48&amp;G48=F$5&amp;E$5&amp;G$5,E48&amp;F48&amp;G48=F$5&amp;G$5&amp;E$5,E48&amp;F48&amp;G48=G$5&amp;E$5&amp;F$5,E48&amp;F48&amp;G48=G$5&amp;F$5&amp;E$5),2,0),IF(AND(E48=E$5,F$6&gt;=$D$129),1,0),IF(AND(F48=E$5,F$6&gt;=$D$129),1,0),IF(AND(G48=E$5,F$6&gt;=$D$129),1,0),IF(E48&amp;H48=H$5,4,0),IF(AND(E48=E$5,F$6&lt;=$D$104),-0.5,0),IF(AND(F48=E$5,F$6&lt;=$D$104),-0.5,0),IF(AND(G48=E$5,F$6&lt;=$D$104),-0.5,0))</f>
        <v/>
      </c>
      <c r="J48" s="145" t="n"/>
      <c r="K48" s="146" t="n"/>
      <c r="L48" s="146" t="n"/>
      <c r="M48" s="146" t="n"/>
      <c r="N48" s="602">
        <f>SUM(IF(J48=J$5,4,0),IF(J48&amp;K48=J$5&amp;K$5,1,0),
IF(AND(J48=J$5,K$6&gt;=$D$115),1,0),
IF(AND(K48=J$5,K$6&gt;=$D$115),1,0),
IF(AND(L48=J$5,K$6&gt;=$D$115),1,0),
IF(J48&amp;M48=N$5,1,0),
IF(K48=J$5,2,0),
IF(L48=J$5,1,0),
IF(OR(J48&amp;K48&amp;L48=J$5&amp;K$5&amp;L$5,J48&amp;K48&amp;L48=J$5&amp;L$5&amp;K$5,J48&amp;K48&amp;L48=K$5&amp;J$5&amp;L$5,J48&amp;K48&amp;L48=K$5&amp;L$5&amp;J$5,J48&amp;K48&amp;L48=L$5&amp;J$5&amp;K$5,J48&amp;K48&amp;L48=L$5&amp;K$5&amp;J$5),2,0),IF(AND(J48=J$5,K$6&gt;=$D$129),1,0),IF(AND(K48=J$5,K$6&gt;=$D$129),1,0),IF(AND(L48=J$5,K$6&gt;=$D$129),1,0),IF(J48&amp;M48=M$5,4,0),IF(AND(J48=J$5,K$6&lt;=$D$104),-0.5,0),IF(AND(K48=J$5,K$6&lt;=$D$104),-0.5,0),IF(AND(L48=J$5,K$6&lt;=$D$104),-0.5,0))</f>
        <v/>
      </c>
      <c r="O48" s="145" t="n"/>
      <c r="P48" s="146" t="n"/>
      <c r="Q48" s="146" t="n"/>
      <c r="R48" s="146" t="n"/>
      <c r="S48" s="602">
        <f>SUM(IF(O48=O$5,4,0),IF(O48&amp;P48=O$5&amp;P$5,1,0),
IF(AND(O48=O$5,P$6&gt;=$D$115),1,0),
IF(AND(P48=O$5,P$6&gt;=$D$115),1,0),
IF(AND(Q48=O$5,P$6&gt;=$D$115),1,0),
IF(O48&amp;R48=S$5,1,0),
IF(P48=O$5,2,0),
IF(Q48=O$5,1,0),
IF(OR(O48&amp;P48&amp;Q48=O$5&amp;P$5&amp;Q$5,O48&amp;P48&amp;Q48=O$5&amp;Q$5&amp;P$5,O48&amp;P48&amp;Q48=P$5&amp;O$5&amp;Q$5,O48&amp;P48&amp;Q48=P$5&amp;Q$5&amp;O$5,O48&amp;P48&amp;Q48=Q$5&amp;O$5&amp;P$5,O48&amp;P48&amp;Q48=Q$5&amp;P$5&amp;O$5),2,0),IF(AND(O48=O$5,P$6&gt;=$D$129),1,0),IF(AND(P48=O$5,P$6&gt;=$D$129),1,0),IF(AND(Q48=O$5,P$6&gt;=$D$129),1,0),IF(O48&amp;R48=R$5,4,0),IF(AND(O48=O$5,P$6&lt;=$D$104),-0.5,0),IF(AND(P48=O$5,P$6&lt;=$D$104),-0.5,0),IF(AND(Q48=O$5,P$6&lt;=$D$104),-0.5,0))</f>
        <v/>
      </c>
      <c r="T48" s="145" t="n"/>
      <c r="U48" s="146" t="n"/>
      <c r="V48" s="146" t="n"/>
      <c r="W48" s="146" t="n"/>
      <c r="X48" s="602">
        <f>SUM(IF(T48=T$5,4,0),IF(T48&amp;U48=T$5&amp;U$5,1,0),
IF(AND(T48=T$5,U$6&gt;=$D$115),1,0),
IF(AND(U48=T$5,U$6&gt;=$D$115),1,0),
IF(AND(V48=T$5,U$6&gt;=$D$115),1,0),
IF(T48&amp;W48=X$5,1,0),
IF(U48=T$5,2,0),
IF(V48=T$5,1,0),
IF(OR(T48&amp;U48&amp;V48=T$5&amp;U$5&amp;V$5,T48&amp;U48&amp;V48=T$5&amp;V$5&amp;U$5,T48&amp;U48&amp;V48=U$5&amp;T$5&amp;V$5,T48&amp;U48&amp;V48=U$5&amp;V$5&amp;T$5,T48&amp;U48&amp;V48=V$5&amp;T$5&amp;U$5,T48&amp;U48&amp;V48=V$5&amp;U$5&amp;T$5),2,0),IF(AND(T48=T$5,U$6&gt;=$D$129),1,0),IF(AND(U48=T$5,U$6&gt;=$D$129),1,0),IF(AND(V48=T$5,U$6&gt;=$D$129),1,0),IF(T48&amp;W48=W$5,4,0),IF(AND(T48=T$5,U$6&lt;=$D$104),-0.5,0),IF(AND(U48=T$5,U$6&lt;=$D$104),-0.5,0),IF(AND(V48=T$5,U$6&lt;=$D$104),-0.5,0))</f>
        <v/>
      </c>
      <c r="Y48" s="145" t="n"/>
      <c r="Z48" s="146" t="n"/>
      <c r="AA48" s="146" t="n"/>
      <c r="AB48" s="146" t="n"/>
      <c r="AC48" s="602">
        <f>SUM(IF(Y48=Y$5,4,0),IF(Y48&amp;Z48=Y$5&amp;Z$5,1,0),
IF(AND(Y48=Y$5,Z$6&gt;=$D$115),1,0),
IF(AND(Z48=Y$5,Z$6&gt;=$D$115),1,0),
IF(AND(AA48=Y$5,Z$6&gt;=$D$115),1,0),
IF(Y48&amp;AB48=AC$5,1,0),
IF(Z48=Y$5,2,0),
IF(AA48=Y$5,1,0),
IF(OR(Y48&amp;Z48&amp;AA48=Y$5&amp;Z$5&amp;AA$5,Y48&amp;Z48&amp;AA48=Y$5&amp;AA$5&amp;Z$5,Y48&amp;Z48&amp;AA48=Z$5&amp;Y$5&amp;AA$5,Y48&amp;Z48&amp;AA48=Z$5&amp;AA$5&amp;Y$5,Y48&amp;Z48&amp;AA48=AA$5&amp;Y$5&amp;Z$5,Y48&amp;Z48&amp;AA48=AA$5&amp;Z$5&amp;Y$5),2,0),IF(AND(Y48=Y$5,Z$6&gt;=$D$129),1,0),IF(AND(Z48=Y$5,Z$6&gt;=$D$129),1,0),IF(AND(AA48=Y$5,Z$6&gt;=$D$129),1,0),IF(Y48&amp;AB48=AB$5,4,0),IF(AND(Y48=Y$5,Z$6&lt;=$D$104),-0.5,0),IF(AND(Z48=Y$5,Z$6&lt;=$D$104),-0.5,0),IF(AND(AA48=Y$5,Z$6&lt;=$D$104),-0.5,0))</f>
        <v/>
      </c>
      <c r="AD48" s="145" t="n"/>
      <c r="AE48" s="146" t="n"/>
      <c r="AF48" s="146" t="n"/>
      <c r="AG48" s="146" t="n"/>
      <c r="AH48" s="602">
        <f>SUM(IF(AD48=AD$5,4,0),IF(AD48&amp;AE48=AD$5&amp;AE$5,1,0),
IF(AND(AD48=AD$5,AE$6&gt;=$D$115),1,0),
IF(AND(AE48=AD$5,AE$6&gt;=$D$115),1,0),
IF(AND(AF48=AD$5,AE$6&gt;=$D$115),1,0),
IF(AD48&amp;AG48=AH$5,1,0),
IF(AE48=AD$5,2,0),
IF(AF48=AD$5,1,0),
IF(OR(AD48&amp;AE48&amp;AF48=AD$5&amp;AE$5&amp;AF$5,AD48&amp;AE48&amp;AF48=AD$5&amp;AF$5&amp;AE$5,AD48&amp;AE48&amp;AF48=AE$5&amp;AD$5&amp;AF$5,AD48&amp;AE48&amp;AF48=AE$5&amp;AF$5&amp;AD$5,AD48&amp;AE48&amp;AF48=AF$5&amp;AD$5&amp;AE$5,AD48&amp;AE48&amp;AF48=AF$5&amp;AE$5&amp;AD$5),2,0),IF(AND(AD48=AD$5,AE$6&gt;=$D$129),1,0),IF(AND(AE48=AD$5,AE$6&gt;=$D$129),1,0),IF(AND(AF48=AD$5,AE$6&gt;=$D$129),1,0),IF(AD48&amp;AG48=AG$5,4,0),IF(AND(AD48=AD$5,AE$6&lt;=$D$104),-0.5,0),IF(AND(AE48=AD$5,AE$6&lt;=$D$104),-0.5,0),IF(AND(AF48=AD$5,AE$6&lt;=$D$104),-0.5,0))</f>
        <v/>
      </c>
      <c r="AI48" s="145" t="n"/>
      <c r="AJ48" s="146" t="n"/>
      <c r="AK48" s="146" t="n"/>
      <c r="AL48" s="146" t="n"/>
      <c r="AM48" s="602">
        <f>SUM(IF(AI48=AI$5,4,0),IF(AI48&amp;AJ48=AI$5&amp;AJ$5,1,0),
IF(AND(AI48=AI$5,AJ$6&gt;=$D$115),1,0),
IF(AND(AJ48=AI$5,AJ$6&gt;=$D$115),1,0),
IF(AND(AK48=AI$5,AJ$6&gt;=$D$115),1,0),
IF(AI48&amp;AL48=AM$5,1,0),
IF(AJ48=AI$5,2,0),
IF(AK48=AI$5,1,0),
IF(OR(AI48&amp;AJ48&amp;AK48=AI$5&amp;AJ$5&amp;AK$5,AI48&amp;AJ48&amp;AK48=AI$5&amp;AK$5&amp;AJ$5,AI48&amp;AJ48&amp;AK48=AJ$5&amp;AI$5&amp;AK$5,AI48&amp;AJ48&amp;AK48=AJ$5&amp;AK$5&amp;AI$5,AI48&amp;AJ48&amp;AK48=AK$5&amp;AI$5&amp;AJ$5,AI48&amp;AJ48&amp;AK48=AK$5&amp;AJ$5&amp;AI$5),2,0),IF(AND(AI48=AI$5,AJ$6&gt;=$D$129),1,0),IF(AND(AJ48=AI$5,AJ$6&gt;=$D$129),1,0),IF(AND(AK48=AI$5,AJ$6&gt;=$D$129),1,0),IF(AI48&amp;AL48=AL$5,4,0),IF(AND(AI48=AI$5,AJ$6&lt;=$D$104),-0.5,0),IF(AND(AJ48=AI$5,AJ$6&lt;=$D$104),-0.5,0),IF(AND(AK48=AI$5,AJ$6&lt;=$D$104),-0.5,0))</f>
        <v/>
      </c>
      <c r="AN48" s="145" t="n"/>
      <c r="AO48" s="146" t="n"/>
      <c r="AP48" s="146" t="n"/>
      <c r="AQ48" s="146" t="n"/>
      <c r="AR48" s="602">
        <f>SUM(IF(AN48=AN$5,4,0),IF(AN48&amp;AO48=AN$5&amp;AO$5,1,0),
IF(AND(AN48=AN$5,AO$6&gt;=$D$115),1,0),
IF(AND(AO48=AN$5,AO$6&gt;=$D$115),1,0),
IF(AND(AP48=AN$5,AO$6&gt;=$D$115),1,0),
IF(AN48&amp;AQ48=AR$5,1,0),
IF(AO48=AN$5,2,0),
IF(AP48=AN$5,1,0),
IF(OR(AN48&amp;AO48&amp;AP48=AN$5&amp;AO$5&amp;AP$5,AN48&amp;AO48&amp;AP48=AN$5&amp;AP$5&amp;AO$5,AN48&amp;AO48&amp;AP48=AO$5&amp;AN$5&amp;AP$5,AN48&amp;AO48&amp;AP48=AO$5&amp;AP$5&amp;AN$5,AN48&amp;AO48&amp;AP48=AP$5&amp;AN$5&amp;AO$5,AN48&amp;AO48&amp;AP48=AP$5&amp;AO$5&amp;AN$5),2,0),IF(AND(AN48=AN$5,AO$6&gt;=$D$129),1,0),IF(AND(AO48=AN$5,AO$6&gt;=$D$129),1,0),IF(AND(AP48=AN$5,AO$6&gt;=$D$129),1,0),IF(AN48&amp;AQ48=AQ$5,4,0),IF(AND(AN48=AN$5,AO$6&lt;=$D$104),-0.5,0),IF(AND(AO48=AN$5,AO$6&lt;=$D$104),-0.5,0),IF(AND(AP48=AN$5,AO$6&lt;=$D$104),-0.5,0))</f>
        <v/>
      </c>
      <c r="AS48" s="145" t="n"/>
      <c r="AT48" s="146" t="n"/>
      <c r="AU48" s="146" t="n"/>
      <c r="AV48" s="146" t="n"/>
      <c r="AW48" s="602">
        <f>SUM(IF(AS48=AS$5,4,0),IF(AS48&amp;AT48=AS$5&amp;AT$5,1,0),
IF(AND(AS48=AS$5,AT$6&gt;=$D$115),1,0),
IF(AND(AT48=AS$5,AT$6&gt;=$D$115),1,0),
IF(AND(AU48=AS$5,AT$6&gt;=$D$115),1,0),
IF(AS48&amp;AV48=AW$5,1,0),
IF(AT48=AS$5,2,0),
IF(AU48=AS$5,1,0),
IF(OR(AS48&amp;AT48&amp;AU48=AS$5&amp;AT$5&amp;AU$5,AS48&amp;AT48&amp;AU48=AS$5&amp;AU$5&amp;AT$5,AS48&amp;AT48&amp;AU48=AT$5&amp;AS$5&amp;AU$5,AS48&amp;AT48&amp;AU48=AT$5&amp;AU$5&amp;AS$5,AS48&amp;AT48&amp;AU48=AU$5&amp;AS$5&amp;AT$5,AS48&amp;AT48&amp;AU48=AU$5&amp;AT$5&amp;AS$5),2,0),IF(AND(AS48=AS$5,AT$6&gt;=$D$129),1,0),IF(AND(AT48=AS$5,AT$6&gt;=$D$129),1,0),IF(AND(AU48=AS$5,AT$6&gt;=$D$129),1,0),IF(AS48&amp;AV48=AV$5,4,0),IF(AND(AS48=AS$5,AT$6&lt;=$D$104),-0.5,0),IF(AND(AT48=AS$5,AT$6&lt;=$D$104),-0.5,0),IF(AND(AU48=AS$5,AT$6&lt;=$D$104),-0.5,0))</f>
        <v/>
      </c>
      <c r="AX48" s="145" t="n"/>
      <c r="AY48" s="146" t="n"/>
      <c r="AZ48" s="146" t="n"/>
      <c r="BA48" s="146" t="n"/>
      <c r="BB48" s="602">
        <f>SUM(IF(AX48=AX$5,4,0),IF(AX48&amp;AY48=AX$5&amp;AY$5,1,0),
IF(AND(AX48=AX$5,AY$6&gt;=$D$115),1,0),
IF(AND(AY48=AX$5,AY$6&gt;=$D$115),1,0),
IF(AND(AZ48=AX$5,AY$6&gt;=$D$115),1,0),
IF(AX48&amp;BA48=BB$5,1,0),
IF(AY48=AX$5,2,0),
IF(AZ48=AX$5,1,0),
IF(OR(AX48&amp;AY48&amp;AZ48=AX$5&amp;AY$5&amp;AZ$5,AX48&amp;AY48&amp;AZ48=AX$5&amp;AZ$5&amp;AY$5,AX48&amp;AY48&amp;AZ48=AY$5&amp;AX$5&amp;AZ$5,AX48&amp;AY48&amp;AZ48=AY$5&amp;AZ$5&amp;AX$5,AX48&amp;AY48&amp;AZ48=AZ$5&amp;AX$5&amp;AY$5,AX48&amp;AY48&amp;AZ48=AZ$5&amp;AY$5&amp;AX$5),2,0),IF(AND(AX48=AX$5,AY$6&gt;=$D$129),1,0),IF(AND(AY48=AX$5,AY$6&gt;=$D$129),1,0),IF(AND(AZ48=AX$5,AY$6&gt;=$D$129),1,0),IF(AX48&amp;BA48=BA$5,4,0),IF(AND(AX48=AX$5,AY$6&lt;=$D$104),-0.5,0),IF(AND(AY48=AX$5,AY$6&lt;=$D$104),-0.5,0),IF(AND(AZ48=AX$5,AY$6&lt;=$D$104),-0.5,0))</f>
        <v/>
      </c>
      <c r="BC48" s="145" t="n"/>
      <c r="BD48" s="146" t="n"/>
      <c r="BE48" s="146" t="n"/>
      <c r="BF48" s="146" t="n"/>
      <c r="BG48" s="602">
        <f>SUM(IF(BC48=BC$5,4,0),IF(BC48&amp;BD48=BC$5&amp;BD$5,1,0),
IF(AND(BC48=BC$5,BD$6&gt;=$D$115),1,0),
IF(AND(BD48=BC$5,BD$6&gt;=$D$115),1,0),
IF(AND(BE48=BC$5,BD$6&gt;=$D$115),1,0),
IF(BC48&amp;BF48=BG$5,1,0),
IF(BD48=BC$5,2,0),
IF(BE48=BC$5,1,0),
IF(OR(BC48&amp;BD48&amp;BE48=BC$5&amp;BD$5&amp;BE$5,BC48&amp;BD48&amp;BE48=BC$5&amp;BE$5&amp;BD$5,BC48&amp;BD48&amp;BE48=BD$5&amp;BC$5&amp;BE$5,BC48&amp;BD48&amp;BE48=BD$5&amp;BE$5&amp;BC$5,BC48&amp;BD48&amp;BE48=BE$5&amp;BC$5&amp;BD$5,BC48&amp;BD48&amp;BE48=BE$5&amp;BD$5&amp;BC$5),2,0),IF(AND(BC48=BC$5,BD$6&gt;=$D$129),1,0),IF(AND(BD48=BC$5,BD$6&gt;=$D$129),1,0),IF(AND(BE48=BC$5,BD$6&gt;=$D$129),1,0),IF(BC48&amp;BF48=BF$5,4,0),IF(AND(BC48=BC$5,BD$6&lt;=$D$104),-0.5,0),IF(AND(BD48=BC$5,BD$6&lt;=$D$104),-0.5,0),IF(AND(BE48=BC$5,BD$6&lt;=$D$104),-0.5,0))</f>
        <v/>
      </c>
      <c r="BH48" s="145" t="n"/>
      <c r="BI48" s="146" t="n"/>
      <c r="BJ48" s="146" t="n"/>
      <c r="BK48" s="146" t="n"/>
      <c r="BL48" s="602">
        <f>SUM(IF(BH48=BH$5,4,0),IF(BH48&amp;BI48=BH$5&amp;BI$5,1,0),
IF(AND(BH48=BH$5,BI$6&gt;=$D$115),1,0),
IF(AND(BI48=BH$5,BI$6&gt;=$D$115),1,0),
IF(AND(BJ48=BH$5,BI$6&gt;=$D$115),1,0),
IF(BH48&amp;BK48=BL$5,1,0),
IF(BI48=BH$5,2,0),
IF(BJ48=BH$5,1,0),
IF(OR(BH48&amp;BI48&amp;BJ48=BH$5&amp;BI$5&amp;BJ$5,BH48&amp;BI48&amp;BJ48=BH$5&amp;BJ$5&amp;BI$5,BH48&amp;BI48&amp;BJ48=BI$5&amp;BH$5&amp;BJ$5,BH48&amp;BI48&amp;BJ48=BI$5&amp;BJ$5&amp;BH$5,BH48&amp;BI48&amp;BJ48=BJ$5&amp;BH$5&amp;BI$5,BH48&amp;BI48&amp;BJ48=BJ$5&amp;BI$5&amp;BH$5),2,0),IF(AND(BH48=BH$5,BI$6&gt;=$D$129),1,0),IF(AND(BI48=BH$5,BI$6&gt;=$D$129),1,0),IF(AND(BJ48=BH$5,BI$6&gt;=$D$129),1,0),IF(BH48&amp;BK48=BK$5,4,0),IF(AND(BH48=BH$5,BI$6&lt;=$D$104),-0.5,0),IF(AND(BI48=BH$5,BI$6&lt;=$D$104),-0.5,0),IF(AND(BJ48=BH$5,BI$6&lt;=$D$104),-0.5,0))</f>
        <v/>
      </c>
      <c r="BM48" s="145" t="n"/>
      <c r="BN48" s="146" t="n"/>
      <c r="BO48" s="146" t="n"/>
      <c r="BP48" s="146" t="n"/>
      <c r="BQ48" s="602">
        <f>SUM(IF(BM48=BM$5,4,0),IF(BM48&amp;BN48=BM$5&amp;BN$5,1,0),
IF(AND(BM48=BM$5,BN$6&gt;=$D$115),1,0),
IF(AND(BN48=BM$5,BN$6&gt;=$D$115),1,0),
IF(AND(BO48=BM$5,BN$6&gt;=$D$115),1,0),
IF(BM48&amp;BP48=BQ$5,1,0),
IF(BN48=BM$5,2,0),
IF(BO48=BM$5,1,0),
IF(OR(BM48&amp;BN48&amp;BO48=BM$5&amp;BN$5&amp;BO$5,BM48&amp;BN48&amp;BO48=BM$5&amp;BO$5&amp;BN$5,BM48&amp;BN48&amp;BO48=BN$5&amp;BM$5&amp;BO$5,BM48&amp;BN48&amp;BO48=BN$5&amp;BO$5&amp;BM$5,BM48&amp;BN48&amp;BO48=BO$5&amp;BM$5&amp;BN$5,BM48&amp;BN48&amp;BO48=BO$5&amp;BN$5&amp;BM$5),2,0),IF(AND(BM48=BM$5,BN$6&gt;=$D$129),1,0),IF(AND(BN48=BM$5,BN$6&gt;=$D$129),1,0),IF(AND(BO48=BM$5,BN$6&gt;=$D$129),1,0),IF(BM48&amp;BP48=BP$5,4,0),IF(AND(BM48=BM$5,BN$6&lt;=$D$104),-0.5,0),IF(AND(BN48=BM$5,BN$6&lt;=$D$104),-0.5,0),IF(AND(BO48=BM$5,BN$6&lt;=$D$104),-0.5,0))</f>
        <v/>
      </c>
      <c r="BR48" s="145" t="n"/>
      <c r="BS48" s="146" t="n"/>
      <c r="BT48" s="146" t="n"/>
      <c r="BU48" s="146" t="n"/>
      <c r="BV48" s="602">
        <f>SUM(IF(BR48=BR$5,4,0),IF(BR48&amp;BS48=BR$5&amp;BS$5,1,0),
IF(AND(BR48=BR$5,BS$6&gt;=$D$115),1,0),
IF(AND(BS48=BR$5,BS$6&gt;=$D$115),1,0),
IF(AND(BT48=BR$5,BS$6&gt;=$D$115),1,0),
IF(BR48&amp;BU48=BV$5,1,0),
IF(BS48=BR$5,2,0),
IF(BT48=BR$5,1,0),
IF(OR(BR48&amp;BS48&amp;BT48=BR$5&amp;BS$5&amp;BT$5,BR48&amp;BS48&amp;BT48=BR$5&amp;BT$5&amp;BS$5,BR48&amp;BS48&amp;BT48=BS$5&amp;BR$5&amp;BT$5,BR48&amp;BS48&amp;BT48=BS$5&amp;BT$5&amp;BR$5,BR48&amp;BS48&amp;BT48=BT$5&amp;BR$5&amp;BS$5,BR48&amp;BS48&amp;BT48=BT$5&amp;BS$5&amp;BR$5),2,0),IF(AND(BR48=BR$5,BS$6&gt;=$D$129),1,0),IF(AND(BS48=BR$5,BS$6&gt;=$D$129),1,0),IF(AND(BT48=BR$5,BS$6&gt;=$D$129),1,0),IF(BR48&amp;BU48=BU$5,4,0),IF(AND(BR48=BR$5,BS$6&lt;=$D$104),-0.5,0),IF(AND(BS48=BR$5,BS$6&lt;=$D$104),-0.5,0),IF(AND(BT48=BR$5,BS$6&lt;=$D$104),-0.5,0))</f>
        <v/>
      </c>
      <c r="BW48" s="145" t="n"/>
      <c r="BX48" s="146" t="n"/>
      <c r="BY48" s="146" t="n"/>
      <c r="BZ48" s="146" t="n"/>
      <c r="CA48" s="602">
        <f>SUM(IF(BW48=BW$5,4,0),IF(BW48&amp;BX48=BW$5&amp;BX$5,1,0),
IF(AND(BW48=BW$5,BX$6&gt;=$D$115),1,0),
IF(AND(BX48=BW$5,BX$6&gt;=$D$115),1,0),
IF(AND(BY48=BW$5,BX$6&gt;=$D$115),1,0),
IF(BW48&amp;BZ48=CA$5,1,0),
IF(BX48=BW$5,2,0),
IF(BY48=BW$5,1,0),
IF(OR(BW48&amp;BX48&amp;BY48=BW$5&amp;BX$5&amp;BY$5,BW48&amp;BX48&amp;BY48=BW$5&amp;BY$5&amp;BX$5,BW48&amp;BX48&amp;BY48=BX$5&amp;BW$5&amp;BY$5,BW48&amp;BX48&amp;BY48=BX$5&amp;BY$5&amp;BW$5,BW48&amp;BX48&amp;BY48=BY$5&amp;BW$5&amp;BX$5,BW48&amp;BX48&amp;BY48=BY$5&amp;BX$5&amp;BW$5),2,0),IF(AND(BW48=BW$5,BX$6&gt;=$D$129),1,0),IF(AND(BX48=BW$5,BX$6&gt;=$D$129),1,0),IF(AND(BY48=BW$5,BX$6&gt;=$D$129),1,0),IF(BW48&amp;BZ48=BZ$5,4,0),IF(AND(BW48=BW$5,BX$6&lt;=$D$104),-0.5,0),IF(AND(BX48=BW$5,BX$6&lt;=$D$104),-0.5,0),IF(AND(BY48=BW$5,BX$6&lt;=$D$104),-0.5,0))</f>
        <v/>
      </c>
      <c r="CB48" s="145" t="n"/>
      <c r="CC48" s="146" t="n"/>
      <c r="CD48" s="146" t="n"/>
      <c r="CE48" s="146" t="n"/>
      <c r="CF48" s="602">
        <f>SUM(IF(CB48=CB$5,4,0),IF(CB48&amp;CC48=CB$5&amp;CC$5,1,0),
IF(AND(CB48=CB$5,CC$6&gt;=$D$115),1,0),
IF(AND(CC48=CB$5,CC$6&gt;=$D$115),1,0),
IF(AND(CD48=CB$5,CC$6&gt;=$D$115),1,0),
IF(CB48&amp;CE48=CF$5,1,0),
IF(CC48=CB$5,2,0),
IF(CD48=CB$5,1,0),
IF(OR(CB48&amp;CC48&amp;CD48=CB$5&amp;CC$5&amp;CD$5,CB48&amp;CC48&amp;CD48=CB$5&amp;CD$5&amp;CC$5,CB48&amp;CC48&amp;CD48=CC$5&amp;CB$5&amp;CD$5,CB48&amp;CC48&amp;CD48=CC$5&amp;CD$5&amp;CB$5,CB48&amp;CC48&amp;CD48=CD$5&amp;CB$5&amp;CC$5,CB48&amp;CC48&amp;CD48=CD$5&amp;CC$5&amp;CB$5),2,0),IF(AND(CB48=CB$5,CC$6&gt;=$D$129),1,0),IF(AND(CC48=CB$5,CC$6&gt;=$D$129),1,0),IF(AND(CD48=CB$5,CC$6&gt;=$D$129),1,0),IF(CB48&amp;CE48=CE$5,4,0),IF(AND(CB48=CB$5,CC$6&lt;=$D$104),-0.5,0),IF(AND(CC48=CB$5,CC$6&lt;=$D$104),-0.5,0),IF(AND(CD48=CB$5,CC$6&lt;=$D$104),-0.5,0))</f>
        <v/>
      </c>
      <c r="CG48" s="164">
        <f>IF(BASE01[[#This Row],[1]]="",0,$B$4)</f>
        <v/>
      </c>
      <c r="CH48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8" s="166">
        <f>IF(BASE01[[#This Row],[Columna14]]=0,0,(CH48/CG48))</f>
        <v/>
      </c>
      <c r="CJ48" s="165">
        <f>IF(BASE01[[#This Row],[1]]="",0,$B$4)</f>
        <v/>
      </c>
      <c r="CK48" s="165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8" s="166">
        <f>IF(BASE01[[#This Row],[Columna14]]=0,0,(CK48/CJ48))</f>
        <v/>
      </c>
      <c r="CM48" s="164">
        <f>IF(BASE01[[#This Row],[1]]="",0,$B$4)</f>
        <v/>
      </c>
      <c r="CN48" s="165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8" s="166">
        <f>IF(BASE01[[#This Row],[Columna14]]=0,0,(CN48/CM48))</f>
        <v/>
      </c>
      <c r="CP48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8" s="165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Row],[Columna25]],$AX$5,BA48,"SF")+COUNTIFS(BASE01[[#This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8" s="166">
        <f>IF(BASE01[[#This Row],[Columna14]]=0,0,(CQ48/CP48))</f>
        <v/>
      </c>
      <c r="CS48" s="603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8" s="95" t="n"/>
      <c r="CU48" s="604">
        <f>SUM(CS48,CT48)</f>
        <v/>
      </c>
      <c r="CV48" s="96">
        <f>IF(BASE01[[#This Row],[TIPO]]="PREMIO",$O$3,"0,00")</f>
        <v/>
      </c>
      <c r="CW48" s="576" t="n"/>
      <c r="CY48" s="606">
        <f>IF(CZ48="","",$CZ$25)</f>
        <v/>
      </c>
      <c r="CZ48" s="392" t="n"/>
      <c r="DA48" s="392">
        <f t="array" ref="DA48">IF(CZ48="", "", IF((INDEX(E$8:CE$57, MATCH(CZ48, C$8:C$57, 0), ($CZ$25-1)*5 + 1) &amp; "") = (INDEX(E$5:CE$5, 1, ($CZ$25-1)*5 + 1) &amp; ""), 1, IF((INDEX(E$8:CE$57, MATCH(CZ48, C$8:C$57, 0), ($CZ$25-1)*5 + 2) &amp; "") = (INDEX(E$5:CE$5, 1, ($CZ$25-1)*5 + 1) &amp; ""), 2, IF((INDEX(E$8:CE$57, MATCH(CZ48, C$8:C$57, 0), ($CZ$25-1)*5 + 3) &amp; "") = (INDEX(E$5:CE$5, 1, ($CZ$25-1)*5 + 1) &amp; ""), 3, ""))))</f>
        <v/>
      </c>
      <c r="DB48" s="605">
        <f>BASE01[[#This Row],[COD]]</f>
        <v/>
      </c>
      <c r="DC48" s="395">
        <f t="array" ref="DC48">IFERROR(IF(AND(INDEX($E$8:$CE$57, MATCH($C48, $C$8:$C$57, 0), (COLUMNS($DC48:DC48)-1)*5 + 1) = INDEX($E$5:$CE$5, 1, (COLUMNS($DC48:DC48)-1)*5 + 1), INDEX($E$8:$CE$57, MATCH($C48, $C$8:$C$57, 0), (COLUMNS($DC48:DC48)-1)*5 + 4) = "F"), INDEX($CZ$8:$CZ$23, COLUMNS($DC48:DC48)), "0"), "")</f>
        <v/>
      </c>
      <c r="DD48" s="395">
        <f t="array" ref="DD48">IFERROR(IF(AND(INDEX($E$8:$CE$57, MATCH($C48, $C$8:$C$57, 0), (COLUMNS($DC48:DD48)-1)*5 + 1) = INDEX($E$5:$CE$5, 1, (COLUMNS($DC48:DD48)-1)*5 + 1), INDEX($E$8:$CE$57, MATCH($C48, $C$8:$C$57, 0), (COLUMNS($DC48:DD48)-1)*5 + 4) = "F"), INDEX($CZ$8:$CZ$23, COLUMNS($DC48:DD48)), "0"), "")</f>
        <v/>
      </c>
      <c r="DE48" s="395">
        <f t="array" ref="DE48">IFERROR(IF(AND(INDEX($E$8:$CE$57, MATCH($C48, $C$8:$C$57, 0), (COLUMNS($DC48:DE48)-1)*5 + 1) = INDEX($E$5:$CE$5, 1, (COLUMNS($DC48:DE48)-1)*5 + 1), INDEX($E$8:$CE$57, MATCH($C48, $C$8:$C$57, 0), (COLUMNS($DC48:DE48)-1)*5 + 4) = "F"), INDEX($CZ$8:$CZ$23, COLUMNS($DC48:DE48)), "0"), "")</f>
        <v/>
      </c>
      <c r="DF48" s="395">
        <f t="array" ref="DF48">IFERROR(IF(AND(INDEX($E$8:$CE$57, MATCH($C48, $C$8:$C$57, 0), (COLUMNS($DC48:DF48)-1)*5 + 1) = INDEX($E$5:$CE$5, 1, (COLUMNS($DC48:DF48)-1)*5 + 1), INDEX($E$8:$CE$57, MATCH($C48, $C$8:$C$57, 0), (COLUMNS($DC48:DF48)-1)*5 + 4) = "F"), INDEX($CZ$8:$CZ$23, COLUMNS($DC48:DF48)), "0"), "")</f>
        <v/>
      </c>
      <c r="DG48" s="395">
        <f t="array" ref="DG48">IFERROR(IF(AND(INDEX($E$8:$CE$57, MATCH($C48, $C$8:$C$57, 0), (COLUMNS($DC48:DG48)-1)*5 + 1) = INDEX($E$5:$CE$5, 1, (COLUMNS($DC48:DG48)-1)*5 + 1), INDEX($E$8:$CE$57, MATCH($C48, $C$8:$C$57, 0), (COLUMNS($DC48:DG48)-1)*5 + 4) = "F"), INDEX($CZ$8:$CZ$23, COLUMNS($DC48:DG48)), "0"), "")</f>
        <v/>
      </c>
      <c r="DH48" s="395">
        <f t="array" ref="DH48">IFERROR(IF(AND(INDEX($E$8:$CE$57, MATCH($C48, $C$8:$C$57, 0), (COLUMNS($DC48:DH48)-1)*5 + 1) = INDEX($E$5:$CE$5, 1, (COLUMNS($DC48:DH48)-1)*5 + 1), INDEX($E$8:$CE$57, MATCH($C48, $C$8:$C$57, 0), (COLUMNS($DC48:DH48)-1)*5 + 4) = "F"), INDEX($CZ$8:$CZ$23, COLUMNS($DC48:DH48)), "0"), "")</f>
        <v/>
      </c>
      <c r="DI48" s="395">
        <f t="array" ref="DI48">IFERROR(IF(AND(INDEX($E$8:$CE$57, MATCH($C48, $C$8:$C$57, 0), (COLUMNS($DC48:DI48)-1)*5 + 1) = INDEX($E$5:$CE$5, 1, (COLUMNS($DC48:DI48)-1)*5 + 1), INDEX($E$8:$CE$57, MATCH($C48, $C$8:$C$57, 0), (COLUMNS($DC48:DI48)-1)*5 + 4) = "F"), INDEX($CZ$8:$CZ$23, COLUMNS($DC48:DI48)), "0"), "")</f>
        <v/>
      </c>
      <c r="DJ48" s="395">
        <f t="array" ref="DJ48">IFERROR(IF(AND(INDEX($E$8:$CE$57, MATCH($C48, $C$8:$C$57, 0), (COLUMNS($DC48:DJ48)-1)*5 + 1) = INDEX($E$5:$CE$5, 1, (COLUMNS($DC48:DJ48)-1)*5 + 1), INDEX($E$8:$CE$57, MATCH($C48, $C$8:$C$57, 0), (COLUMNS($DC48:DJ48)-1)*5 + 4) = "F"), INDEX($CZ$8:$CZ$23, COLUMNS($DC48:DJ48)), "0"), "")</f>
        <v/>
      </c>
      <c r="DK48" s="395">
        <f t="array" ref="DK48">IFERROR(IF(AND(INDEX($E$8:$CE$57, MATCH($C48, $C$8:$C$57, 0), (COLUMNS($DC48:DK48)-1)*5 + 1) = INDEX($E$5:$CE$5, 1, (COLUMNS($DC48:DK48)-1)*5 + 1), INDEX($E$8:$CE$57, MATCH($C48, $C$8:$C$57, 0), (COLUMNS($DC48:DK48)-1)*5 + 4) = "F"), INDEX($CZ$8:$CZ$23, COLUMNS($DC48:DK48)), "0"), "")</f>
        <v/>
      </c>
      <c r="DL48" s="395">
        <f t="array" ref="DL48">IFERROR(IF(AND(INDEX($E$8:$CE$57, MATCH($C48, $C$8:$C$57, 0), (COLUMNS($DC48:DL48)-1)*5 + 1) = INDEX($E$5:$CE$5, 1, (COLUMNS($DC48:DL48)-1)*5 + 1), INDEX($E$8:$CE$57, MATCH($C48, $C$8:$C$57, 0), (COLUMNS($DC48:DL48)-1)*5 + 4) = "F"), INDEX($CZ$8:$CZ$23, COLUMNS($DC48:DL48)), "0"), "")</f>
        <v/>
      </c>
      <c r="DM48" s="395">
        <f t="array" ref="DM48">IFERROR(IF(AND(INDEX($E$8:$CE$57, MATCH($C48, $C$8:$C$57, 0), (COLUMNS($DC48:DM48)-1)*5 + 1) = INDEX($E$5:$CE$5, 1, (COLUMNS($DC48:DM48)-1)*5 + 1), INDEX($E$8:$CE$57, MATCH($C48, $C$8:$C$57, 0), (COLUMNS($DC48:DM48)-1)*5 + 4) = "F"), INDEX($CZ$8:$CZ$23, COLUMNS($DC48:DM48)), "0"), "")</f>
        <v/>
      </c>
      <c r="DN48" s="395">
        <f t="array" ref="DN48">IFERROR(IF(AND(INDEX($E$8:$CE$57, MATCH($C48, $C$8:$C$57, 0), (COLUMNS($DC48:DN48)-1)*5 + 1) = INDEX($E$5:$CE$5, 1, (COLUMNS($DC48:DN48)-1)*5 + 1), INDEX($E$8:$CE$57, MATCH($C48, $C$8:$C$57, 0), (COLUMNS($DC48:DN48)-1)*5 + 4) = "F"), INDEX($CZ$8:$CZ$23, COLUMNS($DC48:DN48)), "0"), "")</f>
        <v/>
      </c>
      <c r="DO48" s="395">
        <f t="array" ref="DO48">IFERROR(IF(AND(INDEX($E$8:$CE$57, MATCH($C48, $C$8:$C$57, 0), (COLUMNS($DC48:DO48)-1)*5 + 1) = INDEX($E$5:$CE$5, 1, (COLUMNS($DC48:DO48)-1)*5 + 1), INDEX($E$8:$CE$57, MATCH($C48, $C$8:$C$57, 0), (COLUMNS($DC48:DO48)-1)*5 + 4) = "F"), INDEX($CZ$8:$CZ$23, COLUMNS($DC48:DO48)), "0"), "")</f>
        <v/>
      </c>
      <c r="DP48" s="395">
        <f t="array" ref="DP48">IFERROR(IF(AND(INDEX($E$8:$CE$57, MATCH($C48, $C$8:$C$57, 0), (COLUMNS($DC48:DP48)-1)*5 + 1) = INDEX($E$5:$CE$5, 1, (COLUMNS($DC48:DP48)-1)*5 + 1), INDEX($E$8:$CE$57, MATCH($C48, $C$8:$C$57, 0), (COLUMNS($DC48:DP48)-1)*5 + 4) = "F"), INDEX($CZ$8:$CZ$23, COLUMNS($DC48:DP48)), "0"), "")</f>
        <v/>
      </c>
      <c r="DQ48" s="395">
        <f t="array" ref="DQ48">IFERROR(IF(AND(INDEX($E$8:$CE$57, MATCH($C48, $C$8:$C$57, 0), (COLUMNS($DC48:DQ48)-1)*5 + 1) = INDEX($E$5:$CE$5, 1, (COLUMNS($DC48:DQ48)-1)*5 + 1), INDEX($E$8:$CE$57, MATCH($C48, $C$8:$C$57, 0), (COLUMNS($DC48:DQ48)-1)*5 + 4) = "F"), INDEX($CZ$8:$CZ$23, COLUMNS($DC48:DQ48)), "0"), "")</f>
        <v/>
      </c>
      <c r="DR48" s="395">
        <f t="array" ref="DR48">IFERROR(IF(AND(INDEX($E$8:$CE$57, MATCH($C48, $C$8:$C$57, 0), (COLUMNS($DC48:DR48)-1)*5 + 1) = INDEX($E$5:$CE$5, 1, (COLUMNS($DC48:DR48)-1)*5 + 1), INDEX($E$8:$CE$57, MATCH($C48, $C$8:$C$57, 0), (COLUMNS($DC48:DR48)-1)*5 + 4) = "F"), INDEX($CZ$8:$CZ$23, COLUMNS($DC48:DR48)), "0"), "")</f>
        <v/>
      </c>
      <c r="DT48" s="605">
        <f>BASE01[[#This Row],[COD]]</f>
        <v/>
      </c>
      <c r="DU48" s="395">
        <f t="array" ref="DU48">IFERROR(IF(AND(INDEX($E$8:$CE$57, MATCH($C48, $C$8:$C$57, 0), (COLUMNS($DU48:DU48)-1)*5 + 1) = INDEX($E$5:$CE$5, 1, (COLUMNS($DU48:DU48)-1)*5 + 1), INDEX($E$8:$CE$57, MATCH($C48, $C$8:$C$57, 0), (COLUMNS($DU48:DU48)-1)*5 + 4) = "SF"), INDEX($CZ$8:$CZ$23, COLUMNS($DU48:DU48)), "0"), "")</f>
        <v/>
      </c>
      <c r="DV48" s="395">
        <f t="array" ref="DV48">IFERROR(IF(AND(INDEX($E$8:$CE$57, MATCH($C48, $C$8:$C$57, 0), (COLUMNS($DU48:DV48)-1)*5 + 1) = INDEX($E$5:$CE$5, 1, (COLUMNS($DU48:DV48)-1)*5 + 1), INDEX($E$8:$CE$57, MATCH($C48, $C$8:$C$57, 0), (COLUMNS($DU48:DV48)-1)*5 + 4) = "SF"), INDEX($CZ$8:$CZ$23, COLUMNS($DU48:DV48)), "0"), "")</f>
        <v/>
      </c>
      <c r="DW48" s="395">
        <f t="array" ref="DW48">IFERROR(IF(AND(INDEX($E$8:$CE$57, MATCH($C48, $C$8:$C$57, 0), (COLUMNS($DU48:DW48)-1)*5 + 1) = INDEX($E$5:$CE$5, 1, (COLUMNS($DU48:DW48)-1)*5 + 1), INDEX($E$8:$CE$57, MATCH($C48, $C$8:$C$57, 0), (COLUMNS($DU48:DW48)-1)*5 + 4) = "SF"), INDEX($CZ$8:$CZ$23, COLUMNS($DU48:DW48)), "0"), "")</f>
        <v/>
      </c>
      <c r="DX48" s="395">
        <f t="array" ref="DX48">IFERROR(IF(AND(INDEX($E$8:$CE$57, MATCH($C48, $C$8:$C$57, 0), (COLUMNS($DU48:DX48)-1)*5 + 1) = INDEX($E$5:$CE$5, 1, (COLUMNS($DU48:DX48)-1)*5 + 1), INDEX($E$8:$CE$57, MATCH($C48, $C$8:$C$57, 0), (COLUMNS($DU48:DX48)-1)*5 + 4) = "SF"), INDEX($CZ$8:$CZ$23, COLUMNS($DU48:DX48)), "0"), "")</f>
        <v/>
      </c>
      <c r="DY48" s="395">
        <f t="array" ref="DY48">IFERROR(IF(AND(INDEX($E$8:$CE$57, MATCH($C48, $C$8:$C$57, 0), (COLUMNS($DU48:DY48)-1)*5 + 1) = INDEX($E$5:$CE$5, 1, (COLUMNS($DU48:DY48)-1)*5 + 1), INDEX($E$8:$CE$57, MATCH($C48, $C$8:$C$57, 0), (COLUMNS($DU48:DY48)-1)*5 + 4) = "SF"), INDEX($CZ$8:$CZ$23, COLUMNS($DU48:DY48)), "0"), "")</f>
        <v/>
      </c>
      <c r="DZ48" s="395">
        <f t="array" ref="DZ48">IFERROR(IF(AND(INDEX($E$8:$CE$57, MATCH($C48, $C$8:$C$57, 0), (COLUMNS($DU48:DZ48)-1)*5 + 1) = INDEX($E$5:$CE$5, 1, (COLUMNS($DU48:DZ48)-1)*5 + 1), INDEX($E$8:$CE$57, MATCH($C48, $C$8:$C$57, 0), (COLUMNS($DU48:DZ48)-1)*5 + 4) = "SF"), INDEX($CZ$8:$CZ$23, COLUMNS($DU48:DZ48)), "0"), "")</f>
        <v/>
      </c>
      <c r="EA48" s="395">
        <f t="array" ref="EA48">IFERROR(IF(AND(INDEX($E$8:$CE$57, MATCH($C48, $C$8:$C$57, 0), (COLUMNS($DU48:EA48)-1)*5 + 1) = INDEX($E$5:$CE$5, 1, (COLUMNS($DU48:EA48)-1)*5 + 1), INDEX($E$8:$CE$57, MATCH($C48, $C$8:$C$57, 0), (COLUMNS($DU48:EA48)-1)*5 + 4) = "SF"), INDEX($CZ$8:$CZ$23, COLUMNS($DU48:EA48)), "0"), "")</f>
        <v/>
      </c>
      <c r="EB48" s="395">
        <f t="array" ref="EB48">IFERROR(IF(AND(INDEX($E$8:$CE$57, MATCH($C48, $C$8:$C$57, 0), (COLUMNS($DU48:EB48)-1)*5 + 1) = INDEX($E$5:$CE$5, 1, (COLUMNS($DU48:EB48)-1)*5 + 1), INDEX($E$8:$CE$57, MATCH($C48, $C$8:$C$57, 0), (COLUMNS($DU48:EB48)-1)*5 + 4) = "SF"), INDEX($CZ$8:$CZ$23, COLUMNS($DU48:EB48)), "0"), "")</f>
        <v/>
      </c>
      <c r="EC48" s="395">
        <f t="array" ref="EC48">IFERROR(IF(AND(INDEX($E$8:$CE$57, MATCH($C48, $C$8:$C$57, 0), (COLUMNS($DU48:EC48)-1)*5 + 1) = INDEX($E$5:$CE$5, 1, (COLUMNS($DU48:EC48)-1)*5 + 1), INDEX($E$8:$CE$57, MATCH($C48, $C$8:$C$57, 0), (COLUMNS($DU48:EC48)-1)*5 + 4) = "SF"), INDEX($CZ$8:$CZ$23, COLUMNS($DU48:EC48)), "0"), "")</f>
        <v/>
      </c>
      <c r="ED48" s="395">
        <f t="array" ref="ED48">IFERROR(IF(AND(INDEX($E$8:$CE$57, MATCH($C48, $C$8:$C$57, 0), (COLUMNS($DU48:ED48)-1)*5 + 1) = INDEX($E$5:$CE$5, 1, (COLUMNS($DU48:ED48)-1)*5 + 1), INDEX($E$8:$CE$57, MATCH($C48, $C$8:$C$57, 0), (COLUMNS($DU48:ED48)-1)*5 + 4) = "SF"), INDEX($CZ$8:$CZ$23, COLUMNS($DU48:ED48)), "0"), "")</f>
        <v/>
      </c>
      <c r="EE48" s="395">
        <f t="array" ref="EE48">IFERROR(IF(AND(INDEX($E$8:$CE$57, MATCH($C48, $C$8:$C$57, 0), (COLUMNS($DU48:EE48)-1)*5 + 1) = INDEX($E$5:$CE$5, 1, (COLUMNS($DU48:EE48)-1)*5 + 1), INDEX($E$8:$CE$57, MATCH($C48, $C$8:$C$57, 0), (COLUMNS($DU48:EE48)-1)*5 + 4) = "SF"), INDEX($CZ$8:$CZ$23, COLUMNS($DU48:EE48)), "0"), "")</f>
        <v/>
      </c>
      <c r="EF48" s="395">
        <f t="array" ref="EF48">IFERROR(IF(AND(INDEX($E$8:$CE$57, MATCH($C48, $C$8:$C$57, 0), (COLUMNS($DU48:EF48)-1)*5 + 1) = INDEX($E$5:$CE$5, 1, (COLUMNS($DU48:EF48)-1)*5 + 1), INDEX($E$8:$CE$57, MATCH($C48, $C$8:$C$57, 0), (COLUMNS($DU48:EF48)-1)*5 + 4) = "SF"), INDEX($CZ$8:$CZ$23, COLUMNS($DU48:EF48)), "0"), "")</f>
        <v/>
      </c>
      <c r="EG48" s="395">
        <f t="array" ref="EG48">IFERROR(IF(AND(INDEX($E$8:$CE$57, MATCH($C48, $C$8:$C$57, 0), (COLUMNS($DU48:EG48)-1)*5 + 1) = INDEX($E$5:$CE$5, 1, (COLUMNS($DU48:EG48)-1)*5 + 1), INDEX($E$8:$CE$57, MATCH($C48, $C$8:$C$57, 0), (COLUMNS($DU48:EG48)-1)*5 + 4) = "SF"), INDEX($CZ$8:$CZ$23, COLUMNS($DU48:EG48)), "0"), "")</f>
        <v/>
      </c>
      <c r="EH48" s="395">
        <f t="array" ref="EH48">IFERROR(IF(AND(INDEX($E$8:$CE$57, MATCH($C48, $C$8:$C$57, 0), (COLUMNS($DU48:EH48)-1)*5 + 1) = INDEX($E$5:$CE$5, 1, (COLUMNS($DU48:EH48)-1)*5 + 1), INDEX($E$8:$CE$57, MATCH($C48, $C$8:$C$57, 0), (COLUMNS($DU48:EH48)-1)*5 + 4) = "SF"), INDEX($CZ$8:$CZ$23, COLUMNS($DU48:EH48)), "0"), "")</f>
        <v/>
      </c>
      <c r="EI48" s="395">
        <f t="array" ref="EI48">IFERROR(IF(AND(INDEX($E$8:$CE$57, MATCH($C48, $C$8:$C$57, 0), (COLUMNS($DU48:EI48)-1)*5 + 1) = INDEX($E$5:$CE$5, 1, (COLUMNS($DU48:EI48)-1)*5 + 1), INDEX($E$8:$CE$57, MATCH($C48, $C$8:$C$57, 0), (COLUMNS($DU48:EI48)-1)*5 + 4) = "SF"), INDEX($CZ$8:$CZ$23, COLUMNS($DU48:EI48)), "0"), "")</f>
        <v/>
      </c>
      <c r="EJ48" s="395">
        <f t="array" ref="EJ48">IFERROR(IF(AND(INDEX($E$8:$CE$57, MATCH($C48, $C$8:$C$57, 0), (COLUMNS($DU48:EJ48)-1)*5 + 1) = INDEX($E$5:$CE$5, 1, (COLUMNS($DU48:EJ48)-1)*5 + 1), INDEX($E$8:$CE$57, MATCH($C48, $C$8:$C$57, 0), (COLUMNS($DU48:EJ48)-1)*5 + 4) = "SF"), INDEX($CZ$8:$CZ$23, COLUMNS($DU48:EJ48)), "0"), "")</f>
        <v/>
      </c>
    </row>
    <row r="49" outlineLevel="1" ht="20.1" customHeight="1" s="568">
      <c r="A49" s="576" t="n"/>
      <c r="B49" s="92">
        <f>IF(BASE01[[#This Row],[COD]]&lt;&gt;"",B48+1,"")</f>
        <v/>
      </c>
      <c r="C49" s="601" t="inlineStr">
        <is>
          <t>COD 42</t>
        </is>
      </c>
      <c r="D49" s="93">
        <f t="array" ref="D49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49" s="145" t="n"/>
      <c r="F49" s="147" t="n"/>
      <c r="G49" s="147" t="n"/>
      <c r="H49" s="147" t="n"/>
      <c r="I49" s="602">
        <f>SUM(IF(E49=E$5,4,0),IF(E49&amp;F49=E$5&amp;F$5,1,0),
IF(AND(E49=E$5,F$6&gt;=$D$115),1,0),
IF(AND(F49=E$5,F$6&gt;=$D$115),1,0),
IF(AND(G49=E$5,F$6&gt;=$D$115),1,0),
IF(E49&amp;H49=I$5,1,0),
IF(F49=E$5,2,0),
IF(G49=E$5,1,0),
IF(OR(E49&amp;F49&amp;G49=E$5&amp;F$5&amp;G$5,E49&amp;F49&amp;G49=E$5&amp;G$5&amp;F$5,E49&amp;F49&amp;G49=F$5&amp;E$5&amp;G$5,E49&amp;F49&amp;G49=F$5&amp;G$5&amp;E$5,E49&amp;F49&amp;G49=G$5&amp;E$5&amp;F$5,E49&amp;F49&amp;G49=G$5&amp;F$5&amp;E$5),2,0),IF(AND(E49=E$5,F$6&gt;=$D$129),1,0),IF(AND(F49=E$5,F$6&gt;=$D$129),1,0),IF(AND(G49=E$5,F$6&gt;=$D$129),1,0),IF(E49&amp;H49=H$5,4,0),IF(AND(E49=E$5,F$6&lt;=$D$104),-0.5,0),IF(AND(F49=E$5,F$6&lt;=$D$104),-0.5,0),IF(AND(G49=E$5,F$6&lt;=$D$104),-0.5,0))</f>
        <v/>
      </c>
      <c r="J49" s="145" t="n"/>
      <c r="K49" s="147" t="n"/>
      <c r="L49" s="147" t="n"/>
      <c r="M49" s="147" t="n"/>
      <c r="N49" s="602">
        <f>SUM(IF(J49=J$5,4,0),IF(J49&amp;K49=J$5&amp;K$5,1,0),
IF(AND(J49=J$5,K$6&gt;=$D$115),1,0),
IF(AND(K49=J$5,K$6&gt;=$D$115),1,0),
IF(AND(L49=J$5,K$6&gt;=$D$115),1,0),
IF(J49&amp;M49=N$5,1,0),
IF(K49=J$5,2,0),
IF(L49=J$5,1,0),
IF(OR(J49&amp;K49&amp;L49=J$5&amp;K$5&amp;L$5,J49&amp;K49&amp;L49=J$5&amp;L$5&amp;K$5,J49&amp;K49&amp;L49=K$5&amp;J$5&amp;L$5,J49&amp;K49&amp;L49=K$5&amp;L$5&amp;J$5,J49&amp;K49&amp;L49=L$5&amp;J$5&amp;K$5,J49&amp;K49&amp;L49=L$5&amp;K$5&amp;J$5),2,0),IF(AND(J49=J$5,K$6&gt;=$D$129),1,0),IF(AND(K49=J$5,K$6&gt;=$D$129),1,0),IF(AND(L49=J$5,K$6&gt;=$D$129),1,0),IF(J49&amp;M49=M$5,4,0),IF(AND(J49=J$5,K$6&lt;=$D$104),-0.5,0),IF(AND(K49=J$5,K$6&lt;=$D$104),-0.5,0),IF(AND(L49=J$5,K$6&lt;=$D$104),-0.5,0))</f>
        <v/>
      </c>
      <c r="O49" s="145" t="n"/>
      <c r="P49" s="147" t="n"/>
      <c r="Q49" s="147" t="n"/>
      <c r="R49" s="147" t="n"/>
      <c r="S49" s="602">
        <f>SUM(IF(O49=O$5,4,0),IF(O49&amp;P49=O$5&amp;P$5,1,0),
IF(AND(O49=O$5,P$6&gt;=$D$115),1,0),
IF(AND(P49=O$5,P$6&gt;=$D$115),1,0),
IF(AND(Q49=O$5,P$6&gt;=$D$115),1,0),
IF(O49&amp;R49=S$5,1,0),
IF(P49=O$5,2,0),
IF(Q49=O$5,1,0),
IF(OR(O49&amp;P49&amp;Q49=O$5&amp;P$5&amp;Q$5,O49&amp;P49&amp;Q49=O$5&amp;Q$5&amp;P$5,O49&amp;P49&amp;Q49=P$5&amp;O$5&amp;Q$5,O49&amp;P49&amp;Q49=P$5&amp;Q$5&amp;O$5,O49&amp;P49&amp;Q49=Q$5&amp;O$5&amp;P$5,O49&amp;P49&amp;Q49=Q$5&amp;P$5&amp;O$5),2,0),IF(AND(O49=O$5,P$6&gt;=$D$129),1,0),IF(AND(P49=O$5,P$6&gt;=$D$129),1,0),IF(AND(Q49=O$5,P$6&gt;=$D$129),1,0),IF(O49&amp;R49=R$5,4,0),IF(AND(O49=O$5,P$6&lt;=$D$104),-0.5,0),IF(AND(P49=O$5,P$6&lt;=$D$104),-0.5,0),IF(AND(Q49=O$5,P$6&lt;=$D$104),-0.5,0))</f>
        <v/>
      </c>
      <c r="T49" s="145" t="n"/>
      <c r="U49" s="147" t="n"/>
      <c r="V49" s="147" t="n"/>
      <c r="W49" s="147" t="n"/>
      <c r="X49" s="602">
        <f>SUM(IF(T49=T$5,4,0),IF(T49&amp;U49=T$5&amp;U$5,1,0),
IF(AND(T49=T$5,U$6&gt;=$D$115),1,0),
IF(AND(U49=T$5,U$6&gt;=$D$115),1,0),
IF(AND(V49=T$5,U$6&gt;=$D$115),1,0),
IF(T49&amp;W49=X$5,1,0),
IF(U49=T$5,2,0),
IF(V49=T$5,1,0),
IF(OR(T49&amp;U49&amp;V49=T$5&amp;U$5&amp;V$5,T49&amp;U49&amp;V49=T$5&amp;V$5&amp;U$5,T49&amp;U49&amp;V49=U$5&amp;T$5&amp;V$5,T49&amp;U49&amp;V49=U$5&amp;V$5&amp;T$5,T49&amp;U49&amp;V49=V$5&amp;T$5&amp;U$5,T49&amp;U49&amp;V49=V$5&amp;U$5&amp;T$5),2,0),IF(AND(T49=T$5,U$6&gt;=$D$129),1,0),IF(AND(U49=T$5,U$6&gt;=$D$129),1,0),IF(AND(V49=T$5,U$6&gt;=$D$129),1,0),IF(T49&amp;W49=W$5,4,0),IF(AND(T49=T$5,U$6&lt;=$D$104),-0.5,0),IF(AND(U49=T$5,U$6&lt;=$D$104),-0.5,0),IF(AND(V49=T$5,U$6&lt;=$D$104),-0.5,0))</f>
        <v/>
      </c>
      <c r="Y49" s="145" t="n"/>
      <c r="Z49" s="147" t="n"/>
      <c r="AA49" s="147" t="n"/>
      <c r="AB49" s="147" t="n"/>
      <c r="AC49" s="602">
        <f>SUM(IF(Y49=Y$5,4,0),IF(Y49&amp;Z49=Y$5&amp;Z$5,1,0),
IF(AND(Y49=Y$5,Z$6&gt;=$D$115),1,0),
IF(AND(Z49=Y$5,Z$6&gt;=$D$115),1,0),
IF(AND(AA49=Y$5,Z$6&gt;=$D$115),1,0),
IF(Y49&amp;AB49=AC$5,1,0),
IF(Z49=Y$5,2,0),
IF(AA49=Y$5,1,0),
IF(OR(Y49&amp;Z49&amp;AA49=Y$5&amp;Z$5&amp;AA$5,Y49&amp;Z49&amp;AA49=Y$5&amp;AA$5&amp;Z$5,Y49&amp;Z49&amp;AA49=Z$5&amp;Y$5&amp;AA$5,Y49&amp;Z49&amp;AA49=Z$5&amp;AA$5&amp;Y$5,Y49&amp;Z49&amp;AA49=AA$5&amp;Y$5&amp;Z$5,Y49&amp;Z49&amp;AA49=AA$5&amp;Z$5&amp;Y$5),2,0),IF(AND(Y49=Y$5,Z$6&gt;=$D$129),1,0),IF(AND(Z49=Y$5,Z$6&gt;=$D$129),1,0),IF(AND(AA49=Y$5,Z$6&gt;=$D$129),1,0),IF(Y49&amp;AB49=AB$5,4,0),IF(AND(Y49=Y$5,Z$6&lt;=$D$104),-0.5,0),IF(AND(Z49=Y$5,Z$6&lt;=$D$104),-0.5,0),IF(AND(AA49=Y$5,Z$6&lt;=$D$104),-0.5,0))</f>
        <v/>
      </c>
      <c r="AD49" s="145" t="n"/>
      <c r="AE49" s="147" t="n"/>
      <c r="AF49" s="147" t="n"/>
      <c r="AG49" s="147" t="n"/>
      <c r="AH49" s="602">
        <f>SUM(IF(AD49=AD$5,4,0),IF(AD49&amp;AE49=AD$5&amp;AE$5,1,0),
IF(AND(AD49=AD$5,AE$6&gt;=$D$115),1,0),
IF(AND(AE49=AD$5,AE$6&gt;=$D$115),1,0),
IF(AND(AF49=AD$5,AE$6&gt;=$D$115),1,0),
IF(AD49&amp;AG49=AH$5,1,0),
IF(AE49=AD$5,2,0),
IF(AF49=AD$5,1,0),
IF(OR(AD49&amp;AE49&amp;AF49=AD$5&amp;AE$5&amp;AF$5,AD49&amp;AE49&amp;AF49=AD$5&amp;AF$5&amp;AE$5,AD49&amp;AE49&amp;AF49=AE$5&amp;AD$5&amp;AF$5,AD49&amp;AE49&amp;AF49=AE$5&amp;AF$5&amp;AD$5,AD49&amp;AE49&amp;AF49=AF$5&amp;AD$5&amp;AE$5,AD49&amp;AE49&amp;AF49=AF$5&amp;AE$5&amp;AD$5),2,0),IF(AND(AD49=AD$5,AE$6&gt;=$D$129),1,0),IF(AND(AE49=AD$5,AE$6&gt;=$D$129),1,0),IF(AND(AF49=AD$5,AE$6&gt;=$D$129),1,0),IF(AD49&amp;AG49=AG$5,4,0),IF(AND(AD49=AD$5,AE$6&lt;=$D$104),-0.5,0),IF(AND(AE49=AD$5,AE$6&lt;=$D$104),-0.5,0),IF(AND(AF49=AD$5,AE$6&lt;=$D$104),-0.5,0))</f>
        <v/>
      </c>
      <c r="AI49" s="145" t="n"/>
      <c r="AJ49" s="147" t="n"/>
      <c r="AK49" s="147" t="n"/>
      <c r="AL49" s="147" t="n"/>
      <c r="AM49" s="602">
        <f>SUM(IF(AI49=AI$5,4,0),IF(AI49&amp;AJ49=AI$5&amp;AJ$5,1,0),
IF(AND(AI49=AI$5,AJ$6&gt;=$D$115),1,0),
IF(AND(AJ49=AI$5,AJ$6&gt;=$D$115),1,0),
IF(AND(AK49=AI$5,AJ$6&gt;=$D$115),1,0),
IF(AI49&amp;AL49=AM$5,1,0),
IF(AJ49=AI$5,2,0),
IF(AK49=AI$5,1,0),
IF(OR(AI49&amp;AJ49&amp;AK49=AI$5&amp;AJ$5&amp;AK$5,AI49&amp;AJ49&amp;AK49=AI$5&amp;AK$5&amp;AJ$5,AI49&amp;AJ49&amp;AK49=AJ$5&amp;AI$5&amp;AK$5,AI49&amp;AJ49&amp;AK49=AJ$5&amp;AK$5&amp;AI$5,AI49&amp;AJ49&amp;AK49=AK$5&amp;AI$5&amp;AJ$5,AI49&amp;AJ49&amp;AK49=AK$5&amp;AJ$5&amp;AI$5),2,0),IF(AND(AI49=AI$5,AJ$6&gt;=$D$129),1,0),IF(AND(AJ49=AI$5,AJ$6&gt;=$D$129),1,0),IF(AND(AK49=AI$5,AJ$6&gt;=$D$129),1,0),IF(AI49&amp;AL49=AL$5,4,0),IF(AND(AI49=AI$5,AJ$6&lt;=$D$104),-0.5,0),IF(AND(AJ49=AI$5,AJ$6&lt;=$D$104),-0.5,0),IF(AND(AK49=AI$5,AJ$6&lt;=$D$104),-0.5,0))</f>
        <v/>
      </c>
      <c r="AN49" s="145" t="n"/>
      <c r="AO49" s="147" t="n"/>
      <c r="AP49" s="147" t="n"/>
      <c r="AQ49" s="147" t="n"/>
      <c r="AR49" s="602">
        <f>SUM(IF(AN49=AN$5,4,0),IF(AN49&amp;AO49=AN$5&amp;AO$5,1,0),
IF(AND(AN49=AN$5,AO$6&gt;=$D$115),1,0),
IF(AND(AO49=AN$5,AO$6&gt;=$D$115),1,0),
IF(AND(AP49=AN$5,AO$6&gt;=$D$115),1,0),
IF(AN49&amp;AQ49=AR$5,1,0),
IF(AO49=AN$5,2,0),
IF(AP49=AN$5,1,0),
IF(OR(AN49&amp;AO49&amp;AP49=AN$5&amp;AO$5&amp;AP$5,AN49&amp;AO49&amp;AP49=AN$5&amp;AP$5&amp;AO$5,AN49&amp;AO49&amp;AP49=AO$5&amp;AN$5&amp;AP$5,AN49&amp;AO49&amp;AP49=AO$5&amp;AP$5&amp;AN$5,AN49&amp;AO49&amp;AP49=AP$5&amp;AN$5&amp;AO$5,AN49&amp;AO49&amp;AP49=AP$5&amp;AO$5&amp;AN$5),2,0),IF(AND(AN49=AN$5,AO$6&gt;=$D$129),1,0),IF(AND(AO49=AN$5,AO$6&gt;=$D$129),1,0),IF(AND(AP49=AN$5,AO$6&gt;=$D$129),1,0),IF(AN49&amp;AQ49=AQ$5,4,0),IF(AND(AN49=AN$5,AO$6&lt;=$D$104),-0.5,0),IF(AND(AO49=AN$5,AO$6&lt;=$D$104),-0.5,0),IF(AND(AP49=AN$5,AO$6&lt;=$D$104),-0.5,0))</f>
        <v/>
      </c>
      <c r="AS49" s="145" t="n"/>
      <c r="AT49" s="147" t="n"/>
      <c r="AU49" s="147" t="n"/>
      <c r="AV49" s="147" t="n"/>
      <c r="AW49" s="602">
        <f>SUM(IF(AS49=AS$5,4,0),IF(AS49&amp;AT49=AS$5&amp;AT$5,1,0),
IF(AND(AS49=AS$5,AT$6&gt;=$D$115),1,0),
IF(AND(AT49=AS$5,AT$6&gt;=$D$115),1,0),
IF(AND(AU49=AS$5,AT$6&gt;=$D$115),1,0),
IF(AS49&amp;AV49=AW$5,1,0),
IF(AT49=AS$5,2,0),
IF(AU49=AS$5,1,0),
IF(OR(AS49&amp;AT49&amp;AU49=AS$5&amp;AT$5&amp;AU$5,AS49&amp;AT49&amp;AU49=AS$5&amp;AU$5&amp;AT$5,AS49&amp;AT49&amp;AU49=AT$5&amp;AS$5&amp;AU$5,AS49&amp;AT49&amp;AU49=AT$5&amp;AU$5&amp;AS$5,AS49&amp;AT49&amp;AU49=AU$5&amp;AS$5&amp;AT$5,AS49&amp;AT49&amp;AU49=AU$5&amp;AT$5&amp;AS$5),2,0),IF(AND(AS49=AS$5,AT$6&gt;=$D$129),1,0),IF(AND(AT49=AS$5,AT$6&gt;=$D$129),1,0),IF(AND(AU49=AS$5,AT$6&gt;=$D$129),1,0),IF(AS49&amp;AV49=AV$5,4,0),IF(AND(AS49=AS$5,AT$6&lt;=$D$104),-0.5,0),IF(AND(AT49=AS$5,AT$6&lt;=$D$104),-0.5,0),IF(AND(AU49=AS$5,AT$6&lt;=$D$104),-0.5,0))</f>
        <v/>
      </c>
      <c r="AX49" s="145" t="n"/>
      <c r="AY49" s="147" t="n"/>
      <c r="AZ49" s="147" t="n"/>
      <c r="BA49" s="147" t="n"/>
      <c r="BB49" s="602">
        <f>SUM(IF(AX49=AX$5,4,0),IF(AX49&amp;AY49=AX$5&amp;AY$5,1,0),
IF(AND(AX49=AX$5,AY$6&gt;=$D$115),1,0),
IF(AND(AY49=AX$5,AY$6&gt;=$D$115),1,0),
IF(AND(AZ49=AX$5,AY$6&gt;=$D$115),1,0),
IF(AX49&amp;BA49=BB$5,1,0),
IF(AY49=AX$5,2,0),
IF(AZ49=AX$5,1,0),
IF(OR(AX49&amp;AY49&amp;AZ49=AX$5&amp;AY$5&amp;AZ$5,AX49&amp;AY49&amp;AZ49=AX$5&amp;AZ$5&amp;AY$5,AX49&amp;AY49&amp;AZ49=AY$5&amp;AX$5&amp;AZ$5,AX49&amp;AY49&amp;AZ49=AY$5&amp;AZ$5&amp;AX$5,AX49&amp;AY49&amp;AZ49=AZ$5&amp;AX$5&amp;AY$5,AX49&amp;AY49&amp;AZ49=AZ$5&amp;AY$5&amp;AX$5),2,0),IF(AND(AX49=AX$5,AY$6&gt;=$D$129),1,0),IF(AND(AY49=AX$5,AY$6&gt;=$D$129),1,0),IF(AND(AZ49=AX$5,AY$6&gt;=$D$129),1,0),IF(AX49&amp;BA49=BA$5,4,0),IF(AND(AX49=AX$5,AY$6&lt;=$D$104),-0.5,0),IF(AND(AY49=AX$5,AY$6&lt;=$D$104),-0.5,0),IF(AND(AZ49=AX$5,AY$6&lt;=$D$104),-0.5,0))</f>
        <v/>
      </c>
      <c r="BC49" s="145" t="n"/>
      <c r="BD49" s="147" t="n"/>
      <c r="BE49" s="147" t="n"/>
      <c r="BF49" s="147" t="n"/>
      <c r="BG49" s="602">
        <f>SUM(IF(BC49=BC$5,4,0),IF(BC49&amp;BD49=BC$5&amp;BD$5,1,0),
IF(AND(BC49=BC$5,BD$6&gt;=$D$115),1,0),
IF(AND(BD49=BC$5,BD$6&gt;=$D$115),1,0),
IF(AND(BE49=BC$5,BD$6&gt;=$D$115),1,0),
IF(BC49&amp;BF49=BG$5,1,0),
IF(BD49=BC$5,2,0),
IF(BE49=BC$5,1,0),
IF(OR(BC49&amp;BD49&amp;BE49=BC$5&amp;BD$5&amp;BE$5,BC49&amp;BD49&amp;BE49=BC$5&amp;BE$5&amp;BD$5,BC49&amp;BD49&amp;BE49=BD$5&amp;BC$5&amp;BE$5,BC49&amp;BD49&amp;BE49=BD$5&amp;BE$5&amp;BC$5,BC49&amp;BD49&amp;BE49=BE$5&amp;BC$5&amp;BD$5,BC49&amp;BD49&amp;BE49=BE$5&amp;BD$5&amp;BC$5),2,0),IF(AND(BC49=BC$5,BD$6&gt;=$D$129),1,0),IF(AND(BD49=BC$5,BD$6&gt;=$D$129),1,0),IF(AND(BE49=BC$5,BD$6&gt;=$D$129),1,0),IF(BC49&amp;BF49=BF$5,4,0),IF(AND(BC49=BC$5,BD$6&lt;=$D$104),-0.5,0),IF(AND(BD49=BC$5,BD$6&lt;=$D$104),-0.5,0),IF(AND(BE49=BC$5,BD$6&lt;=$D$104),-0.5,0))</f>
        <v/>
      </c>
      <c r="BH49" s="145" t="n"/>
      <c r="BI49" s="147" t="n"/>
      <c r="BJ49" s="147" t="n"/>
      <c r="BK49" s="147" t="n"/>
      <c r="BL49" s="602">
        <f>SUM(IF(BH49=BH$5,4,0),IF(BH49&amp;BI49=BH$5&amp;BI$5,1,0),
IF(AND(BH49=BH$5,BI$6&gt;=$D$115),1,0),
IF(AND(BI49=BH$5,BI$6&gt;=$D$115),1,0),
IF(AND(BJ49=BH$5,BI$6&gt;=$D$115),1,0),
IF(BH49&amp;BK49=BL$5,1,0),
IF(BI49=BH$5,2,0),
IF(BJ49=BH$5,1,0),
IF(OR(BH49&amp;BI49&amp;BJ49=BH$5&amp;BI$5&amp;BJ$5,BH49&amp;BI49&amp;BJ49=BH$5&amp;BJ$5&amp;BI$5,BH49&amp;BI49&amp;BJ49=BI$5&amp;BH$5&amp;BJ$5,BH49&amp;BI49&amp;BJ49=BI$5&amp;BJ$5&amp;BH$5,BH49&amp;BI49&amp;BJ49=BJ$5&amp;BH$5&amp;BI$5,BH49&amp;BI49&amp;BJ49=BJ$5&amp;BI$5&amp;BH$5),2,0),IF(AND(BH49=BH$5,BI$6&gt;=$D$129),1,0),IF(AND(BI49=BH$5,BI$6&gt;=$D$129),1,0),IF(AND(BJ49=BH$5,BI$6&gt;=$D$129),1,0),IF(BH49&amp;BK49=BK$5,4,0),IF(AND(BH49=BH$5,BI$6&lt;=$D$104),-0.5,0),IF(AND(BI49=BH$5,BI$6&lt;=$D$104),-0.5,0),IF(AND(BJ49=BH$5,BI$6&lt;=$D$104),-0.5,0))</f>
        <v/>
      </c>
      <c r="BM49" s="145" t="n"/>
      <c r="BN49" s="147" t="n"/>
      <c r="BO49" s="147" t="n"/>
      <c r="BP49" s="147" t="n"/>
      <c r="BQ49" s="602">
        <f>SUM(IF(BM49=BM$5,4,0),IF(BM49&amp;BN49=BM$5&amp;BN$5,1,0),
IF(AND(BM49=BM$5,BN$6&gt;=$D$115),1,0),
IF(AND(BN49=BM$5,BN$6&gt;=$D$115),1,0),
IF(AND(BO49=BM$5,BN$6&gt;=$D$115),1,0),
IF(BM49&amp;BP49=BQ$5,1,0),
IF(BN49=BM$5,2,0),
IF(BO49=BM$5,1,0),
IF(OR(BM49&amp;BN49&amp;BO49=BM$5&amp;BN$5&amp;BO$5,BM49&amp;BN49&amp;BO49=BM$5&amp;BO$5&amp;BN$5,BM49&amp;BN49&amp;BO49=BN$5&amp;BM$5&amp;BO$5,BM49&amp;BN49&amp;BO49=BN$5&amp;BO$5&amp;BM$5,BM49&amp;BN49&amp;BO49=BO$5&amp;BM$5&amp;BN$5,BM49&amp;BN49&amp;BO49=BO$5&amp;BN$5&amp;BM$5),2,0),IF(AND(BM49=BM$5,BN$6&gt;=$D$129),1,0),IF(AND(BN49=BM$5,BN$6&gt;=$D$129),1,0),IF(AND(BO49=BM$5,BN$6&gt;=$D$129),1,0),IF(BM49&amp;BP49=BP$5,4,0),IF(AND(BM49=BM$5,BN$6&lt;=$D$104),-0.5,0),IF(AND(BN49=BM$5,BN$6&lt;=$D$104),-0.5,0),IF(AND(BO49=BM$5,BN$6&lt;=$D$104),-0.5,0))</f>
        <v/>
      </c>
      <c r="BR49" s="145" t="n"/>
      <c r="BS49" s="146" t="n"/>
      <c r="BT49" s="146" t="n"/>
      <c r="BU49" s="146" t="n"/>
      <c r="BV49" s="602">
        <f>SUM(IF(BR49=BR$5,4,0),IF(BR49&amp;BS49=BR$5&amp;BS$5,1,0),
IF(AND(BR49=BR$5,BS$6&gt;=$D$115),1,0),
IF(AND(BS49=BR$5,BS$6&gt;=$D$115),1,0),
IF(AND(BT49=BR$5,BS$6&gt;=$D$115),1,0),
IF(BR49&amp;BU49=BV$5,1,0),
IF(BS49=BR$5,2,0),
IF(BT49=BR$5,1,0),
IF(OR(BR49&amp;BS49&amp;BT49=BR$5&amp;BS$5&amp;BT$5,BR49&amp;BS49&amp;BT49=BR$5&amp;BT$5&amp;BS$5,BR49&amp;BS49&amp;BT49=BS$5&amp;BR$5&amp;BT$5,BR49&amp;BS49&amp;BT49=BS$5&amp;BT$5&amp;BR$5,BR49&amp;BS49&amp;BT49=BT$5&amp;BR$5&amp;BS$5,BR49&amp;BS49&amp;BT49=BT$5&amp;BS$5&amp;BR$5),2,0),IF(AND(BR49=BR$5,BS$6&gt;=$D$129),1,0),IF(AND(BS49=BR$5,BS$6&gt;=$D$129),1,0),IF(AND(BT49=BR$5,BS$6&gt;=$D$129),1,0),IF(BR49&amp;BU49=BU$5,4,0),IF(AND(BR49=BR$5,BS$6&lt;=$D$104),-0.5,0),IF(AND(BS49=BR$5,BS$6&lt;=$D$104),-0.5,0),IF(AND(BT49=BR$5,BS$6&lt;=$D$104),-0.5,0))</f>
        <v/>
      </c>
      <c r="BW49" s="145" t="n"/>
      <c r="BX49" s="146" t="n"/>
      <c r="BY49" s="146" t="n"/>
      <c r="BZ49" s="146" t="n"/>
      <c r="CA49" s="602">
        <f>SUM(IF(BW49=BW$5,4,0),IF(BW49&amp;BX49=BW$5&amp;BX$5,1,0),
IF(AND(BW49=BW$5,BX$6&gt;=$D$115),1,0),
IF(AND(BX49=BW$5,BX$6&gt;=$D$115),1,0),
IF(AND(BY49=BW$5,BX$6&gt;=$D$115),1,0),
IF(BW49&amp;BZ49=CA$5,1,0),
IF(BX49=BW$5,2,0),
IF(BY49=BW$5,1,0),
IF(OR(BW49&amp;BX49&amp;BY49=BW$5&amp;BX$5&amp;BY$5,BW49&amp;BX49&amp;BY49=BW$5&amp;BY$5&amp;BX$5,BW49&amp;BX49&amp;BY49=BX$5&amp;BW$5&amp;BY$5,BW49&amp;BX49&amp;BY49=BX$5&amp;BY$5&amp;BW$5,BW49&amp;BX49&amp;BY49=BY$5&amp;BW$5&amp;BX$5,BW49&amp;BX49&amp;BY49=BY$5&amp;BX$5&amp;BW$5),2,0),IF(AND(BW49=BW$5,BX$6&gt;=$D$129),1,0),IF(AND(BX49=BW$5,BX$6&gt;=$D$129),1,0),IF(AND(BY49=BW$5,BX$6&gt;=$D$129),1,0),IF(BW49&amp;BZ49=BZ$5,4,0),IF(AND(BW49=BW$5,BX$6&lt;=$D$104),-0.5,0),IF(AND(BX49=BW$5,BX$6&lt;=$D$104),-0.5,0),IF(AND(BY49=BW$5,BX$6&lt;=$D$104),-0.5,0))</f>
        <v/>
      </c>
      <c r="CB49" s="145" t="n"/>
      <c r="CC49" s="146" t="n"/>
      <c r="CD49" s="146" t="n"/>
      <c r="CE49" s="146" t="n"/>
      <c r="CF49" s="602">
        <f>SUM(IF(CB49=CB$5,4,0),IF(CB49&amp;CC49=CB$5&amp;CC$5,1,0),
IF(AND(CB49=CB$5,CC$6&gt;=$D$115),1,0),
IF(AND(CC49=CB$5,CC$6&gt;=$D$115),1,0),
IF(AND(CD49=CB$5,CC$6&gt;=$D$115),1,0),
IF(CB49&amp;CE49=CF$5,1,0),
IF(CC49=CB$5,2,0),
IF(CD49=CB$5,1,0),
IF(OR(CB49&amp;CC49&amp;CD49=CB$5&amp;CC$5&amp;CD$5,CB49&amp;CC49&amp;CD49=CB$5&amp;CD$5&amp;CC$5,CB49&amp;CC49&amp;CD49=CC$5&amp;CB$5&amp;CD$5,CB49&amp;CC49&amp;CD49=CC$5&amp;CD$5&amp;CB$5,CB49&amp;CC49&amp;CD49=CD$5&amp;CB$5&amp;CC$5,CB49&amp;CC49&amp;CD49=CD$5&amp;CC$5&amp;CB$5),2,0),IF(AND(CB49=CB$5,CC$6&gt;=$D$129),1,0),IF(AND(CC49=CB$5,CC$6&gt;=$D$129),1,0),IF(AND(CD49=CB$5,CC$6&gt;=$D$129),1,0),IF(CB49&amp;CE49=CE$5,4,0),IF(AND(CB49=CB$5,CC$6&lt;=$D$104),-0.5,0),IF(AND(CC49=CB$5,CC$6&lt;=$D$104),-0.5,0),IF(AND(CD49=CB$5,CC$6&lt;=$D$104),-0.5,0))</f>
        <v/>
      </c>
      <c r="CG49" s="164">
        <f>IF(BASE01[[#This Row],[1]]="",0,$B$4)</f>
        <v/>
      </c>
      <c r="CH49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49" s="189">
        <f>IF(BASE01[[#This Row],[Columna14]]=0,0,(CH49/CG49))</f>
        <v/>
      </c>
      <c r="CJ49" s="165">
        <f>IF(BASE01[[#This Row],[1]]="",0,$B$4)</f>
        <v/>
      </c>
      <c r="CK49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49" s="189">
        <f>IF(BASE01[[#This Row],[Columna14]]=0,0,(CK49/CJ49))</f>
        <v/>
      </c>
      <c r="CM49" s="164">
        <f>IF(BASE01[[#This Row],[1]]="",0,$B$4)</f>
        <v/>
      </c>
      <c r="CN49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49" s="189">
        <f>IF(BASE01[[#This Row],[Columna14]]=0,0,(CN49/CM49))</f>
        <v/>
      </c>
      <c r="CP49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49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Row],[Columna25]],$AX$5,BA49,"SF")+COUNTIFS(BASE01[[#This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49" s="189">
        <f>IF(BASE01[[#This Row],[Columna14]]=0,0,(CQ49/CP49))</f>
        <v/>
      </c>
      <c r="CS49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49" s="95" t="n"/>
      <c r="CU49" s="604">
        <f>SUM(CS49,CT49)</f>
        <v/>
      </c>
      <c r="CV49" s="96">
        <f>IF(BASE01[[#This Row],[TIPO]]="PREMIO",$O$3,"0,00")</f>
        <v/>
      </c>
      <c r="CW49" s="576" t="n"/>
      <c r="CY49" s="606">
        <f>IF(CZ49="","",$CZ$25)</f>
        <v/>
      </c>
      <c r="CZ49" s="392" t="n"/>
      <c r="DA49" s="392">
        <f t="array" ref="DA49">IF(CZ49="", "", IF((INDEX(E$8:CE$57, MATCH(CZ49, C$8:C$57, 0), ($CZ$25-1)*5 + 1) &amp; "") = (INDEX(E$5:CE$5, 1, ($CZ$25-1)*5 + 1) &amp; ""), 1, IF((INDEX(E$8:CE$57, MATCH(CZ49, C$8:C$57, 0), ($CZ$25-1)*5 + 2) &amp; "") = (INDEX(E$5:CE$5, 1, ($CZ$25-1)*5 + 1) &amp; ""), 2, IF((INDEX(E$8:CE$57, MATCH(CZ49, C$8:C$57, 0), ($CZ$25-1)*5 + 3) &amp; "") = (INDEX(E$5:CE$5, 1, ($CZ$25-1)*5 + 1) &amp; ""), 3, ""))))</f>
        <v/>
      </c>
      <c r="DB49" s="605">
        <f>BASE01[[#This Row],[COD]]</f>
        <v/>
      </c>
      <c r="DC49" s="395">
        <f t="array" ref="DC49">IFERROR(IF(AND(INDEX($E$8:$CE$57, MATCH($C49, $C$8:$C$57, 0), (COLUMNS($DC49:DC49)-1)*5 + 1) = INDEX($E$5:$CE$5, 1, (COLUMNS($DC49:DC49)-1)*5 + 1), INDEX($E$8:$CE$57, MATCH($C49, $C$8:$C$57, 0), (COLUMNS($DC49:DC49)-1)*5 + 4) = "F"), INDEX($CZ$8:$CZ$23, COLUMNS($DC49:DC49)), "0"), "")</f>
        <v/>
      </c>
      <c r="DD49" s="395">
        <f t="array" ref="DD49">IFERROR(IF(AND(INDEX($E$8:$CE$57, MATCH($C49, $C$8:$C$57, 0), (COLUMNS($DC49:DD49)-1)*5 + 1) = INDEX($E$5:$CE$5, 1, (COLUMNS($DC49:DD49)-1)*5 + 1), INDEX($E$8:$CE$57, MATCH($C49, $C$8:$C$57, 0), (COLUMNS($DC49:DD49)-1)*5 + 4) = "F"), INDEX($CZ$8:$CZ$23, COLUMNS($DC49:DD49)), "0"), "")</f>
        <v/>
      </c>
      <c r="DE49" s="395">
        <f t="array" ref="DE49">IFERROR(IF(AND(INDEX($E$8:$CE$57, MATCH($C49, $C$8:$C$57, 0), (COLUMNS($DC49:DE49)-1)*5 + 1) = INDEX($E$5:$CE$5, 1, (COLUMNS($DC49:DE49)-1)*5 + 1), INDEX($E$8:$CE$57, MATCH($C49, $C$8:$C$57, 0), (COLUMNS($DC49:DE49)-1)*5 + 4) = "F"), INDEX($CZ$8:$CZ$23, COLUMNS($DC49:DE49)), "0"), "")</f>
        <v/>
      </c>
      <c r="DF49" s="395">
        <f t="array" ref="DF49">IFERROR(IF(AND(INDEX($E$8:$CE$57, MATCH($C49, $C$8:$C$57, 0), (COLUMNS($DC49:DF49)-1)*5 + 1) = INDEX($E$5:$CE$5, 1, (COLUMNS($DC49:DF49)-1)*5 + 1), INDEX($E$8:$CE$57, MATCH($C49, $C$8:$C$57, 0), (COLUMNS($DC49:DF49)-1)*5 + 4) = "F"), INDEX($CZ$8:$CZ$23, COLUMNS($DC49:DF49)), "0"), "")</f>
        <v/>
      </c>
      <c r="DG49" s="395">
        <f t="array" ref="DG49">IFERROR(IF(AND(INDEX($E$8:$CE$57, MATCH($C49, $C$8:$C$57, 0), (COLUMNS($DC49:DG49)-1)*5 + 1) = INDEX($E$5:$CE$5, 1, (COLUMNS($DC49:DG49)-1)*5 + 1), INDEX($E$8:$CE$57, MATCH($C49, $C$8:$C$57, 0), (COLUMNS($DC49:DG49)-1)*5 + 4) = "F"), INDEX($CZ$8:$CZ$23, COLUMNS($DC49:DG49)), "0"), "")</f>
        <v/>
      </c>
      <c r="DH49" s="395">
        <f t="array" ref="DH49">IFERROR(IF(AND(INDEX($E$8:$CE$57, MATCH($C49, $C$8:$C$57, 0), (COLUMNS($DC49:DH49)-1)*5 + 1) = INDEX($E$5:$CE$5, 1, (COLUMNS($DC49:DH49)-1)*5 + 1), INDEX($E$8:$CE$57, MATCH($C49, $C$8:$C$57, 0), (COLUMNS($DC49:DH49)-1)*5 + 4) = "F"), INDEX($CZ$8:$CZ$23, COLUMNS($DC49:DH49)), "0"), "")</f>
        <v/>
      </c>
      <c r="DI49" s="395">
        <f t="array" ref="DI49">IFERROR(IF(AND(INDEX($E$8:$CE$57, MATCH($C49, $C$8:$C$57, 0), (COLUMNS($DC49:DI49)-1)*5 + 1) = INDEX($E$5:$CE$5, 1, (COLUMNS($DC49:DI49)-1)*5 + 1), INDEX($E$8:$CE$57, MATCH($C49, $C$8:$C$57, 0), (COLUMNS($DC49:DI49)-1)*5 + 4) = "F"), INDEX($CZ$8:$CZ$23, COLUMNS($DC49:DI49)), "0"), "")</f>
        <v/>
      </c>
      <c r="DJ49" s="395">
        <f t="array" ref="DJ49">IFERROR(IF(AND(INDEX($E$8:$CE$57, MATCH($C49, $C$8:$C$57, 0), (COLUMNS($DC49:DJ49)-1)*5 + 1) = INDEX($E$5:$CE$5, 1, (COLUMNS($DC49:DJ49)-1)*5 + 1), INDEX($E$8:$CE$57, MATCH($C49, $C$8:$C$57, 0), (COLUMNS($DC49:DJ49)-1)*5 + 4) = "F"), INDEX($CZ$8:$CZ$23, COLUMNS($DC49:DJ49)), "0"), "")</f>
        <v/>
      </c>
      <c r="DK49" s="395">
        <f t="array" ref="DK49">IFERROR(IF(AND(INDEX($E$8:$CE$57, MATCH($C49, $C$8:$C$57, 0), (COLUMNS($DC49:DK49)-1)*5 + 1) = INDEX($E$5:$CE$5, 1, (COLUMNS($DC49:DK49)-1)*5 + 1), INDEX($E$8:$CE$57, MATCH($C49, $C$8:$C$57, 0), (COLUMNS($DC49:DK49)-1)*5 + 4) = "F"), INDEX($CZ$8:$CZ$23, COLUMNS($DC49:DK49)), "0"), "")</f>
        <v/>
      </c>
      <c r="DL49" s="395">
        <f t="array" ref="DL49">IFERROR(IF(AND(INDEX($E$8:$CE$57, MATCH($C49, $C$8:$C$57, 0), (COLUMNS($DC49:DL49)-1)*5 + 1) = INDEX($E$5:$CE$5, 1, (COLUMNS($DC49:DL49)-1)*5 + 1), INDEX($E$8:$CE$57, MATCH($C49, $C$8:$C$57, 0), (COLUMNS($DC49:DL49)-1)*5 + 4) = "F"), INDEX($CZ$8:$CZ$23, COLUMNS($DC49:DL49)), "0"), "")</f>
        <v/>
      </c>
      <c r="DM49" s="395">
        <f t="array" ref="DM49">IFERROR(IF(AND(INDEX($E$8:$CE$57, MATCH($C49, $C$8:$C$57, 0), (COLUMNS($DC49:DM49)-1)*5 + 1) = INDEX($E$5:$CE$5, 1, (COLUMNS($DC49:DM49)-1)*5 + 1), INDEX($E$8:$CE$57, MATCH($C49, $C$8:$C$57, 0), (COLUMNS($DC49:DM49)-1)*5 + 4) = "F"), INDEX($CZ$8:$CZ$23, COLUMNS($DC49:DM49)), "0"), "")</f>
        <v/>
      </c>
      <c r="DN49" s="395">
        <f t="array" ref="DN49">IFERROR(IF(AND(INDEX($E$8:$CE$57, MATCH($C49, $C$8:$C$57, 0), (COLUMNS($DC49:DN49)-1)*5 + 1) = INDEX($E$5:$CE$5, 1, (COLUMNS($DC49:DN49)-1)*5 + 1), INDEX($E$8:$CE$57, MATCH($C49, $C$8:$C$57, 0), (COLUMNS($DC49:DN49)-1)*5 + 4) = "F"), INDEX($CZ$8:$CZ$23, COLUMNS($DC49:DN49)), "0"), "")</f>
        <v/>
      </c>
      <c r="DO49" s="395">
        <f t="array" ref="DO49">IFERROR(IF(AND(INDEX($E$8:$CE$57, MATCH($C49, $C$8:$C$57, 0), (COLUMNS($DC49:DO49)-1)*5 + 1) = INDEX($E$5:$CE$5, 1, (COLUMNS($DC49:DO49)-1)*5 + 1), INDEX($E$8:$CE$57, MATCH($C49, $C$8:$C$57, 0), (COLUMNS($DC49:DO49)-1)*5 + 4) = "F"), INDEX($CZ$8:$CZ$23, COLUMNS($DC49:DO49)), "0"), "")</f>
        <v/>
      </c>
      <c r="DP49" s="395">
        <f t="array" ref="DP49">IFERROR(IF(AND(INDEX($E$8:$CE$57, MATCH($C49, $C$8:$C$57, 0), (COLUMNS($DC49:DP49)-1)*5 + 1) = INDEX($E$5:$CE$5, 1, (COLUMNS($DC49:DP49)-1)*5 + 1), INDEX($E$8:$CE$57, MATCH($C49, $C$8:$C$57, 0), (COLUMNS($DC49:DP49)-1)*5 + 4) = "F"), INDEX($CZ$8:$CZ$23, COLUMNS($DC49:DP49)), "0"), "")</f>
        <v/>
      </c>
      <c r="DQ49" s="395">
        <f t="array" ref="DQ49">IFERROR(IF(AND(INDEX($E$8:$CE$57, MATCH($C49, $C$8:$C$57, 0), (COLUMNS($DC49:DQ49)-1)*5 + 1) = INDEX($E$5:$CE$5, 1, (COLUMNS($DC49:DQ49)-1)*5 + 1), INDEX($E$8:$CE$57, MATCH($C49, $C$8:$C$57, 0), (COLUMNS($DC49:DQ49)-1)*5 + 4) = "F"), INDEX($CZ$8:$CZ$23, COLUMNS($DC49:DQ49)), "0"), "")</f>
        <v/>
      </c>
      <c r="DR49" s="395">
        <f t="array" ref="DR49">IFERROR(IF(AND(INDEX($E$8:$CE$57, MATCH($C49, $C$8:$C$57, 0), (COLUMNS($DC49:DR49)-1)*5 + 1) = INDEX($E$5:$CE$5, 1, (COLUMNS($DC49:DR49)-1)*5 + 1), INDEX($E$8:$CE$57, MATCH($C49, $C$8:$C$57, 0), (COLUMNS($DC49:DR49)-1)*5 + 4) = "F"), INDEX($CZ$8:$CZ$23, COLUMNS($DC49:DR49)), "0"), "")</f>
        <v/>
      </c>
      <c r="DT49" s="605">
        <f>BASE01[[#This Row],[COD]]</f>
        <v/>
      </c>
      <c r="DU49" s="395">
        <f t="array" ref="DU49">IFERROR(IF(AND(INDEX($E$8:$CE$57, MATCH($C49, $C$8:$C$57, 0), (COLUMNS($DU49:DU49)-1)*5 + 1) = INDEX($E$5:$CE$5, 1, (COLUMNS($DU49:DU49)-1)*5 + 1), INDEX($E$8:$CE$57, MATCH($C49, $C$8:$C$57, 0), (COLUMNS($DU49:DU49)-1)*5 + 4) = "SF"), INDEX($CZ$8:$CZ$23, COLUMNS($DU49:DU49)), "0"), "")</f>
        <v/>
      </c>
      <c r="DV49" s="395">
        <f t="array" ref="DV49">IFERROR(IF(AND(INDEX($E$8:$CE$57, MATCH($C49, $C$8:$C$57, 0), (COLUMNS($DU49:DV49)-1)*5 + 1) = INDEX($E$5:$CE$5, 1, (COLUMNS($DU49:DV49)-1)*5 + 1), INDEX($E$8:$CE$57, MATCH($C49, $C$8:$C$57, 0), (COLUMNS($DU49:DV49)-1)*5 + 4) = "SF"), INDEX($CZ$8:$CZ$23, COLUMNS($DU49:DV49)), "0"), "")</f>
        <v/>
      </c>
      <c r="DW49" s="395">
        <f t="array" ref="DW49">IFERROR(IF(AND(INDEX($E$8:$CE$57, MATCH($C49, $C$8:$C$57, 0), (COLUMNS($DU49:DW49)-1)*5 + 1) = INDEX($E$5:$CE$5, 1, (COLUMNS($DU49:DW49)-1)*5 + 1), INDEX($E$8:$CE$57, MATCH($C49, $C$8:$C$57, 0), (COLUMNS($DU49:DW49)-1)*5 + 4) = "SF"), INDEX($CZ$8:$CZ$23, COLUMNS($DU49:DW49)), "0"), "")</f>
        <v/>
      </c>
      <c r="DX49" s="395">
        <f t="array" ref="DX49">IFERROR(IF(AND(INDEX($E$8:$CE$57, MATCH($C49, $C$8:$C$57, 0), (COLUMNS($DU49:DX49)-1)*5 + 1) = INDEX($E$5:$CE$5, 1, (COLUMNS($DU49:DX49)-1)*5 + 1), INDEX($E$8:$CE$57, MATCH($C49, $C$8:$C$57, 0), (COLUMNS($DU49:DX49)-1)*5 + 4) = "SF"), INDEX($CZ$8:$CZ$23, COLUMNS($DU49:DX49)), "0"), "")</f>
        <v/>
      </c>
      <c r="DY49" s="395">
        <f t="array" ref="DY49">IFERROR(IF(AND(INDEX($E$8:$CE$57, MATCH($C49, $C$8:$C$57, 0), (COLUMNS($DU49:DY49)-1)*5 + 1) = INDEX($E$5:$CE$5, 1, (COLUMNS($DU49:DY49)-1)*5 + 1), INDEX($E$8:$CE$57, MATCH($C49, $C$8:$C$57, 0), (COLUMNS($DU49:DY49)-1)*5 + 4) = "SF"), INDEX($CZ$8:$CZ$23, COLUMNS($DU49:DY49)), "0"), "")</f>
        <v/>
      </c>
      <c r="DZ49" s="395">
        <f t="array" ref="DZ49">IFERROR(IF(AND(INDEX($E$8:$CE$57, MATCH($C49, $C$8:$C$57, 0), (COLUMNS($DU49:DZ49)-1)*5 + 1) = INDEX($E$5:$CE$5, 1, (COLUMNS($DU49:DZ49)-1)*5 + 1), INDEX($E$8:$CE$57, MATCH($C49, $C$8:$C$57, 0), (COLUMNS($DU49:DZ49)-1)*5 + 4) = "SF"), INDEX($CZ$8:$CZ$23, COLUMNS($DU49:DZ49)), "0"), "")</f>
        <v/>
      </c>
      <c r="EA49" s="395">
        <f t="array" ref="EA49">IFERROR(IF(AND(INDEX($E$8:$CE$57, MATCH($C49, $C$8:$C$57, 0), (COLUMNS($DU49:EA49)-1)*5 + 1) = INDEX($E$5:$CE$5, 1, (COLUMNS($DU49:EA49)-1)*5 + 1), INDEX($E$8:$CE$57, MATCH($C49, $C$8:$C$57, 0), (COLUMNS($DU49:EA49)-1)*5 + 4) = "SF"), INDEX($CZ$8:$CZ$23, COLUMNS($DU49:EA49)), "0"), "")</f>
        <v/>
      </c>
      <c r="EB49" s="395">
        <f t="array" ref="EB49">IFERROR(IF(AND(INDEX($E$8:$CE$57, MATCH($C49, $C$8:$C$57, 0), (COLUMNS($DU49:EB49)-1)*5 + 1) = INDEX($E$5:$CE$5, 1, (COLUMNS($DU49:EB49)-1)*5 + 1), INDEX($E$8:$CE$57, MATCH($C49, $C$8:$C$57, 0), (COLUMNS($DU49:EB49)-1)*5 + 4) = "SF"), INDEX($CZ$8:$CZ$23, COLUMNS($DU49:EB49)), "0"), "")</f>
        <v/>
      </c>
      <c r="EC49" s="395">
        <f t="array" ref="EC49">IFERROR(IF(AND(INDEX($E$8:$CE$57, MATCH($C49, $C$8:$C$57, 0), (COLUMNS($DU49:EC49)-1)*5 + 1) = INDEX($E$5:$CE$5, 1, (COLUMNS($DU49:EC49)-1)*5 + 1), INDEX($E$8:$CE$57, MATCH($C49, $C$8:$C$57, 0), (COLUMNS($DU49:EC49)-1)*5 + 4) = "SF"), INDEX($CZ$8:$CZ$23, COLUMNS($DU49:EC49)), "0"), "")</f>
        <v/>
      </c>
      <c r="ED49" s="395">
        <f t="array" ref="ED49">IFERROR(IF(AND(INDEX($E$8:$CE$57, MATCH($C49, $C$8:$C$57, 0), (COLUMNS($DU49:ED49)-1)*5 + 1) = INDEX($E$5:$CE$5, 1, (COLUMNS($DU49:ED49)-1)*5 + 1), INDEX($E$8:$CE$57, MATCH($C49, $C$8:$C$57, 0), (COLUMNS($DU49:ED49)-1)*5 + 4) = "SF"), INDEX($CZ$8:$CZ$23, COLUMNS($DU49:ED49)), "0"), "")</f>
        <v/>
      </c>
      <c r="EE49" s="395">
        <f t="array" ref="EE49">IFERROR(IF(AND(INDEX($E$8:$CE$57, MATCH($C49, $C$8:$C$57, 0), (COLUMNS($DU49:EE49)-1)*5 + 1) = INDEX($E$5:$CE$5, 1, (COLUMNS($DU49:EE49)-1)*5 + 1), INDEX($E$8:$CE$57, MATCH($C49, $C$8:$C$57, 0), (COLUMNS($DU49:EE49)-1)*5 + 4) = "SF"), INDEX($CZ$8:$CZ$23, COLUMNS($DU49:EE49)), "0"), "")</f>
        <v/>
      </c>
      <c r="EF49" s="395">
        <f t="array" ref="EF49">IFERROR(IF(AND(INDEX($E$8:$CE$57, MATCH($C49, $C$8:$C$57, 0), (COLUMNS($DU49:EF49)-1)*5 + 1) = INDEX($E$5:$CE$5, 1, (COLUMNS($DU49:EF49)-1)*5 + 1), INDEX($E$8:$CE$57, MATCH($C49, $C$8:$C$57, 0), (COLUMNS($DU49:EF49)-1)*5 + 4) = "SF"), INDEX($CZ$8:$CZ$23, COLUMNS($DU49:EF49)), "0"), "")</f>
        <v/>
      </c>
      <c r="EG49" s="395">
        <f t="array" ref="EG49">IFERROR(IF(AND(INDEX($E$8:$CE$57, MATCH($C49, $C$8:$C$57, 0), (COLUMNS($DU49:EG49)-1)*5 + 1) = INDEX($E$5:$CE$5, 1, (COLUMNS($DU49:EG49)-1)*5 + 1), INDEX($E$8:$CE$57, MATCH($C49, $C$8:$C$57, 0), (COLUMNS($DU49:EG49)-1)*5 + 4) = "SF"), INDEX($CZ$8:$CZ$23, COLUMNS($DU49:EG49)), "0"), "")</f>
        <v/>
      </c>
      <c r="EH49" s="395">
        <f t="array" ref="EH49">IFERROR(IF(AND(INDEX($E$8:$CE$57, MATCH($C49, $C$8:$C$57, 0), (COLUMNS($DU49:EH49)-1)*5 + 1) = INDEX($E$5:$CE$5, 1, (COLUMNS($DU49:EH49)-1)*5 + 1), INDEX($E$8:$CE$57, MATCH($C49, $C$8:$C$57, 0), (COLUMNS($DU49:EH49)-1)*5 + 4) = "SF"), INDEX($CZ$8:$CZ$23, COLUMNS($DU49:EH49)), "0"), "")</f>
        <v/>
      </c>
      <c r="EI49" s="395">
        <f t="array" ref="EI49">IFERROR(IF(AND(INDEX($E$8:$CE$57, MATCH($C49, $C$8:$C$57, 0), (COLUMNS($DU49:EI49)-1)*5 + 1) = INDEX($E$5:$CE$5, 1, (COLUMNS($DU49:EI49)-1)*5 + 1), INDEX($E$8:$CE$57, MATCH($C49, $C$8:$C$57, 0), (COLUMNS($DU49:EI49)-1)*5 + 4) = "SF"), INDEX($CZ$8:$CZ$23, COLUMNS($DU49:EI49)), "0"), "")</f>
        <v/>
      </c>
      <c r="EJ49" s="395">
        <f t="array" ref="EJ49">IFERROR(IF(AND(INDEX($E$8:$CE$57, MATCH($C49, $C$8:$C$57, 0), (COLUMNS($DU49:EJ49)-1)*5 + 1) = INDEX($E$5:$CE$5, 1, (COLUMNS($DU49:EJ49)-1)*5 + 1), INDEX($E$8:$CE$57, MATCH($C49, $C$8:$C$57, 0), (COLUMNS($DU49:EJ49)-1)*5 + 4) = "SF"), INDEX($CZ$8:$CZ$23, COLUMNS($DU49:EJ49)), "0"), "")</f>
        <v/>
      </c>
    </row>
    <row r="50" outlineLevel="1" ht="20.1" customHeight="1" s="568">
      <c r="A50" s="576" t="n"/>
      <c r="B50" s="92">
        <f>IF(BASE01[[#This Row],[COD]]&lt;&gt;"",B49+1,"")</f>
        <v/>
      </c>
      <c r="C50" s="601" t="inlineStr">
        <is>
          <t>COD 43</t>
        </is>
      </c>
      <c r="D50" s="93">
        <f t="array" ref="D50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0" s="145" t="n"/>
      <c r="F50" s="146" t="n"/>
      <c r="G50" s="146" t="n"/>
      <c r="H50" s="146" t="n"/>
      <c r="I50" s="602">
        <f>SUM(IF(E50=E$5,4,0),IF(E50&amp;F50=E$5&amp;F$5,1,0),
IF(AND(E50=E$5,F$6&gt;=$D$115),1,0),
IF(AND(F50=E$5,F$6&gt;=$D$115),1,0),
IF(AND(G50=E$5,F$6&gt;=$D$115),1,0),
IF(E50&amp;H50=I$5,1,0),
IF(F50=E$5,2,0),
IF(G50=E$5,1,0),
IF(OR(E50&amp;F50&amp;G50=E$5&amp;F$5&amp;G$5,E50&amp;F50&amp;G50=E$5&amp;G$5&amp;F$5,E50&amp;F50&amp;G50=F$5&amp;E$5&amp;G$5,E50&amp;F50&amp;G50=F$5&amp;G$5&amp;E$5,E50&amp;F50&amp;G50=G$5&amp;E$5&amp;F$5,E50&amp;F50&amp;G50=G$5&amp;F$5&amp;E$5),2,0),IF(AND(E50=E$5,F$6&gt;=$D$129),1,0),IF(AND(F50=E$5,F$6&gt;=$D$129),1,0),IF(AND(G50=E$5,F$6&gt;=$D$129),1,0),IF(E50&amp;H50=H$5,4,0),IF(AND(E50=E$5,F$6&lt;=$D$104),-0.5,0),IF(AND(F50=E$5,F$6&lt;=$D$104),-0.5,0),IF(AND(G50=E$5,F$6&lt;=$D$104),-0.5,0))</f>
        <v/>
      </c>
      <c r="J50" s="145" t="n"/>
      <c r="K50" s="146" t="n"/>
      <c r="L50" s="146" t="n"/>
      <c r="M50" s="146" t="n"/>
      <c r="N50" s="602">
        <f>SUM(IF(J50=J$5,4,0),IF(J50&amp;K50=J$5&amp;K$5,1,0),
IF(AND(J50=J$5,K$6&gt;=$D$115),1,0),
IF(AND(K50=J$5,K$6&gt;=$D$115),1,0),
IF(AND(L50=J$5,K$6&gt;=$D$115),1,0),
IF(J50&amp;M50=N$5,1,0),
IF(K50=J$5,2,0),
IF(L50=J$5,1,0),
IF(OR(J50&amp;K50&amp;L50=J$5&amp;K$5&amp;L$5,J50&amp;K50&amp;L50=J$5&amp;L$5&amp;K$5,J50&amp;K50&amp;L50=K$5&amp;J$5&amp;L$5,J50&amp;K50&amp;L50=K$5&amp;L$5&amp;J$5,J50&amp;K50&amp;L50=L$5&amp;J$5&amp;K$5,J50&amp;K50&amp;L50=L$5&amp;K$5&amp;J$5),2,0),IF(AND(J50=J$5,K$6&gt;=$D$129),1,0),IF(AND(K50=J$5,K$6&gt;=$D$129),1,0),IF(AND(L50=J$5,K$6&gt;=$D$129),1,0),IF(J50&amp;M50=M$5,4,0),IF(AND(J50=J$5,K$6&lt;=$D$104),-0.5,0),IF(AND(K50=J$5,K$6&lt;=$D$104),-0.5,0),IF(AND(L50=J$5,K$6&lt;=$D$104),-0.5,0))</f>
        <v/>
      </c>
      <c r="O50" s="145" t="n"/>
      <c r="P50" s="146" t="n"/>
      <c r="Q50" s="146" t="n"/>
      <c r="R50" s="146" t="n"/>
      <c r="S50" s="602">
        <f>SUM(IF(O50=O$5,4,0),IF(O50&amp;P50=O$5&amp;P$5,1,0),
IF(AND(O50=O$5,P$6&gt;=$D$115),1,0),
IF(AND(P50=O$5,P$6&gt;=$D$115),1,0),
IF(AND(Q50=O$5,P$6&gt;=$D$115),1,0),
IF(O50&amp;R50=S$5,1,0),
IF(P50=O$5,2,0),
IF(Q50=O$5,1,0),
IF(OR(O50&amp;P50&amp;Q50=O$5&amp;P$5&amp;Q$5,O50&amp;P50&amp;Q50=O$5&amp;Q$5&amp;P$5,O50&amp;P50&amp;Q50=P$5&amp;O$5&amp;Q$5,O50&amp;P50&amp;Q50=P$5&amp;Q$5&amp;O$5,O50&amp;P50&amp;Q50=Q$5&amp;O$5&amp;P$5,O50&amp;P50&amp;Q50=Q$5&amp;P$5&amp;O$5),2,0),IF(AND(O50=O$5,P$6&gt;=$D$129),1,0),IF(AND(P50=O$5,P$6&gt;=$D$129),1,0),IF(AND(Q50=O$5,P$6&gt;=$D$129),1,0),IF(O50&amp;R50=R$5,4,0),IF(AND(O50=O$5,P$6&lt;=$D$104),-0.5,0),IF(AND(P50=O$5,P$6&lt;=$D$104),-0.5,0),IF(AND(Q50=O$5,P$6&lt;=$D$104),-0.5,0))</f>
        <v/>
      </c>
      <c r="T50" s="145" t="n"/>
      <c r="U50" s="146" t="n"/>
      <c r="V50" s="146" t="n"/>
      <c r="W50" s="146" t="n"/>
      <c r="X50" s="602">
        <f>SUM(IF(T50=T$5,4,0),IF(T50&amp;U50=T$5&amp;U$5,1,0),
IF(AND(T50=T$5,U$6&gt;=$D$115),1,0),
IF(AND(U50=T$5,U$6&gt;=$D$115),1,0),
IF(AND(V50=T$5,U$6&gt;=$D$115),1,0),
IF(T50&amp;W50=X$5,1,0),
IF(U50=T$5,2,0),
IF(V50=T$5,1,0),
IF(OR(T50&amp;U50&amp;V50=T$5&amp;U$5&amp;V$5,T50&amp;U50&amp;V50=T$5&amp;V$5&amp;U$5,T50&amp;U50&amp;V50=U$5&amp;T$5&amp;V$5,T50&amp;U50&amp;V50=U$5&amp;V$5&amp;T$5,T50&amp;U50&amp;V50=V$5&amp;T$5&amp;U$5,T50&amp;U50&amp;V50=V$5&amp;U$5&amp;T$5),2,0),IF(AND(T50=T$5,U$6&gt;=$D$129),1,0),IF(AND(U50=T$5,U$6&gt;=$D$129),1,0),IF(AND(V50=T$5,U$6&gt;=$D$129),1,0),IF(T50&amp;W50=W$5,4,0),IF(AND(T50=T$5,U$6&lt;=$D$104),-0.5,0),IF(AND(U50=T$5,U$6&lt;=$D$104),-0.5,0),IF(AND(V50=T$5,U$6&lt;=$D$104),-0.5,0))</f>
        <v/>
      </c>
      <c r="Y50" s="145" t="n"/>
      <c r="Z50" s="146" t="n"/>
      <c r="AA50" s="146" t="n"/>
      <c r="AB50" s="146" t="n"/>
      <c r="AC50" s="602">
        <f>SUM(IF(Y50=Y$5,4,0),IF(Y50&amp;Z50=Y$5&amp;Z$5,1,0),
IF(AND(Y50=Y$5,Z$6&gt;=$D$115),1,0),
IF(AND(Z50=Y$5,Z$6&gt;=$D$115),1,0),
IF(AND(AA50=Y$5,Z$6&gt;=$D$115),1,0),
IF(Y50&amp;AB50=AC$5,1,0),
IF(Z50=Y$5,2,0),
IF(AA50=Y$5,1,0),
IF(OR(Y50&amp;Z50&amp;AA50=Y$5&amp;Z$5&amp;AA$5,Y50&amp;Z50&amp;AA50=Y$5&amp;AA$5&amp;Z$5,Y50&amp;Z50&amp;AA50=Z$5&amp;Y$5&amp;AA$5,Y50&amp;Z50&amp;AA50=Z$5&amp;AA$5&amp;Y$5,Y50&amp;Z50&amp;AA50=AA$5&amp;Y$5&amp;Z$5,Y50&amp;Z50&amp;AA50=AA$5&amp;Z$5&amp;Y$5),2,0),IF(AND(Y50=Y$5,Z$6&gt;=$D$129),1,0),IF(AND(Z50=Y$5,Z$6&gt;=$D$129),1,0),IF(AND(AA50=Y$5,Z$6&gt;=$D$129),1,0),IF(Y50&amp;AB50=AB$5,4,0),IF(AND(Y50=Y$5,Z$6&lt;=$D$104),-0.5,0),IF(AND(Z50=Y$5,Z$6&lt;=$D$104),-0.5,0),IF(AND(AA50=Y$5,Z$6&lt;=$D$104),-0.5,0))</f>
        <v/>
      </c>
      <c r="AD50" s="145" t="n"/>
      <c r="AE50" s="146" t="n"/>
      <c r="AF50" s="146" t="n"/>
      <c r="AG50" s="146" t="n"/>
      <c r="AH50" s="602">
        <f>SUM(IF(AD50=AD$5,4,0),IF(AD50&amp;AE50=AD$5&amp;AE$5,1,0),
IF(AND(AD50=AD$5,AE$6&gt;=$D$115),1,0),
IF(AND(AE50=AD$5,AE$6&gt;=$D$115),1,0),
IF(AND(AF50=AD$5,AE$6&gt;=$D$115),1,0),
IF(AD50&amp;AG50=AH$5,1,0),
IF(AE50=AD$5,2,0),
IF(AF50=AD$5,1,0),
IF(OR(AD50&amp;AE50&amp;AF50=AD$5&amp;AE$5&amp;AF$5,AD50&amp;AE50&amp;AF50=AD$5&amp;AF$5&amp;AE$5,AD50&amp;AE50&amp;AF50=AE$5&amp;AD$5&amp;AF$5,AD50&amp;AE50&amp;AF50=AE$5&amp;AF$5&amp;AD$5,AD50&amp;AE50&amp;AF50=AF$5&amp;AD$5&amp;AE$5,AD50&amp;AE50&amp;AF50=AF$5&amp;AE$5&amp;AD$5),2,0),IF(AND(AD50=AD$5,AE$6&gt;=$D$129),1,0),IF(AND(AE50=AD$5,AE$6&gt;=$D$129),1,0),IF(AND(AF50=AD$5,AE$6&gt;=$D$129),1,0),IF(AD50&amp;AG50=AG$5,4,0),IF(AND(AD50=AD$5,AE$6&lt;=$D$104),-0.5,0),IF(AND(AE50=AD$5,AE$6&lt;=$D$104),-0.5,0),IF(AND(AF50=AD$5,AE$6&lt;=$D$104),-0.5,0))</f>
        <v/>
      </c>
      <c r="AI50" s="145" t="n"/>
      <c r="AJ50" s="146" t="n"/>
      <c r="AK50" s="146" t="n"/>
      <c r="AL50" s="146" t="n"/>
      <c r="AM50" s="602">
        <f>SUM(IF(AI50=AI$5,4,0),IF(AI50&amp;AJ50=AI$5&amp;AJ$5,1,0),
IF(AND(AI50=AI$5,AJ$6&gt;=$D$115),1,0),
IF(AND(AJ50=AI$5,AJ$6&gt;=$D$115),1,0),
IF(AND(AK50=AI$5,AJ$6&gt;=$D$115),1,0),
IF(AI50&amp;AL50=AM$5,1,0),
IF(AJ50=AI$5,2,0),
IF(AK50=AI$5,1,0),
IF(OR(AI50&amp;AJ50&amp;AK50=AI$5&amp;AJ$5&amp;AK$5,AI50&amp;AJ50&amp;AK50=AI$5&amp;AK$5&amp;AJ$5,AI50&amp;AJ50&amp;AK50=AJ$5&amp;AI$5&amp;AK$5,AI50&amp;AJ50&amp;AK50=AJ$5&amp;AK$5&amp;AI$5,AI50&amp;AJ50&amp;AK50=AK$5&amp;AI$5&amp;AJ$5,AI50&amp;AJ50&amp;AK50=AK$5&amp;AJ$5&amp;AI$5),2,0),IF(AND(AI50=AI$5,AJ$6&gt;=$D$129),1,0),IF(AND(AJ50=AI$5,AJ$6&gt;=$D$129),1,0),IF(AND(AK50=AI$5,AJ$6&gt;=$D$129),1,0),IF(AI50&amp;AL50=AL$5,4,0),IF(AND(AI50=AI$5,AJ$6&lt;=$D$104),-0.5,0),IF(AND(AJ50=AI$5,AJ$6&lt;=$D$104),-0.5,0),IF(AND(AK50=AI$5,AJ$6&lt;=$D$104),-0.5,0))</f>
        <v/>
      </c>
      <c r="AN50" s="145" t="n"/>
      <c r="AO50" s="146" t="n"/>
      <c r="AP50" s="146" t="n"/>
      <c r="AQ50" s="146" t="n"/>
      <c r="AR50" s="602">
        <f>SUM(IF(AN50=AN$5,4,0),IF(AN50&amp;AO50=AN$5&amp;AO$5,1,0),
IF(AND(AN50=AN$5,AO$6&gt;=$D$115),1,0),
IF(AND(AO50=AN$5,AO$6&gt;=$D$115),1,0),
IF(AND(AP50=AN$5,AO$6&gt;=$D$115),1,0),
IF(AN50&amp;AQ50=AR$5,1,0),
IF(AO50=AN$5,2,0),
IF(AP50=AN$5,1,0),
IF(OR(AN50&amp;AO50&amp;AP50=AN$5&amp;AO$5&amp;AP$5,AN50&amp;AO50&amp;AP50=AN$5&amp;AP$5&amp;AO$5,AN50&amp;AO50&amp;AP50=AO$5&amp;AN$5&amp;AP$5,AN50&amp;AO50&amp;AP50=AO$5&amp;AP$5&amp;AN$5,AN50&amp;AO50&amp;AP50=AP$5&amp;AN$5&amp;AO$5,AN50&amp;AO50&amp;AP50=AP$5&amp;AO$5&amp;AN$5),2,0),IF(AND(AN50=AN$5,AO$6&gt;=$D$129),1,0),IF(AND(AO50=AN$5,AO$6&gt;=$D$129),1,0),IF(AND(AP50=AN$5,AO$6&gt;=$D$129),1,0),IF(AN50&amp;AQ50=AQ$5,4,0),IF(AND(AN50=AN$5,AO$6&lt;=$D$104),-0.5,0),IF(AND(AO50=AN$5,AO$6&lt;=$D$104),-0.5,0),IF(AND(AP50=AN$5,AO$6&lt;=$D$104),-0.5,0))</f>
        <v/>
      </c>
      <c r="AS50" s="145" t="n"/>
      <c r="AT50" s="146" t="n"/>
      <c r="AU50" s="146" t="n"/>
      <c r="AV50" s="146" t="n"/>
      <c r="AW50" s="602">
        <f>SUM(IF(AS50=AS$5,4,0),IF(AS50&amp;AT50=AS$5&amp;AT$5,1,0),
IF(AND(AS50=AS$5,AT$6&gt;=$D$115),1,0),
IF(AND(AT50=AS$5,AT$6&gt;=$D$115),1,0),
IF(AND(AU50=AS$5,AT$6&gt;=$D$115),1,0),
IF(AS50&amp;AV50=AW$5,1,0),
IF(AT50=AS$5,2,0),
IF(AU50=AS$5,1,0),
IF(OR(AS50&amp;AT50&amp;AU50=AS$5&amp;AT$5&amp;AU$5,AS50&amp;AT50&amp;AU50=AS$5&amp;AU$5&amp;AT$5,AS50&amp;AT50&amp;AU50=AT$5&amp;AS$5&amp;AU$5,AS50&amp;AT50&amp;AU50=AT$5&amp;AU$5&amp;AS$5,AS50&amp;AT50&amp;AU50=AU$5&amp;AS$5&amp;AT$5,AS50&amp;AT50&amp;AU50=AU$5&amp;AT$5&amp;AS$5),2,0),IF(AND(AS50=AS$5,AT$6&gt;=$D$129),1,0),IF(AND(AT50=AS$5,AT$6&gt;=$D$129),1,0),IF(AND(AU50=AS$5,AT$6&gt;=$D$129),1,0),IF(AS50&amp;AV50=AV$5,4,0),IF(AND(AS50=AS$5,AT$6&lt;=$D$104),-0.5,0),IF(AND(AT50=AS$5,AT$6&lt;=$D$104),-0.5,0),IF(AND(AU50=AS$5,AT$6&lt;=$D$104),-0.5,0))</f>
        <v/>
      </c>
      <c r="AX50" s="145" t="n"/>
      <c r="AY50" s="146" t="n"/>
      <c r="AZ50" s="146" t="n"/>
      <c r="BA50" s="146" t="n"/>
      <c r="BB50" s="602">
        <f>SUM(IF(AX50=AX$5,4,0),IF(AX50&amp;AY50=AX$5&amp;AY$5,1,0),
IF(AND(AX50=AX$5,AY$6&gt;=$D$115),1,0),
IF(AND(AY50=AX$5,AY$6&gt;=$D$115),1,0),
IF(AND(AZ50=AX$5,AY$6&gt;=$D$115),1,0),
IF(AX50&amp;BA50=BB$5,1,0),
IF(AY50=AX$5,2,0),
IF(AZ50=AX$5,1,0),
IF(OR(AX50&amp;AY50&amp;AZ50=AX$5&amp;AY$5&amp;AZ$5,AX50&amp;AY50&amp;AZ50=AX$5&amp;AZ$5&amp;AY$5,AX50&amp;AY50&amp;AZ50=AY$5&amp;AX$5&amp;AZ$5,AX50&amp;AY50&amp;AZ50=AY$5&amp;AZ$5&amp;AX$5,AX50&amp;AY50&amp;AZ50=AZ$5&amp;AX$5&amp;AY$5,AX50&amp;AY50&amp;AZ50=AZ$5&amp;AY$5&amp;AX$5),2,0),IF(AND(AX50=AX$5,AY$6&gt;=$D$129),1,0),IF(AND(AY50=AX$5,AY$6&gt;=$D$129),1,0),IF(AND(AZ50=AX$5,AY$6&gt;=$D$129),1,0),IF(AX50&amp;BA50=BA$5,4,0),IF(AND(AX50=AX$5,AY$6&lt;=$D$104),-0.5,0),IF(AND(AY50=AX$5,AY$6&lt;=$D$104),-0.5,0),IF(AND(AZ50=AX$5,AY$6&lt;=$D$104),-0.5,0))</f>
        <v/>
      </c>
      <c r="BC50" s="145" t="n"/>
      <c r="BD50" s="146" t="n"/>
      <c r="BE50" s="146" t="n"/>
      <c r="BF50" s="146" t="n"/>
      <c r="BG50" s="602">
        <f>SUM(IF(BC50=BC$5,4,0),IF(BC50&amp;BD50=BC$5&amp;BD$5,1,0),
IF(AND(BC50=BC$5,BD$6&gt;=$D$115),1,0),
IF(AND(BD50=BC$5,BD$6&gt;=$D$115),1,0),
IF(AND(BE50=BC$5,BD$6&gt;=$D$115),1,0),
IF(BC50&amp;BF50=BG$5,1,0),
IF(BD50=BC$5,2,0),
IF(BE50=BC$5,1,0),
IF(OR(BC50&amp;BD50&amp;BE50=BC$5&amp;BD$5&amp;BE$5,BC50&amp;BD50&amp;BE50=BC$5&amp;BE$5&amp;BD$5,BC50&amp;BD50&amp;BE50=BD$5&amp;BC$5&amp;BE$5,BC50&amp;BD50&amp;BE50=BD$5&amp;BE$5&amp;BC$5,BC50&amp;BD50&amp;BE50=BE$5&amp;BC$5&amp;BD$5,BC50&amp;BD50&amp;BE50=BE$5&amp;BD$5&amp;BC$5),2,0),IF(AND(BC50=BC$5,BD$6&gt;=$D$129),1,0),IF(AND(BD50=BC$5,BD$6&gt;=$D$129),1,0),IF(AND(BE50=BC$5,BD$6&gt;=$D$129),1,0),IF(BC50&amp;BF50=BF$5,4,0),IF(AND(BC50=BC$5,BD$6&lt;=$D$104),-0.5,0),IF(AND(BD50=BC$5,BD$6&lt;=$D$104),-0.5,0),IF(AND(BE50=BC$5,BD$6&lt;=$D$104),-0.5,0))</f>
        <v/>
      </c>
      <c r="BH50" s="145" t="n"/>
      <c r="BI50" s="146" t="n"/>
      <c r="BJ50" s="146" t="n"/>
      <c r="BK50" s="146" t="n"/>
      <c r="BL50" s="602">
        <f>SUM(IF(BH50=BH$5,4,0),IF(BH50&amp;BI50=BH$5&amp;BI$5,1,0),
IF(AND(BH50=BH$5,BI$6&gt;=$D$115),1,0),
IF(AND(BI50=BH$5,BI$6&gt;=$D$115),1,0),
IF(AND(BJ50=BH$5,BI$6&gt;=$D$115),1,0),
IF(BH50&amp;BK50=BL$5,1,0),
IF(BI50=BH$5,2,0),
IF(BJ50=BH$5,1,0),
IF(OR(BH50&amp;BI50&amp;BJ50=BH$5&amp;BI$5&amp;BJ$5,BH50&amp;BI50&amp;BJ50=BH$5&amp;BJ$5&amp;BI$5,BH50&amp;BI50&amp;BJ50=BI$5&amp;BH$5&amp;BJ$5,BH50&amp;BI50&amp;BJ50=BI$5&amp;BJ$5&amp;BH$5,BH50&amp;BI50&amp;BJ50=BJ$5&amp;BH$5&amp;BI$5,BH50&amp;BI50&amp;BJ50=BJ$5&amp;BI$5&amp;BH$5),2,0),IF(AND(BH50=BH$5,BI$6&gt;=$D$129),1,0),IF(AND(BI50=BH$5,BI$6&gt;=$D$129),1,0),IF(AND(BJ50=BH$5,BI$6&gt;=$D$129),1,0),IF(BH50&amp;BK50=BK$5,4,0),IF(AND(BH50=BH$5,BI$6&lt;=$D$104),-0.5,0),IF(AND(BI50=BH$5,BI$6&lt;=$D$104),-0.5,0),IF(AND(BJ50=BH$5,BI$6&lt;=$D$104),-0.5,0))</f>
        <v/>
      </c>
      <c r="BM50" s="145" t="n"/>
      <c r="BN50" s="146" t="n"/>
      <c r="BO50" s="146" t="n"/>
      <c r="BP50" s="146" t="n"/>
      <c r="BQ50" s="602">
        <f>SUM(IF(BM50=BM$5,4,0),IF(BM50&amp;BN50=BM$5&amp;BN$5,1,0),
IF(AND(BM50=BM$5,BN$6&gt;=$D$115),1,0),
IF(AND(BN50=BM$5,BN$6&gt;=$D$115),1,0),
IF(AND(BO50=BM$5,BN$6&gt;=$D$115),1,0),
IF(BM50&amp;BP50=BQ$5,1,0),
IF(BN50=BM$5,2,0),
IF(BO50=BM$5,1,0),
IF(OR(BM50&amp;BN50&amp;BO50=BM$5&amp;BN$5&amp;BO$5,BM50&amp;BN50&amp;BO50=BM$5&amp;BO$5&amp;BN$5,BM50&amp;BN50&amp;BO50=BN$5&amp;BM$5&amp;BO$5,BM50&amp;BN50&amp;BO50=BN$5&amp;BO$5&amp;BM$5,BM50&amp;BN50&amp;BO50=BO$5&amp;BM$5&amp;BN$5,BM50&amp;BN50&amp;BO50=BO$5&amp;BN$5&amp;BM$5),2,0),IF(AND(BM50=BM$5,BN$6&gt;=$D$129),1,0),IF(AND(BN50=BM$5,BN$6&gt;=$D$129),1,0),IF(AND(BO50=BM$5,BN$6&gt;=$D$129),1,0),IF(BM50&amp;BP50=BP$5,4,0),IF(AND(BM50=BM$5,BN$6&lt;=$D$104),-0.5,0),IF(AND(BN50=BM$5,BN$6&lt;=$D$104),-0.5,0),IF(AND(BO50=BM$5,BN$6&lt;=$D$104),-0.5,0))</f>
        <v/>
      </c>
      <c r="BR50" s="145" t="n"/>
      <c r="BS50" s="146" t="n"/>
      <c r="BT50" s="146" t="n"/>
      <c r="BU50" s="146" t="n"/>
      <c r="BV50" s="602">
        <f>SUM(IF(BR50=BR$5,4,0),IF(BR50&amp;BS50=BR$5&amp;BS$5,1,0),
IF(AND(BR50=BR$5,BS$6&gt;=$D$115),1,0),
IF(AND(BS50=BR$5,BS$6&gt;=$D$115),1,0),
IF(AND(BT50=BR$5,BS$6&gt;=$D$115),1,0),
IF(BR50&amp;BU50=BV$5,1,0),
IF(BS50=BR$5,2,0),
IF(BT50=BR$5,1,0),
IF(OR(BR50&amp;BS50&amp;BT50=BR$5&amp;BS$5&amp;BT$5,BR50&amp;BS50&amp;BT50=BR$5&amp;BT$5&amp;BS$5,BR50&amp;BS50&amp;BT50=BS$5&amp;BR$5&amp;BT$5,BR50&amp;BS50&amp;BT50=BS$5&amp;BT$5&amp;BR$5,BR50&amp;BS50&amp;BT50=BT$5&amp;BR$5&amp;BS$5,BR50&amp;BS50&amp;BT50=BT$5&amp;BS$5&amp;BR$5),2,0),IF(AND(BR50=BR$5,BS$6&gt;=$D$129),1,0),IF(AND(BS50=BR$5,BS$6&gt;=$D$129),1,0),IF(AND(BT50=BR$5,BS$6&gt;=$D$129),1,0),IF(BR50&amp;BU50=BU$5,4,0),IF(AND(BR50=BR$5,BS$6&lt;=$D$104),-0.5,0),IF(AND(BS50=BR$5,BS$6&lt;=$D$104),-0.5,0),IF(AND(BT50=BR$5,BS$6&lt;=$D$104),-0.5,0))</f>
        <v/>
      </c>
      <c r="BW50" s="145" t="n"/>
      <c r="BX50" s="146" t="n"/>
      <c r="BY50" s="146" t="n"/>
      <c r="BZ50" s="146" t="n"/>
      <c r="CA50" s="602">
        <f>SUM(IF(BW50=BW$5,4,0),IF(BW50&amp;BX50=BW$5&amp;BX$5,1,0),
IF(AND(BW50=BW$5,BX$6&gt;=$D$115),1,0),
IF(AND(BX50=BW$5,BX$6&gt;=$D$115),1,0),
IF(AND(BY50=BW$5,BX$6&gt;=$D$115),1,0),
IF(BW50&amp;BZ50=CA$5,1,0),
IF(BX50=BW$5,2,0),
IF(BY50=BW$5,1,0),
IF(OR(BW50&amp;BX50&amp;BY50=BW$5&amp;BX$5&amp;BY$5,BW50&amp;BX50&amp;BY50=BW$5&amp;BY$5&amp;BX$5,BW50&amp;BX50&amp;BY50=BX$5&amp;BW$5&amp;BY$5,BW50&amp;BX50&amp;BY50=BX$5&amp;BY$5&amp;BW$5,BW50&amp;BX50&amp;BY50=BY$5&amp;BW$5&amp;BX$5,BW50&amp;BX50&amp;BY50=BY$5&amp;BX$5&amp;BW$5),2,0),IF(AND(BW50=BW$5,BX$6&gt;=$D$129),1,0),IF(AND(BX50=BW$5,BX$6&gt;=$D$129),1,0),IF(AND(BY50=BW$5,BX$6&gt;=$D$129),1,0),IF(BW50&amp;BZ50=BZ$5,4,0),IF(AND(BW50=BW$5,BX$6&lt;=$D$104),-0.5,0),IF(AND(BX50=BW$5,BX$6&lt;=$D$104),-0.5,0),IF(AND(BY50=BW$5,BX$6&lt;=$D$104),-0.5,0))</f>
        <v/>
      </c>
      <c r="CB50" s="145" t="n"/>
      <c r="CC50" s="146" t="n"/>
      <c r="CD50" s="146" t="n"/>
      <c r="CE50" s="146" t="n"/>
      <c r="CF50" s="602">
        <f>SUM(IF(CB50=CB$5,4,0),IF(CB50&amp;CC50=CB$5&amp;CC$5,1,0),
IF(AND(CB50=CB$5,CC$6&gt;=$D$115),1,0),
IF(AND(CC50=CB$5,CC$6&gt;=$D$115),1,0),
IF(AND(CD50=CB$5,CC$6&gt;=$D$115),1,0),
IF(CB50&amp;CE50=CF$5,1,0),
IF(CC50=CB$5,2,0),
IF(CD50=CB$5,1,0),
IF(OR(CB50&amp;CC50&amp;CD50=CB$5&amp;CC$5&amp;CD$5,CB50&amp;CC50&amp;CD50=CB$5&amp;CD$5&amp;CC$5,CB50&amp;CC50&amp;CD50=CC$5&amp;CB$5&amp;CD$5,CB50&amp;CC50&amp;CD50=CC$5&amp;CD$5&amp;CB$5,CB50&amp;CC50&amp;CD50=CD$5&amp;CB$5&amp;CC$5,CB50&amp;CC50&amp;CD50=CD$5&amp;CC$5&amp;CB$5),2,0),IF(AND(CB50=CB$5,CC$6&gt;=$D$129),1,0),IF(AND(CC50=CB$5,CC$6&gt;=$D$129),1,0),IF(AND(CD50=CB$5,CC$6&gt;=$D$129),1,0),IF(CB50&amp;CE50=CE$5,4,0),IF(AND(CB50=CB$5,CC$6&lt;=$D$104),-0.5,0),IF(AND(CC50=CB$5,CC$6&lt;=$D$104),-0.5,0),IF(AND(CD50=CB$5,CC$6&lt;=$D$104),-0.5,0))</f>
        <v/>
      </c>
      <c r="CG50" s="164">
        <f>IF(BASE01[[#This Row],[1]]="",0,$B$4)</f>
        <v/>
      </c>
      <c r="CH50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0" s="189">
        <f>IF(BASE01[[#This Row],[Columna14]]=0,0,(CH50/CG50))</f>
        <v/>
      </c>
      <c r="CJ50" s="165">
        <f>IF(BASE01[[#This Row],[1]]="",0,$B$4)</f>
        <v/>
      </c>
      <c r="CK50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0" s="189">
        <f>IF(BASE01[[#This Row],[Columna14]]=0,0,(CK50/CJ50))</f>
        <v/>
      </c>
      <c r="CM50" s="164">
        <f>IF(BASE01[[#This Row],[1]]="",0,$B$4)</f>
        <v/>
      </c>
      <c r="CN50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0" s="189">
        <f>IF(BASE01[[#This Row],[Columna14]]=0,0,(CN50/CM50))</f>
        <v/>
      </c>
      <c r="CP50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0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Row],[Columna25]],$AX$5,BA50,"SF")+COUNTIFS(BASE01[[#This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0" s="189">
        <f>IF(BASE01[[#This Row],[Columna14]]=0,0,(CQ50/CP50))</f>
        <v/>
      </c>
      <c r="CS50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0" s="95" t="n"/>
      <c r="CU50" s="604">
        <f>SUM(CS50,CT50)</f>
        <v/>
      </c>
      <c r="CV50" s="96">
        <f>IF(BASE01[[#This Row],[TIPO]]="PREMIO",$O$3,"0,00")</f>
        <v/>
      </c>
      <c r="CW50" s="576" t="n"/>
      <c r="CY50" s="606">
        <f>IF(CZ50="","",$CZ$25)</f>
        <v/>
      </c>
      <c r="CZ50" s="392" t="n"/>
      <c r="DA50" s="392">
        <f t="array" ref="DA50">IF(CZ50="", "", IF((INDEX(E$8:CE$57, MATCH(CZ50, C$8:C$57, 0), ($CZ$25-1)*5 + 1) &amp; "") = (INDEX(E$5:CE$5, 1, ($CZ$25-1)*5 + 1) &amp; ""), 1, IF((INDEX(E$8:CE$57, MATCH(CZ50, C$8:C$57, 0), ($CZ$25-1)*5 + 2) &amp; "") = (INDEX(E$5:CE$5, 1, ($CZ$25-1)*5 + 1) &amp; ""), 2, IF((INDEX(E$8:CE$57, MATCH(CZ50, C$8:C$57, 0), ($CZ$25-1)*5 + 3) &amp; "") = (INDEX(E$5:CE$5, 1, ($CZ$25-1)*5 + 1) &amp; ""), 3, ""))))</f>
        <v/>
      </c>
      <c r="DB50" s="605">
        <f>BASE01[[#This Row],[COD]]</f>
        <v/>
      </c>
      <c r="DC50" s="395">
        <f t="array" ref="DC50">IFERROR(IF(AND(INDEX($E$8:$CE$57, MATCH($C50, $C$8:$C$57, 0), (COLUMNS($DC50:DC50)-1)*5 + 1) = INDEX($E$5:$CE$5, 1, (COLUMNS($DC50:DC50)-1)*5 + 1), INDEX($E$8:$CE$57, MATCH($C50, $C$8:$C$57, 0), (COLUMNS($DC50:DC50)-1)*5 + 4) = "F"), INDEX($CZ$8:$CZ$23, COLUMNS($DC50:DC50)), "0"), "")</f>
        <v/>
      </c>
      <c r="DD50" s="395">
        <f t="array" ref="DD50">IFERROR(IF(AND(INDEX($E$8:$CE$57, MATCH($C50, $C$8:$C$57, 0), (COLUMNS($DC50:DD50)-1)*5 + 1) = INDEX($E$5:$CE$5, 1, (COLUMNS($DC50:DD50)-1)*5 + 1), INDEX($E$8:$CE$57, MATCH($C50, $C$8:$C$57, 0), (COLUMNS($DC50:DD50)-1)*5 + 4) = "F"), INDEX($CZ$8:$CZ$23, COLUMNS($DC50:DD50)), "0"), "")</f>
        <v/>
      </c>
      <c r="DE50" s="395">
        <f t="array" ref="DE50">IFERROR(IF(AND(INDEX($E$8:$CE$57, MATCH($C50, $C$8:$C$57, 0), (COLUMNS($DC50:DE50)-1)*5 + 1) = INDEX($E$5:$CE$5, 1, (COLUMNS($DC50:DE50)-1)*5 + 1), INDEX($E$8:$CE$57, MATCH($C50, $C$8:$C$57, 0), (COLUMNS($DC50:DE50)-1)*5 + 4) = "F"), INDEX($CZ$8:$CZ$23, COLUMNS($DC50:DE50)), "0"), "")</f>
        <v/>
      </c>
      <c r="DF50" s="395">
        <f t="array" ref="DF50">IFERROR(IF(AND(INDEX($E$8:$CE$57, MATCH($C50, $C$8:$C$57, 0), (COLUMNS($DC50:DF50)-1)*5 + 1) = INDEX($E$5:$CE$5, 1, (COLUMNS($DC50:DF50)-1)*5 + 1), INDEX($E$8:$CE$57, MATCH($C50, $C$8:$C$57, 0), (COLUMNS($DC50:DF50)-1)*5 + 4) = "F"), INDEX($CZ$8:$CZ$23, COLUMNS($DC50:DF50)), "0"), "")</f>
        <v/>
      </c>
      <c r="DG50" s="395">
        <f t="array" ref="DG50">IFERROR(IF(AND(INDEX($E$8:$CE$57, MATCH($C50, $C$8:$C$57, 0), (COLUMNS($DC50:DG50)-1)*5 + 1) = INDEX($E$5:$CE$5, 1, (COLUMNS($DC50:DG50)-1)*5 + 1), INDEX($E$8:$CE$57, MATCH($C50, $C$8:$C$57, 0), (COLUMNS($DC50:DG50)-1)*5 + 4) = "F"), INDEX($CZ$8:$CZ$23, COLUMNS($DC50:DG50)), "0"), "")</f>
        <v/>
      </c>
      <c r="DH50" s="395">
        <f t="array" ref="DH50">IFERROR(IF(AND(INDEX($E$8:$CE$57, MATCH($C50, $C$8:$C$57, 0), (COLUMNS($DC50:DH50)-1)*5 + 1) = INDEX($E$5:$CE$5, 1, (COLUMNS($DC50:DH50)-1)*5 + 1), INDEX($E$8:$CE$57, MATCH($C50, $C$8:$C$57, 0), (COLUMNS($DC50:DH50)-1)*5 + 4) = "F"), INDEX($CZ$8:$CZ$23, COLUMNS($DC50:DH50)), "0"), "")</f>
        <v/>
      </c>
      <c r="DI50" s="395">
        <f t="array" ref="DI50">IFERROR(IF(AND(INDEX($E$8:$CE$57, MATCH($C50, $C$8:$C$57, 0), (COLUMNS($DC50:DI50)-1)*5 + 1) = INDEX($E$5:$CE$5, 1, (COLUMNS($DC50:DI50)-1)*5 + 1), INDEX($E$8:$CE$57, MATCH($C50, $C$8:$C$57, 0), (COLUMNS($DC50:DI50)-1)*5 + 4) = "F"), INDEX($CZ$8:$CZ$23, COLUMNS($DC50:DI50)), "0"), "")</f>
        <v/>
      </c>
      <c r="DJ50" s="395">
        <f t="array" ref="DJ50">IFERROR(IF(AND(INDEX($E$8:$CE$57, MATCH($C50, $C$8:$C$57, 0), (COLUMNS($DC50:DJ50)-1)*5 + 1) = INDEX($E$5:$CE$5, 1, (COLUMNS($DC50:DJ50)-1)*5 + 1), INDEX($E$8:$CE$57, MATCH($C50, $C$8:$C$57, 0), (COLUMNS($DC50:DJ50)-1)*5 + 4) = "F"), INDEX($CZ$8:$CZ$23, COLUMNS($DC50:DJ50)), "0"), "")</f>
        <v/>
      </c>
      <c r="DK50" s="395">
        <f t="array" ref="DK50">IFERROR(IF(AND(INDEX($E$8:$CE$57, MATCH($C50, $C$8:$C$57, 0), (COLUMNS($DC50:DK50)-1)*5 + 1) = INDEX($E$5:$CE$5, 1, (COLUMNS($DC50:DK50)-1)*5 + 1), INDEX($E$8:$CE$57, MATCH($C50, $C$8:$C$57, 0), (COLUMNS($DC50:DK50)-1)*5 + 4) = "F"), INDEX($CZ$8:$CZ$23, COLUMNS($DC50:DK50)), "0"), "")</f>
        <v/>
      </c>
      <c r="DL50" s="395">
        <f t="array" ref="DL50">IFERROR(IF(AND(INDEX($E$8:$CE$57, MATCH($C50, $C$8:$C$57, 0), (COLUMNS($DC50:DL50)-1)*5 + 1) = INDEX($E$5:$CE$5, 1, (COLUMNS($DC50:DL50)-1)*5 + 1), INDEX($E$8:$CE$57, MATCH($C50, $C$8:$C$57, 0), (COLUMNS($DC50:DL50)-1)*5 + 4) = "F"), INDEX($CZ$8:$CZ$23, COLUMNS($DC50:DL50)), "0"), "")</f>
        <v/>
      </c>
      <c r="DM50" s="395">
        <f t="array" ref="DM50">IFERROR(IF(AND(INDEX($E$8:$CE$57, MATCH($C50, $C$8:$C$57, 0), (COLUMNS($DC50:DM50)-1)*5 + 1) = INDEX($E$5:$CE$5, 1, (COLUMNS($DC50:DM50)-1)*5 + 1), INDEX($E$8:$CE$57, MATCH($C50, $C$8:$C$57, 0), (COLUMNS($DC50:DM50)-1)*5 + 4) = "F"), INDEX($CZ$8:$CZ$23, COLUMNS($DC50:DM50)), "0"), "")</f>
        <v/>
      </c>
      <c r="DN50" s="395">
        <f t="array" ref="DN50">IFERROR(IF(AND(INDEX($E$8:$CE$57, MATCH($C50, $C$8:$C$57, 0), (COLUMNS($DC50:DN50)-1)*5 + 1) = INDEX($E$5:$CE$5, 1, (COLUMNS($DC50:DN50)-1)*5 + 1), INDEX($E$8:$CE$57, MATCH($C50, $C$8:$C$57, 0), (COLUMNS($DC50:DN50)-1)*5 + 4) = "F"), INDEX($CZ$8:$CZ$23, COLUMNS($DC50:DN50)), "0"), "")</f>
        <v/>
      </c>
      <c r="DO50" s="395">
        <f t="array" ref="DO50">IFERROR(IF(AND(INDEX($E$8:$CE$57, MATCH($C50, $C$8:$C$57, 0), (COLUMNS($DC50:DO50)-1)*5 + 1) = INDEX($E$5:$CE$5, 1, (COLUMNS($DC50:DO50)-1)*5 + 1), INDEX($E$8:$CE$57, MATCH($C50, $C$8:$C$57, 0), (COLUMNS($DC50:DO50)-1)*5 + 4) = "F"), INDEX($CZ$8:$CZ$23, COLUMNS($DC50:DO50)), "0"), "")</f>
        <v/>
      </c>
      <c r="DP50" s="395">
        <f t="array" ref="DP50">IFERROR(IF(AND(INDEX($E$8:$CE$57, MATCH($C50, $C$8:$C$57, 0), (COLUMNS($DC50:DP50)-1)*5 + 1) = INDEX($E$5:$CE$5, 1, (COLUMNS($DC50:DP50)-1)*5 + 1), INDEX($E$8:$CE$57, MATCH($C50, $C$8:$C$57, 0), (COLUMNS($DC50:DP50)-1)*5 + 4) = "F"), INDEX($CZ$8:$CZ$23, COLUMNS($DC50:DP50)), "0"), "")</f>
        <v/>
      </c>
      <c r="DQ50" s="395">
        <f t="array" ref="DQ50">IFERROR(IF(AND(INDEX($E$8:$CE$57, MATCH($C50, $C$8:$C$57, 0), (COLUMNS($DC50:DQ50)-1)*5 + 1) = INDEX($E$5:$CE$5, 1, (COLUMNS($DC50:DQ50)-1)*5 + 1), INDEX($E$8:$CE$57, MATCH($C50, $C$8:$C$57, 0), (COLUMNS($DC50:DQ50)-1)*5 + 4) = "F"), INDEX($CZ$8:$CZ$23, COLUMNS($DC50:DQ50)), "0"), "")</f>
        <v/>
      </c>
      <c r="DR50" s="395">
        <f t="array" ref="DR50">IFERROR(IF(AND(INDEX($E$8:$CE$57, MATCH($C50, $C$8:$C$57, 0), (COLUMNS($DC50:DR50)-1)*5 + 1) = INDEX($E$5:$CE$5, 1, (COLUMNS($DC50:DR50)-1)*5 + 1), INDEX($E$8:$CE$57, MATCH($C50, $C$8:$C$57, 0), (COLUMNS($DC50:DR50)-1)*5 + 4) = "F"), INDEX($CZ$8:$CZ$23, COLUMNS($DC50:DR50)), "0"), "")</f>
        <v/>
      </c>
      <c r="DT50" s="605">
        <f>BASE01[[#This Row],[COD]]</f>
        <v/>
      </c>
      <c r="DU50" s="395">
        <f t="array" ref="DU50">IFERROR(IF(AND(INDEX($E$8:$CE$57, MATCH($C50, $C$8:$C$57, 0), (COLUMNS($DU50:DU50)-1)*5 + 1) = INDEX($E$5:$CE$5, 1, (COLUMNS($DU50:DU50)-1)*5 + 1), INDEX($E$8:$CE$57, MATCH($C50, $C$8:$C$57, 0), (COLUMNS($DU50:DU50)-1)*5 + 4) = "SF"), INDEX($CZ$8:$CZ$23, COLUMNS($DU50:DU50)), "0"), "")</f>
        <v/>
      </c>
      <c r="DV50" s="395">
        <f t="array" ref="DV50">IFERROR(IF(AND(INDEX($E$8:$CE$57, MATCH($C50, $C$8:$C$57, 0), (COLUMNS($DU50:DV50)-1)*5 + 1) = INDEX($E$5:$CE$5, 1, (COLUMNS($DU50:DV50)-1)*5 + 1), INDEX($E$8:$CE$57, MATCH($C50, $C$8:$C$57, 0), (COLUMNS($DU50:DV50)-1)*5 + 4) = "SF"), INDEX($CZ$8:$CZ$23, COLUMNS($DU50:DV50)), "0"), "")</f>
        <v/>
      </c>
      <c r="DW50" s="395">
        <f t="array" ref="DW50">IFERROR(IF(AND(INDEX($E$8:$CE$57, MATCH($C50, $C$8:$C$57, 0), (COLUMNS($DU50:DW50)-1)*5 + 1) = INDEX($E$5:$CE$5, 1, (COLUMNS($DU50:DW50)-1)*5 + 1), INDEX($E$8:$CE$57, MATCH($C50, $C$8:$C$57, 0), (COLUMNS($DU50:DW50)-1)*5 + 4) = "SF"), INDEX($CZ$8:$CZ$23, COLUMNS($DU50:DW50)), "0"), "")</f>
        <v/>
      </c>
      <c r="DX50" s="395">
        <f t="array" ref="DX50">IFERROR(IF(AND(INDEX($E$8:$CE$57, MATCH($C50, $C$8:$C$57, 0), (COLUMNS($DU50:DX50)-1)*5 + 1) = INDEX($E$5:$CE$5, 1, (COLUMNS($DU50:DX50)-1)*5 + 1), INDEX($E$8:$CE$57, MATCH($C50, $C$8:$C$57, 0), (COLUMNS($DU50:DX50)-1)*5 + 4) = "SF"), INDEX($CZ$8:$CZ$23, COLUMNS($DU50:DX50)), "0"), "")</f>
        <v/>
      </c>
      <c r="DY50" s="395">
        <f t="array" ref="DY50">IFERROR(IF(AND(INDEX($E$8:$CE$57, MATCH($C50, $C$8:$C$57, 0), (COLUMNS($DU50:DY50)-1)*5 + 1) = INDEX($E$5:$CE$5, 1, (COLUMNS($DU50:DY50)-1)*5 + 1), INDEX($E$8:$CE$57, MATCH($C50, $C$8:$C$57, 0), (COLUMNS($DU50:DY50)-1)*5 + 4) = "SF"), INDEX($CZ$8:$CZ$23, COLUMNS($DU50:DY50)), "0"), "")</f>
        <v/>
      </c>
      <c r="DZ50" s="395">
        <f t="array" ref="DZ50">IFERROR(IF(AND(INDEX($E$8:$CE$57, MATCH($C50, $C$8:$C$57, 0), (COLUMNS($DU50:DZ50)-1)*5 + 1) = INDEX($E$5:$CE$5, 1, (COLUMNS($DU50:DZ50)-1)*5 + 1), INDEX($E$8:$CE$57, MATCH($C50, $C$8:$C$57, 0), (COLUMNS($DU50:DZ50)-1)*5 + 4) = "SF"), INDEX($CZ$8:$CZ$23, COLUMNS($DU50:DZ50)), "0"), "")</f>
        <v/>
      </c>
      <c r="EA50" s="395">
        <f t="array" ref="EA50">IFERROR(IF(AND(INDEX($E$8:$CE$57, MATCH($C50, $C$8:$C$57, 0), (COLUMNS($DU50:EA50)-1)*5 + 1) = INDEX($E$5:$CE$5, 1, (COLUMNS($DU50:EA50)-1)*5 + 1), INDEX($E$8:$CE$57, MATCH($C50, $C$8:$C$57, 0), (COLUMNS($DU50:EA50)-1)*5 + 4) = "SF"), INDEX($CZ$8:$CZ$23, COLUMNS($DU50:EA50)), "0"), "")</f>
        <v/>
      </c>
      <c r="EB50" s="395">
        <f t="array" ref="EB50">IFERROR(IF(AND(INDEX($E$8:$CE$57, MATCH($C50, $C$8:$C$57, 0), (COLUMNS($DU50:EB50)-1)*5 + 1) = INDEX($E$5:$CE$5, 1, (COLUMNS($DU50:EB50)-1)*5 + 1), INDEX($E$8:$CE$57, MATCH($C50, $C$8:$C$57, 0), (COLUMNS($DU50:EB50)-1)*5 + 4) = "SF"), INDEX($CZ$8:$CZ$23, COLUMNS($DU50:EB50)), "0"), "")</f>
        <v/>
      </c>
      <c r="EC50" s="395">
        <f t="array" ref="EC50">IFERROR(IF(AND(INDEX($E$8:$CE$57, MATCH($C50, $C$8:$C$57, 0), (COLUMNS($DU50:EC50)-1)*5 + 1) = INDEX($E$5:$CE$5, 1, (COLUMNS($DU50:EC50)-1)*5 + 1), INDEX($E$8:$CE$57, MATCH($C50, $C$8:$C$57, 0), (COLUMNS($DU50:EC50)-1)*5 + 4) = "SF"), INDEX($CZ$8:$CZ$23, COLUMNS($DU50:EC50)), "0"), "")</f>
        <v/>
      </c>
      <c r="ED50" s="395">
        <f t="array" ref="ED50">IFERROR(IF(AND(INDEX($E$8:$CE$57, MATCH($C50, $C$8:$C$57, 0), (COLUMNS($DU50:ED50)-1)*5 + 1) = INDEX($E$5:$CE$5, 1, (COLUMNS($DU50:ED50)-1)*5 + 1), INDEX($E$8:$CE$57, MATCH($C50, $C$8:$C$57, 0), (COLUMNS($DU50:ED50)-1)*5 + 4) = "SF"), INDEX($CZ$8:$CZ$23, COLUMNS($DU50:ED50)), "0"), "")</f>
        <v/>
      </c>
      <c r="EE50" s="395">
        <f t="array" ref="EE50">IFERROR(IF(AND(INDEX($E$8:$CE$57, MATCH($C50, $C$8:$C$57, 0), (COLUMNS($DU50:EE50)-1)*5 + 1) = INDEX($E$5:$CE$5, 1, (COLUMNS($DU50:EE50)-1)*5 + 1), INDEX($E$8:$CE$57, MATCH($C50, $C$8:$C$57, 0), (COLUMNS($DU50:EE50)-1)*5 + 4) = "SF"), INDEX($CZ$8:$CZ$23, COLUMNS($DU50:EE50)), "0"), "")</f>
        <v/>
      </c>
      <c r="EF50" s="395">
        <f t="array" ref="EF50">IFERROR(IF(AND(INDEX($E$8:$CE$57, MATCH($C50, $C$8:$C$57, 0), (COLUMNS($DU50:EF50)-1)*5 + 1) = INDEX($E$5:$CE$5, 1, (COLUMNS($DU50:EF50)-1)*5 + 1), INDEX($E$8:$CE$57, MATCH($C50, $C$8:$C$57, 0), (COLUMNS($DU50:EF50)-1)*5 + 4) = "SF"), INDEX($CZ$8:$CZ$23, COLUMNS($DU50:EF50)), "0"), "")</f>
        <v/>
      </c>
      <c r="EG50" s="395">
        <f t="array" ref="EG50">IFERROR(IF(AND(INDEX($E$8:$CE$57, MATCH($C50, $C$8:$C$57, 0), (COLUMNS($DU50:EG50)-1)*5 + 1) = INDEX($E$5:$CE$5, 1, (COLUMNS($DU50:EG50)-1)*5 + 1), INDEX($E$8:$CE$57, MATCH($C50, $C$8:$C$57, 0), (COLUMNS($DU50:EG50)-1)*5 + 4) = "SF"), INDEX($CZ$8:$CZ$23, COLUMNS($DU50:EG50)), "0"), "")</f>
        <v/>
      </c>
      <c r="EH50" s="395">
        <f t="array" ref="EH50">IFERROR(IF(AND(INDEX($E$8:$CE$57, MATCH($C50, $C$8:$C$57, 0), (COLUMNS($DU50:EH50)-1)*5 + 1) = INDEX($E$5:$CE$5, 1, (COLUMNS($DU50:EH50)-1)*5 + 1), INDEX($E$8:$CE$57, MATCH($C50, $C$8:$C$57, 0), (COLUMNS($DU50:EH50)-1)*5 + 4) = "SF"), INDEX($CZ$8:$CZ$23, COLUMNS($DU50:EH50)), "0"), "")</f>
        <v/>
      </c>
      <c r="EI50" s="395">
        <f t="array" ref="EI50">IFERROR(IF(AND(INDEX($E$8:$CE$57, MATCH($C50, $C$8:$C$57, 0), (COLUMNS($DU50:EI50)-1)*5 + 1) = INDEX($E$5:$CE$5, 1, (COLUMNS($DU50:EI50)-1)*5 + 1), INDEX($E$8:$CE$57, MATCH($C50, $C$8:$C$57, 0), (COLUMNS($DU50:EI50)-1)*5 + 4) = "SF"), INDEX($CZ$8:$CZ$23, COLUMNS($DU50:EI50)), "0"), "")</f>
        <v/>
      </c>
      <c r="EJ50" s="395">
        <f t="array" ref="EJ50">IFERROR(IF(AND(INDEX($E$8:$CE$57, MATCH($C50, $C$8:$C$57, 0), (COLUMNS($DU50:EJ50)-1)*5 + 1) = INDEX($E$5:$CE$5, 1, (COLUMNS($DU50:EJ50)-1)*5 + 1), INDEX($E$8:$CE$57, MATCH($C50, $C$8:$C$57, 0), (COLUMNS($DU50:EJ50)-1)*5 + 4) = "SF"), INDEX($CZ$8:$CZ$23, COLUMNS($DU50:EJ50)), "0"), "")</f>
        <v/>
      </c>
    </row>
    <row r="51" outlineLevel="1" ht="20.1" customHeight="1" s="568">
      <c r="A51" s="576" t="n"/>
      <c r="B51" s="92">
        <f>IF(BASE01[[#This Row],[COD]]&lt;&gt;"",B50+1,"")</f>
        <v/>
      </c>
      <c r="C51" s="601" t="inlineStr">
        <is>
          <t>COD 44</t>
        </is>
      </c>
      <c r="D51" s="93">
        <f t="array" ref="D51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1" s="145" t="n"/>
      <c r="F51" s="146" t="n"/>
      <c r="G51" s="146" t="n"/>
      <c r="H51" s="146" t="n"/>
      <c r="I51" s="602">
        <f>SUM(IF(E51=E$5,4,0),IF(E51&amp;F51=E$5&amp;F$5,1,0),
IF(AND(E51=E$5,F$6&gt;=$D$115),1,0),
IF(AND(F51=E$5,F$6&gt;=$D$115),1,0),
IF(AND(G51=E$5,F$6&gt;=$D$115),1,0),
IF(E51&amp;H51=I$5,1,0),
IF(F51=E$5,2,0),
IF(G51=E$5,1,0),
IF(OR(E51&amp;F51&amp;G51=E$5&amp;F$5&amp;G$5,E51&amp;F51&amp;G51=E$5&amp;G$5&amp;F$5,E51&amp;F51&amp;G51=F$5&amp;E$5&amp;G$5,E51&amp;F51&amp;G51=F$5&amp;G$5&amp;E$5,E51&amp;F51&amp;G51=G$5&amp;E$5&amp;F$5,E51&amp;F51&amp;G51=G$5&amp;F$5&amp;E$5),2,0),IF(AND(E51=E$5,F$6&gt;=$D$129),1,0),IF(AND(F51=E$5,F$6&gt;=$D$129),1,0),IF(AND(G51=E$5,F$6&gt;=$D$129),1,0),IF(E51&amp;H51=H$5,4,0),IF(AND(E51=E$5,F$6&lt;=$D$104),-0.5,0),IF(AND(F51=E$5,F$6&lt;=$D$104),-0.5,0),IF(AND(G51=E$5,F$6&lt;=$D$104),-0.5,0))</f>
        <v/>
      </c>
      <c r="J51" s="145" t="n"/>
      <c r="K51" s="146" t="n"/>
      <c r="L51" s="146" t="n"/>
      <c r="M51" s="146" t="n"/>
      <c r="N51" s="602">
        <f>SUM(IF(J51=J$5,4,0),IF(J51&amp;K51=J$5&amp;K$5,1,0),
IF(AND(J51=J$5,K$6&gt;=$D$115),1,0),
IF(AND(K51=J$5,K$6&gt;=$D$115),1,0),
IF(AND(L51=J$5,K$6&gt;=$D$115),1,0),
IF(J51&amp;M51=N$5,1,0),
IF(K51=J$5,2,0),
IF(L51=J$5,1,0),
IF(OR(J51&amp;K51&amp;L51=J$5&amp;K$5&amp;L$5,J51&amp;K51&amp;L51=J$5&amp;L$5&amp;K$5,J51&amp;K51&amp;L51=K$5&amp;J$5&amp;L$5,J51&amp;K51&amp;L51=K$5&amp;L$5&amp;J$5,J51&amp;K51&amp;L51=L$5&amp;J$5&amp;K$5,J51&amp;K51&amp;L51=L$5&amp;K$5&amp;J$5),2,0),IF(AND(J51=J$5,K$6&gt;=$D$129),1,0),IF(AND(K51=J$5,K$6&gt;=$D$129),1,0),IF(AND(L51=J$5,K$6&gt;=$D$129),1,0),IF(J51&amp;M51=M$5,4,0),IF(AND(J51=J$5,K$6&lt;=$D$104),-0.5,0),IF(AND(K51=J$5,K$6&lt;=$D$104),-0.5,0),IF(AND(L51=J$5,K$6&lt;=$D$104),-0.5,0))</f>
        <v/>
      </c>
      <c r="O51" s="145" t="n"/>
      <c r="P51" s="146" t="n"/>
      <c r="Q51" s="146" t="n"/>
      <c r="R51" s="146" t="n"/>
      <c r="S51" s="602">
        <f>SUM(IF(O51=O$5,4,0),IF(O51&amp;P51=O$5&amp;P$5,1,0),
IF(AND(O51=O$5,P$6&gt;=$D$115),1,0),
IF(AND(P51=O$5,P$6&gt;=$D$115),1,0),
IF(AND(Q51=O$5,P$6&gt;=$D$115),1,0),
IF(O51&amp;R51=S$5,1,0),
IF(P51=O$5,2,0),
IF(Q51=O$5,1,0),
IF(OR(O51&amp;P51&amp;Q51=O$5&amp;P$5&amp;Q$5,O51&amp;P51&amp;Q51=O$5&amp;Q$5&amp;P$5,O51&amp;P51&amp;Q51=P$5&amp;O$5&amp;Q$5,O51&amp;P51&amp;Q51=P$5&amp;Q$5&amp;O$5,O51&amp;P51&amp;Q51=Q$5&amp;O$5&amp;P$5,O51&amp;P51&amp;Q51=Q$5&amp;P$5&amp;O$5),2,0),IF(AND(O51=O$5,P$6&gt;=$D$129),1,0),IF(AND(P51=O$5,P$6&gt;=$D$129),1,0),IF(AND(Q51=O$5,P$6&gt;=$D$129),1,0),IF(O51&amp;R51=R$5,4,0),IF(AND(O51=O$5,P$6&lt;=$D$104),-0.5,0),IF(AND(P51=O$5,P$6&lt;=$D$104),-0.5,0),IF(AND(Q51=O$5,P$6&lt;=$D$104),-0.5,0))</f>
        <v/>
      </c>
      <c r="T51" s="145" t="n"/>
      <c r="U51" s="146" t="n"/>
      <c r="V51" s="146" t="n"/>
      <c r="W51" s="146" t="n"/>
      <c r="X51" s="602">
        <f>SUM(IF(T51=T$5,4,0),IF(T51&amp;U51=T$5&amp;U$5,1,0),
IF(AND(T51=T$5,U$6&gt;=$D$115),1,0),
IF(AND(U51=T$5,U$6&gt;=$D$115),1,0),
IF(AND(V51=T$5,U$6&gt;=$D$115),1,0),
IF(T51&amp;W51=X$5,1,0),
IF(U51=T$5,2,0),
IF(V51=T$5,1,0),
IF(OR(T51&amp;U51&amp;V51=T$5&amp;U$5&amp;V$5,T51&amp;U51&amp;V51=T$5&amp;V$5&amp;U$5,T51&amp;U51&amp;V51=U$5&amp;T$5&amp;V$5,T51&amp;U51&amp;V51=U$5&amp;V$5&amp;T$5,T51&amp;U51&amp;V51=V$5&amp;T$5&amp;U$5,T51&amp;U51&amp;V51=V$5&amp;U$5&amp;T$5),2,0),IF(AND(T51=T$5,U$6&gt;=$D$129),1,0),IF(AND(U51=T$5,U$6&gt;=$D$129),1,0),IF(AND(V51=T$5,U$6&gt;=$D$129),1,0),IF(T51&amp;W51=W$5,4,0),IF(AND(T51=T$5,U$6&lt;=$D$104),-0.5,0),IF(AND(U51=T$5,U$6&lt;=$D$104),-0.5,0),IF(AND(V51=T$5,U$6&lt;=$D$104),-0.5,0))</f>
        <v/>
      </c>
      <c r="Y51" s="145" t="n"/>
      <c r="Z51" s="146" t="n"/>
      <c r="AA51" s="146" t="n"/>
      <c r="AB51" s="146" t="n"/>
      <c r="AC51" s="602">
        <f>SUM(IF(Y51=Y$5,4,0),IF(Y51&amp;Z51=Y$5&amp;Z$5,1,0),
IF(AND(Y51=Y$5,Z$6&gt;=$D$115),1,0),
IF(AND(Z51=Y$5,Z$6&gt;=$D$115),1,0),
IF(AND(AA51=Y$5,Z$6&gt;=$D$115),1,0),
IF(Y51&amp;AB51=AC$5,1,0),
IF(Z51=Y$5,2,0),
IF(AA51=Y$5,1,0),
IF(OR(Y51&amp;Z51&amp;AA51=Y$5&amp;Z$5&amp;AA$5,Y51&amp;Z51&amp;AA51=Y$5&amp;AA$5&amp;Z$5,Y51&amp;Z51&amp;AA51=Z$5&amp;Y$5&amp;AA$5,Y51&amp;Z51&amp;AA51=Z$5&amp;AA$5&amp;Y$5,Y51&amp;Z51&amp;AA51=AA$5&amp;Y$5&amp;Z$5,Y51&amp;Z51&amp;AA51=AA$5&amp;Z$5&amp;Y$5),2,0),IF(AND(Y51=Y$5,Z$6&gt;=$D$129),1,0),IF(AND(Z51=Y$5,Z$6&gt;=$D$129),1,0),IF(AND(AA51=Y$5,Z$6&gt;=$D$129),1,0),IF(Y51&amp;AB51=AB$5,4,0),IF(AND(Y51=Y$5,Z$6&lt;=$D$104),-0.5,0),IF(AND(Z51=Y$5,Z$6&lt;=$D$104),-0.5,0),IF(AND(AA51=Y$5,Z$6&lt;=$D$104),-0.5,0))</f>
        <v/>
      </c>
      <c r="AD51" s="145" t="n"/>
      <c r="AE51" s="146" t="n"/>
      <c r="AF51" s="146" t="n"/>
      <c r="AG51" s="146" t="n"/>
      <c r="AH51" s="602">
        <f>SUM(IF(AD51=AD$5,4,0),IF(AD51&amp;AE51=AD$5&amp;AE$5,1,0),
IF(AND(AD51=AD$5,AE$6&gt;=$D$115),1,0),
IF(AND(AE51=AD$5,AE$6&gt;=$D$115),1,0),
IF(AND(AF51=AD$5,AE$6&gt;=$D$115),1,0),
IF(AD51&amp;AG51=AH$5,1,0),
IF(AE51=AD$5,2,0),
IF(AF51=AD$5,1,0),
IF(OR(AD51&amp;AE51&amp;AF51=AD$5&amp;AE$5&amp;AF$5,AD51&amp;AE51&amp;AF51=AD$5&amp;AF$5&amp;AE$5,AD51&amp;AE51&amp;AF51=AE$5&amp;AD$5&amp;AF$5,AD51&amp;AE51&amp;AF51=AE$5&amp;AF$5&amp;AD$5,AD51&amp;AE51&amp;AF51=AF$5&amp;AD$5&amp;AE$5,AD51&amp;AE51&amp;AF51=AF$5&amp;AE$5&amp;AD$5),2,0),IF(AND(AD51=AD$5,AE$6&gt;=$D$129),1,0),IF(AND(AE51=AD$5,AE$6&gt;=$D$129),1,0),IF(AND(AF51=AD$5,AE$6&gt;=$D$129),1,0),IF(AD51&amp;AG51=AG$5,4,0),IF(AND(AD51=AD$5,AE$6&lt;=$D$104),-0.5,0),IF(AND(AE51=AD$5,AE$6&lt;=$D$104),-0.5,0),IF(AND(AF51=AD$5,AE$6&lt;=$D$104),-0.5,0))</f>
        <v/>
      </c>
      <c r="AI51" s="145" t="n"/>
      <c r="AJ51" s="146" t="n"/>
      <c r="AK51" s="146" t="n"/>
      <c r="AL51" s="146" t="n"/>
      <c r="AM51" s="602">
        <f>SUM(IF(AI51=AI$5,4,0),IF(AI51&amp;AJ51=AI$5&amp;AJ$5,1,0),
IF(AND(AI51=AI$5,AJ$6&gt;=$D$115),1,0),
IF(AND(AJ51=AI$5,AJ$6&gt;=$D$115),1,0),
IF(AND(AK51=AI$5,AJ$6&gt;=$D$115),1,0),
IF(AI51&amp;AL51=AM$5,1,0),
IF(AJ51=AI$5,2,0),
IF(AK51=AI$5,1,0),
IF(OR(AI51&amp;AJ51&amp;AK51=AI$5&amp;AJ$5&amp;AK$5,AI51&amp;AJ51&amp;AK51=AI$5&amp;AK$5&amp;AJ$5,AI51&amp;AJ51&amp;AK51=AJ$5&amp;AI$5&amp;AK$5,AI51&amp;AJ51&amp;AK51=AJ$5&amp;AK$5&amp;AI$5,AI51&amp;AJ51&amp;AK51=AK$5&amp;AI$5&amp;AJ$5,AI51&amp;AJ51&amp;AK51=AK$5&amp;AJ$5&amp;AI$5),2,0),IF(AND(AI51=AI$5,AJ$6&gt;=$D$129),1,0),IF(AND(AJ51=AI$5,AJ$6&gt;=$D$129),1,0),IF(AND(AK51=AI$5,AJ$6&gt;=$D$129),1,0),IF(AI51&amp;AL51=AL$5,4,0),IF(AND(AI51=AI$5,AJ$6&lt;=$D$104),-0.5,0),IF(AND(AJ51=AI$5,AJ$6&lt;=$D$104),-0.5,0),IF(AND(AK51=AI$5,AJ$6&lt;=$D$104),-0.5,0))</f>
        <v/>
      </c>
      <c r="AN51" s="145" t="n"/>
      <c r="AO51" s="146" t="n"/>
      <c r="AP51" s="146" t="n"/>
      <c r="AQ51" s="146" t="n"/>
      <c r="AR51" s="602">
        <f>SUM(IF(AN51=AN$5,4,0),IF(AN51&amp;AO51=AN$5&amp;AO$5,1,0),
IF(AND(AN51=AN$5,AO$6&gt;=$D$115),1,0),
IF(AND(AO51=AN$5,AO$6&gt;=$D$115),1,0),
IF(AND(AP51=AN$5,AO$6&gt;=$D$115),1,0),
IF(AN51&amp;AQ51=AR$5,1,0),
IF(AO51=AN$5,2,0),
IF(AP51=AN$5,1,0),
IF(OR(AN51&amp;AO51&amp;AP51=AN$5&amp;AO$5&amp;AP$5,AN51&amp;AO51&amp;AP51=AN$5&amp;AP$5&amp;AO$5,AN51&amp;AO51&amp;AP51=AO$5&amp;AN$5&amp;AP$5,AN51&amp;AO51&amp;AP51=AO$5&amp;AP$5&amp;AN$5,AN51&amp;AO51&amp;AP51=AP$5&amp;AN$5&amp;AO$5,AN51&amp;AO51&amp;AP51=AP$5&amp;AO$5&amp;AN$5),2,0),IF(AND(AN51=AN$5,AO$6&gt;=$D$129),1,0),IF(AND(AO51=AN$5,AO$6&gt;=$D$129),1,0),IF(AND(AP51=AN$5,AO$6&gt;=$D$129),1,0),IF(AN51&amp;AQ51=AQ$5,4,0),IF(AND(AN51=AN$5,AO$6&lt;=$D$104),-0.5,0),IF(AND(AO51=AN$5,AO$6&lt;=$D$104),-0.5,0),IF(AND(AP51=AN$5,AO$6&lt;=$D$104),-0.5,0))</f>
        <v/>
      </c>
      <c r="AS51" s="145" t="n"/>
      <c r="AT51" s="146" t="n"/>
      <c r="AU51" s="146" t="n"/>
      <c r="AV51" s="146" t="n"/>
      <c r="AW51" s="602">
        <f>SUM(IF(AS51=AS$5,4,0),IF(AS51&amp;AT51=AS$5&amp;AT$5,1,0),
IF(AND(AS51=AS$5,AT$6&gt;=$D$115),1,0),
IF(AND(AT51=AS$5,AT$6&gt;=$D$115),1,0),
IF(AND(AU51=AS$5,AT$6&gt;=$D$115),1,0),
IF(AS51&amp;AV51=AW$5,1,0),
IF(AT51=AS$5,2,0),
IF(AU51=AS$5,1,0),
IF(OR(AS51&amp;AT51&amp;AU51=AS$5&amp;AT$5&amp;AU$5,AS51&amp;AT51&amp;AU51=AS$5&amp;AU$5&amp;AT$5,AS51&amp;AT51&amp;AU51=AT$5&amp;AS$5&amp;AU$5,AS51&amp;AT51&amp;AU51=AT$5&amp;AU$5&amp;AS$5,AS51&amp;AT51&amp;AU51=AU$5&amp;AS$5&amp;AT$5,AS51&amp;AT51&amp;AU51=AU$5&amp;AT$5&amp;AS$5),2,0),IF(AND(AS51=AS$5,AT$6&gt;=$D$129),1,0),IF(AND(AT51=AS$5,AT$6&gt;=$D$129),1,0),IF(AND(AU51=AS$5,AT$6&gt;=$D$129),1,0),IF(AS51&amp;AV51=AV$5,4,0),IF(AND(AS51=AS$5,AT$6&lt;=$D$104),-0.5,0),IF(AND(AT51=AS$5,AT$6&lt;=$D$104),-0.5,0),IF(AND(AU51=AS$5,AT$6&lt;=$D$104),-0.5,0))</f>
        <v/>
      </c>
      <c r="AX51" s="145" t="n"/>
      <c r="AY51" s="146" t="n"/>
      <c r="AZ51" s="146" t="n"/>
      <c r="BA51" s="146" t="n"/>
      <c r="BB51" s="602">
        <f>SUM(IF(AX51=AX$5,4,0),IF(AX51&amp;AY51=AX$5&amp;AY$5,1,0),
IF(AND(AX51=AX$5,AY$6&gt;=$D$115),1,0),
IF(AND(AY51=AX$5,AY$6&gt;=$D$115),1,0),
IF(AND(AZ51=AX$5,AY$6&gt;=$D$115),1,0),
IF(AX51&amp;BA51=BB$5,1,0),
IF(AY51=AX$5,2,0),
IF(AZ51=AX$5,1,0),
IF(OR(AX51&amp;AY51&amp;AZ51=AX$5&amp;AY$5&amp;AZ$5,AX51&amp;AY51&amp;AZ51=AX$5&amp;AZ$5&amp;AY$5,AX51&amp;AY51&amp;AZ51=AY$5&amp;AX$5&amp;AZ$5,AX51&amp;AY51&amp;AZ51=AY$5&amp;AZ$5&amp;AX$5,AX51&amp;AY51&amp;AZ51=AZ$5&amp;AX$5&amp;AY$5,AX51&amp;AY51&amp;AZ51=AZ$5&amp;AY$5&amp;AX$5),2,0),IF(AND(AX51=AX$5,AY$6&gt;=$D$129),1,0),IF(AND(AY51=AX$5,AY$6&gt;=$D$129),1,0),IF(AND(AZ51=AX$5,AY$6&gt;=$D$129),1,0),IF(AX51&amp;BA51=BA$5,4,0),IF(AND(AX51=AX$5,AY$6&lt;=$D$104),-0.5,0),IF(AND(AY51=AX$5,AY$6&lt;=$D$104),-0.5,0),IF(AND(AZ51=AX$5,AY$6&lt;=$D$104),-0.5,0))</f>
        <v/>
      </c>
      <c r="BC51" s="145" t="n"/>
      <c r="BD51" s="146" t="n"/>
      <c r="BE51" s="146" t="n"/>
      <c r="BF51" s="146" t="n"/>
      <c r="BG51" s="602">
        <f>SUM(IF(BC51=BC$5,4,0),IF(BC51&amp;BD51=BC$5&amp;BD$5,1,0),
IF(AND(BC51=BC$5,BD$6&gt;=$D$115),1,0),
IF(AND(BD51=BC$5,BD$6&gt;=$D$115),1,0),
IF(AND(BE51=BC$5,BD$6&gt;=$D$115),1,0),
IF(BC51&amp;BF51=BG$5,1,0),
IF(BD51=BC$5,2,0),
IF(BE51=BC$5,1,0),
IF(OR(BC51&amp;BD51&amp;BE51=BC$5&amp;BD$5&amp;BE$5,BC51&amp;BD51&amp;BE51=BC$5&amp;BE$5&amp;BD$5,BC51&amp;BD51&amp;BE51=BD$5&amp;BC$5&amp;BE$5,BC51&amp;BD51&amp;BE51=BD$5&amp;BE$5&amp;BC$5,BC51&amp;BD51&amp;BE51=BE$5&amp;BC$5&amp;BD$5,BC51&amp;BD51&amp;BE51=BE$5&amp;BD$5&amp;BC$5),2,0),IF(AND(BC51=BC$5,BD$6&gt;=$D$129),1,0),IF(AND(BD51=BC$5,BD$6&gt;=$D$129),1,0),IF(AND(BE51=BC$5,BD$6&gt;=$D$129),1,0),IF(BC51&amp;BF51=BF$5,4,0),IF(AND(BC51=BC$5,BD$6&lt;=$D$104),-0.5,0),IF(AND(BD51=BC$5,BD$6&lt;=$D$104),-0.5,0),IF(AND(BE51=BC$5,BD$6&lt;=$D$104),-0.5,0))</f>
        <v/>
      </c>
      <c r="BH51" s="145" t="n"/>
      <c r="BI51" s="146" t="n"/>
      <c r="BJ51" s="146" t="n"/>
      <c r="BK51" s="146" t="n"/>
      <c r="BL51" s="602">
        <f>SUM(IF(BH51=BH$5,4,0),IF(BH51&amp;BI51=BH$5&amp;BI$5,1,0),
IF(AND(BH51=BH$5,BI$6&gt;=$D$115),1,0),
IF(AND(BI51=BH$5,BI$6&gt;=$D$115),1,0),
IF(AND(BJ51=BH$5,BI$6&gt;=$D$115),1,0),
IF(BH51&amp;BK51=BL$5,1,0),
IF(BI51=BH$5,2,0),
IF(BJ51=BH$5,1,0),
IF(OR(BH51&amp;BI51&amp;BJ51=BH$5&amp;BI$5&amp;BJ$5,BH51&amp;BI51&amp;BJ51=BH$5&amp;BJ$5&amp;BI$5,BH51&amp;BI51&amp;BJ51=BI$5&amp;BH$5&amp;BJ$5,BH51&amp;BI51&amp;BJ51=BI$5&amp;BJ$5&amp;BH$5,BH51&amp;BI51&amp;BJ51=BJ$5&amp;BH$5&amp;BI$5,BH51&amp;BI51&amp;BJ51=BJ$5&amp;BI$5&amp;BH$5),2,0),IF(AND(BH51=BH$5,BI$6&gt;=$D$129),1,0),IF(AND(BI51=BH$5,BI$6&gt;=$D$129),1,0),IF(AND(BJ51=BH$5,BI$6&gt;=$D$129),1,0),IF(BH51&amp;BK51=BK$5,4,0),IF(AND(BH51=BH$5,BI$6&lt;=$D$104),-0.5,0),IF(AND(BI51=BH$5,BI$6&lt;=$D$104),-0.5,0),IF(AND(BJ51=BH$5,BI$6&lt;=$D$104),-0.5,0))</f>
        <v/>
      </c>
      <c r="BM51" s="145" t="n"/>
      <c r="BN51" s="146" t="n"/>
      <c r="BO51" s="146" t="n"/>
      <c r="BP51" s="146" t="n"/>
      <c r="BQ51" s="602">
        <f>SUM(IF(BM51=BM$5,4,0),IF(BM51&amp;BN51=BM$5&amp;BN$5,1,0),
IF(AND(BM51=BM$5,BN$6&gt;=$D$115),1,0),
IF(AND(BN51=BM$5,BN$6&gt;=$D$115),1,0),
IF(AND(BO51=BM$5,BN$6&gt;=$D$115),1,0),
IF(BM51&amp;BP51=BQ$5,1,0),
IF(BN51=BM$5,2,0),
IF(BO51=BM$5,1,0),
IF(OR(BM51&amp;BN51&amp;BO51=BM$5&amp;BN$5&amp;BO$5,BM51&amp;BN51&amp;BO51=BM$5&amp;BO$5&amp;BN$5,BM51&amp;BN51&amp;BO51=BN$5&amp;BM$5&amp;BO$5,BM51&amp;BN51&amp;BO51=BN$5&amp;BO$5&amp;BM$5,BM51&amp;BN51&amp;BO51=BO$5&amp;BM$5&amp;BN$5,BM51&amp;BN51&amp;BO51=BO$5&amp;BN$5&amp;BM$5),2,0),IF(AND(BM51=BM$5,BN$6&gt;=$D$129),1,0),IF(AND(BN51=BM$5,BN$6&gt;=$D$129),1,0),IF(AND(BO51=BM$5,BN$6&gt;=$D$129),1,0),IF(BM51&amp;BP51=BP$5,4,0),IF(AND(BM51=BM$5,BN$6&lt;=$D$104),-0.5,0),IF(AND(BN51=BM$5,BN$6&lt;=$D$104),-0.5,0),IF(AND(BO51=BM$5,BN$6&lt;=$D$104),-0.5,0))</f>
        <v/>
      </c>
      <c r="BR51" s="145" t="n"/>
      <c r="BS51" s="146" t="n"/>
      <c r="BT51" s="146" t="n"/>
      <c r="BU51" s="146" t="n"/>
      <c r="BV51" s="602">
        <f>SUM(IF(BR51=BR$5,4,0),IF(BR51&amp;BS51=BR$5&amp;BS$5,1,0),
IF(AND(BR51=BR$5,BS$6&gt;=$D$115),1,0),
IF(AND(BS51=BR$5,BS$6&gt;=$D$115),1,0),
IF(AND(BT51=BR$5,BS$6&gt;=$D$115),1,0),
IF(BR51&amp;BU51=BV$5,1,0),
IF(BS51=BR$5,2,0),
IF(BT51=BR$5,1,0),
IF(OR(BR51&amp;BS51&amp;BT51=BR$5&amp;BS$5&amp;BT$5,BR51&amp;BS51&amp;BT51=BR$5&amp;BT$5&amp;BS$5,BR51&amp;BS51&amp;BT51=BS$5&amp;BR$5&amp;BT$5,BR51&amp;BS51&amp;BT51=BS$5&amp;BT$5&amp;BR$5,BR51&amp;BS51&amp;BT51=BT$5&amp;BR$5&amp;BS$5,BR51&amp;BS51&amp;BT51=BT$5&amp;BS$5&amp;BR$5),2,0),IF(AND(BR51=BR$5,BS$6&gt;=$D$129),1,0),IF(AND(BS51=BR$5,BS$6&gt;=$D$129),1,0),IF(AND(BT51=BR$5,BS$6&gt;=$D$129),1,0),IF(BR51&amp;BU51=BU$5,4,0),IF(AND(BR51=BR$5,BS$6&lt;=$D$104),-0.5,0),IF(AND(BS51=BR$5,BS$6&lt;=$D$104),-0.5,0),IF(AND(BT51=BR$5,BS$6&lt;=$D$104),-0.5,0))</f>
        <v/>
      </c>
      <c r="BW51" s="145" t="n"/>
      <c r="BX51" s="146" t="n"/>
      <c r="BY51" s="146" t="n"/>
      <c r="BZ51" s="146" t="n"/>
      <c r="CA51" s="602">
        <f>SUM(IF(BW51=BW$5,4,0),IF(BW51&amp;BX51=BW$5&amp;BX$5,1,0),
IF(AND(BW51=BW$5,BX$6&gt;=$D$115),1,0),
IF(AND(BX51=BW$5,BX$6&gt;=$D$115),1,0),
IF(AND(BY51=BW$5,BX$6&gt;=$D$115),1,0),
IF(BW51&amp;BZ51=CA$5,1,0),
IF(BX51=BW$5,2,0),
IF(BY51=BW$5,1,0),
IF(OR(BW51&amp;BX51&amp;BY51=BW$5&amp;BX$5&amp;BY$5,BW51&amp;BX51&amp;BY51=BW$5&amp;BY$5&amp;BX$5,BW51&amp;BX51&amp;BY51=BX$5&amp;BW$5&amp;BY$5,BW51&amp;BX51&amp;BY51=BX$5&amp;BY$5&amp;BW$5,BW51&amp;BX51&amp;BY51=BY$5&amp;BW$5&amp;BX$5,BW51&amp;BX51&amp;BY51=BY$5&amp;BX$5&amp;BW$5),2,0),IF(AND(BW51=BW$5,BX$6&gt;=$D$129),1,0),IF(AND(BX51=BW$5,BX$6&gt;=$D$129),1,0),IF(AND(BY51=BW$5,BX$6&gt;=$D$129),1,0),IF(BW51&amp;BZ51=BZ$5,4,0),IF(AND(BW51=BW$5,BX$6&lt;=$D$104),-0.5,0),IF(AND(BX51=BW$5,BX$6&lt;=$D$104),-0.5,0),IF(AND(BY51=BW$5,BX$6&lt;=$D$104),-0.5,0))</f>
        <v/>
      </c>
      <c r="CB51" s="145" t="n"/>
      <c r="CC51" s="146" t="n"/>
      <c r="CD51" s="146" t="n"/>
      <c r="CE51" s="146" t="n"/>
      <c r="CF51" s="602">
        <f>SUM(IF(CB51=CB$5,4,0),IF(CB51&amp;CC51=CB$5&amp;CC$5,1,0),
IF(AND(CB51=CB$5,CC$6&gt;=$D$115),1,0),
IF(AND(CC51=CB$5,CC$6&gt;=$D$115),1,0),
IF(AND(CD51=CB$5,CC$6&gt;=$D$115),1,0),
IF(CB51&amp;CE51=CF$5,1,0),
IF(CC51=CB$5,2,0),
IF(CD51=CB$5,1,0),
IF(OR(CB51&amp;CC51&amp;CD51=CB$5&amp;CC$5&amp;CD$5,CB51&amp;CC51&amp;CD51=CB$5&amp;CD$5&amp;CC$5,CB51&amp;CC51&amp;CD51=CC$5&amp;CB$5&amp;CD$5,CB51&amp;CC51&amp;CD51=CC$5&amp;CD$5&amp;CB$5,CB51&amp;CC51&amp;CD51=CD$5&amp;CB$5&amp;CC$5,CB51&amp;CC51&amp;CD51=CD$5&amp;CC$5&amp;CB$5),2,0),IF(AND(CB51=CB$5,CC$6&gt;=$D$129),1,0),IF(AND(CC51=CB$5,CC$6&gt;=$D$129),1,0),IF(AND(CD51=CB$5,CC$6&gt;=$D$129),1,0),IF(CB51&amp;CE51=CE$5,4,0),IF(AND(CB51=CB$5,CC$6&lt;=$D$104),-0.5,0),IF(AND(CC51=CB$5,CC$6&lt;=$D$104),-0.5,0),IF(AND(CD51=CB$5,CC$6&lt;=$D$104),-0.5,0))</f>
        <v/>
      </c>
      <c r="CG51" s="164">
        <f>IF(BASE01[[#This Row],[1]]="",0,$B$4)</f>
        <v/>
      </c>
      <c r="CH51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1" s="189">
        <f>IF(BASE01[[#This Row],[Columna14]]=0,0,(CH51/CG51))</f>
        <v/>
      </c>
      <c r="CJ51" s="165">
        <f>IF(BASE01[[#This Row],[1]]="",0,$B$4)</f>
        <v/>
      </c>
      <c r="CK51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1" s="189">
        <f>IF(BASE01[[#This Row],[Columna14]]=0,0,(CK51/CJ51))</f>
        <v/>
      </c>
      <c r="CM51" s="164">
        <f>IF(BASE01[[#This Row],[1]]="",0,$B$4)</f>
        <v/>
      </c>
      <c r="CN51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1" s="189">
        <f>IF(BASE01[[#This Row],[Columna14]]=0,0,(CN51/CM51))</f>
        <v/>
      </c>
      <c r="CP51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1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Row],[Columna25]],$AX$5,BA51,"SF")+COUNTIFS(BASE01[[#This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1" s="189">
        <f>IF(BASE01[[#This Row],[Columna14]]=0,0,(CQ51/CP51))</f>
        <v/>
      </c>
      <c r="CS51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1" s="95" t="n"/>
      <c r="CU51" s="604">
        <f>SUM(CS51,CT51)</f>
        <v/>
      </c>
      <c r="CV51" s="96">
        <f>IF(BASE01[[#This Row],[TIPO]]="PREMIO",$O$3,"0,00")</f>
        <v/>
      </c>
      <c r="CW51" s="576" t="n"/>
      <c r="CY51" s="606">
        <f>IF(CZ51="","",$CZ$25)</f>
        <v/>
      </c>
      <c r="CZ51" s="392" t="n"/>
      <c r="DA51" s="392">
        <f t="array" ref="DA51">IF(CZ51="", "", IF((INDEX(E$8:CE$57, MATCH(CZ51, C$8:C$57, 0), ($CZ$25-1)*5 + 1) &amp; "") = (INDEX(E$5:CE$5, 1, ($CZ$25-1)*5 + 1) &amp; ""), 1, IF((INDEX(E$8:CE$57, MATCH(CZ51, C$8:C$57, 0), ($CZ$25-1)*5 + 2) &amp; "") = (INDEX(E$5:CE$5, 1, ($CZ$25-1)*5 + 1) &amp; ""), 2, IF((INDEX(E$8:CE$57, MATCH(CZ51, C$8:C$57, 0), ($CZ$25-1)*5 + 3) &amp; "") = (INDEX(E$5:CE$5, 1, ($CZ$25-1)*5 + 1) &amp; ""), 3, ""))))</f>
        <v/>
      </c>
      <c r="DB51" s="605">
        <f>BASE01[[#This Row],[COD]]</f>
        <v/>
      </c>
      <c r="DC51" s="395">
        <f t="array" ref="DC51">IFERROR(IF(AND(INDEX($E$8:$CE$57, MATCH($C51, $C$8:$C$57, 0), (COLUMNS($DC51:DC51)-1)*5 + 1) = INDEX($E$5:$CE$5, 1, (COLUMNS($DC51:DC51)-1)*5 + 1), INDEX($E$8:$CE$57, MATCH($C51, $C$8:$C$57, 0), (COLUMNS($DC51:DC51)-1)*5 + 4) = "F"), INDEX($CZ$8:$CZ$23, COLUMNS($DC51:DC51)), "0"), "")</f>
        <v/>
      </c>
      <c r="DD51" s="395">
        <f t="array" ref="DD51">IFERROR(IF(AND(INDEX($E$8:$CE$57, MATCH($C51, $C$8:$C$57, 0), (COLUMNS($DC51:DD51)-1)*5 + 1) = INDEX($E$5:$CE$5, 1, (COLUMNS($DC51:DD51)-1)*5 + 1), INDEX($E$8:$CE$57, MATCH($C51, $C$8:$C$57, 0), (COLUMNS($DC51:DD51)-1)*5 + 4) = "F"), INDEX($CZ$8:$CZ$23, COLUMNS($DC51:DD51)), "0"), "")</f>
        <v/>
      </c>
      <c r="DE51" s="395">
        <f t="array" ref="DE51">IFERROR(IF(AND(INDEX($E$8:$CE$57, MATCH($C51, $C$8:$C$57, 0), (COLUMNS($DC51:DE51)-1)*5 + 1) = INDEX($E$5:$CE$5, 1, (COLUMNS($DC51:DE51)-1)*5 + 1), INDEX($E$8:$CE$57, MATCH($C51, $C$8:$C$57, 0), (COLUMNS($DC51:DE51)-1)*5 + 4) = "F"), INDEX($CZ$8:$CZ$23, COLUMNS($DC51:DE51)), "0"), "")</f>
        <v/>
      </c>
      <c r="DF51" s="395">
        <f t="array" ref="DF51">IFERROR(IF(AND(INDEX($E$8:$CE$57, MATCH($C51, $C$8:$C$57, 0), (COLUMNS($DC51:DF51)-1)*5 + 1) = INDEX($E$5:$CE$5, 1, (COLUMNS($DC51:DF51)-1)*5 + 1), INDEX($E$8:$CE$57, MATCH($C51, $C$8:$C$57, 0), (COLUMNS($DC51:DF51)-1)*5 + 4) = "F"), INDEX($CZ$8:$CZ$23, COLUMNS($DC51:DF51)), "0"), "")</f>
        <v/>
      </c>
      <c r="DG51" s="395">
        <f t="array" ref="DG51">IFERROR(IF(AND(INDEX($E$8:$CE$57, MATCH($C51, $C$8:$C$57, 0), (COLUMNS($DC51:DG51)-1)*5 + 1) = INDEX($E$5:$CE$5, 1, (COLUMNS($DC51:DG51)-1)*5 + 1), INDEX($E$8:$CE$57, MATCH($C51, $C$8:$C$57, 0), (COLUMNS($DC51:DG51)-1)*5 + 4) = "F"), INDEX($CZ$8:$CZ$23, COLUMNS($DC51:DG51)), "0"), "")</f>
        <v/>
      </c>
      <c r="DH51" s="395">
        <f t="array" ref="DH51">IFERROR(IF(AND(INDEX($E$8:$CE$57, MATCH($C51, $C$8:$C$57, 0), (COLUMNS($DC51:DH51)-1)*5 + 1) = INDEX($E$5:$CE$5, 1, (COLUMNS($DC51:DH51)-1)*5 + 1), INDEX($E$8:$CE$57, MATCH($C51, $C$8:$C$57, 0), (COLUMNS($DC51:DH51)-1)*5 + 4) = "F"), INDEX($CZ$8:$CZ$23, COLUMNS($DC51:DH51)), "0"), "")</f>
        <v/>
      </c>
      <c r="DI51" s="395">
        <f t="array" ref="DI51">IFERROR(IF(AND(INDEX($E$8:$CE$57, MATCH($C51, $C$8:$C$57, 0), (COLUMNS($DC51:DI51)-1)*5 + 1) = INDEX($E$5:$CE$5, 1, (COLUMNS($DC51:DI51)-1)*5 + 1), INDEX($E$8:$CE$57, MATCH($C51, $C$8:$C$57, 0), (COLUMNS($DC51:DI51)-1)*5 + 4) = "F"), INDEX($CZ$8:$CZ$23, COLUMNS($DC51:DI51)), "0"), "")</f>
        <v/>
      </c>
      <c r="DJ51" s="395">
        <f t="array" ref="DJ51">IFERROR(IF(AND(INDEX($E$8:$CE$57, MATCH($C51, $C$8:$C$57, 0), (COLUMNS($DC51:DJ51)-1)*5 + 1) = INDEX($E$5:$CE$5, 1, (COLUMNS($DC51:DJ51)-1)*5 + 1), INDEX($E$8:$CE$57, MATCH($C51, $C$8:$C$57, 0), (COLUMNS($DC51:DJ51)-1)*5 + 4) = "F"), INDEX($CZ$8:$CZ$23, COLUMNS($DC51:DJ51)), "0"), "")</f>
        <v/>
      </c>
      <c r="DK51" s="395">
        <f t="array" ref="DK51">IFERROR(IF(AND(INDEX($E$8:$CE$57, MATCH($C51, $C$8:$C$57, 0), (COLUMNS($DC51:DK51)-1)*5 + 1) = INDEX($E$5:$CE$5, 1, (COLUMNS($DC51:DK51)-1)*5 + 1), INDEX($E$8:$CE$57, MATCH($C51, $C$8:$C$57, 0), (COLUMNS($DC51:DK51)-1)*5 + 4) = "F"), INDEX($CZ$8:$CZ$23, COLUMNS($DC51:DK51)), "0"), "")</f>
        <v/>
      </c>
      <c r="DL51" s="395">
        <f t="array" ref="DL51">IFERROR(IF(AND(INDEX($E$8:$CE$57, MATCH($C51, $C$8:$C$57, 0), (COLUMNS($DC51:DL51)-1)*5 + 1) = INDEX($E$5:$CE$5, 1, (COLUMNS($DC51:DL51)-1)*5 + 1), INDEX($E$8:$CE$57, MATCH($C51, $C$8:$C$57, 0), (COLUMNS($DC51:DL51)-1)*5 + 4) = "F"), INDEX($CZ$8:$CZ$23, COLUMNS($DC51:DL51)), "0"), "")</f>
        <v/>
      </c>
      <c r="DM51" s="395">
        <f t="array" ref="DM51">IFERROR(IF(AND(INDEX($E$8:$CE$57, MATCH($C51, $C$8:$C$57, 0), (COLUMNS($DC51:DM51)-1)*5 + 1) = INDEX($E$5:$CE$5, 1, (COLUMNS($DC51:DM51)-1)*5 + 1), INDEX($E$8:$CE$57, MATCH($C51, $C$8:$C$57, 0), (COLUMNS($DC51:DM51)-1)*5 + 4) = "F"), INDEX($CZ$8:$CZ$23, COLUMNS($DC51:DM51)), "0"), "")</f>
        <v/>
      </c>
      <c r="DN51" s="395">
        <f t="array" ref="DN51">IFERROR(IF(AND(INDEX($E$8:$CE$57, MATCH($C51, $C$8:$C$57, 0), (COLUMNS($DC51:DN51)-1)*5 + 1) = INDEX($E$5:$CE$5, 1, (COLUMNS($DC51:DN51)-1)*5 + 1), INDEX($E$8:$CE$57, MATCH($C51, $C$8:$C$57, 0), (COLUMNS($DC51:DN51)-1)*5 + 4) = "F"), INDEX($CZ$8:$CZ$23, COLUMNS($DC51:DN51)), "0"), "")</f>
        <v/>
      </c>
      <c r="DO51" s="395">
        <f t="array" ref="DO51">IFERROR(IF(AND(INDEX($E$8:$CE$57, MATCH($C51, $C$8:$C$57, 0), (COLUMNS($DC51:DO51)-1)*5 + 1) = INDEX($E$5:$CE$5, 1, (COLUMNS($DC51:DO51)-1)*5 + 1), INDEX($E$8:$CE$57, MATCH($C51, $C$8:$C$57, 0), (COLUMNS($DC51:DO51)-1)*5 + 4) = "F"), INDEX($CZ$8:$CZ$23, COLUMNS($DC51:DO51)), "0"), "")</f>
        <v/>
      </c>
      <c r="DP51" s="395">
        <f t="array" ref="DP51">IFERROR(IF(AND(INDEX($E$8:$CE$57, MATCH($C51, $C$8:$C$57, 0), (COLUMNS($DC51:DP51)-1)*5 + 1) = INDEX($E$5:$CE$5, 1, (COLUMNS($DC51:DP51)-1)*5 + 1), INDEX($E$8:$CE$57, MATCH($C51, $C$8:$C$57, 0), (COLUMNS($DC51:DP51)-1)*5 + 4) = "F"), INDEX($CZ$8:$CZ$23, COLUMNS($DC51:DP51)), "0"), "")</f>
        <v/>
      </c>
      <c r="DQ51" s="395">
        <f t="array" ref="DQ51">IFERROR(IF(AND(INDEX($E$8:$CE$57, MATCH($C51, $C$8:$C$57, 0), (COLUMNS($DC51:DQ51)-1)*5 + 1) = INDEX($E$5:$CE$5, 1, (COLUMNS($DC51:DQ51)-1)*5 + 1), INDEX($E$8:$CE$57, MATCH($C51, $C$8:$C$57, 0), (COLUMNS($DC51:DQ51)-1)*5 + 4) = "F"), INDEX($CZ$8:$CZ$23, COLUMNS($DC51:DQ51)), "0"), "")</f>
        <v/>
      </c>
      <c r="DR51" s="395">
        <f t="array" ref="DR51">IFERROR(IF(AND(INDEX($E$8:$CE$57, MATCH($C51, $C$8:$C$57, 0), (COLUMNS($DC51:DR51)-1)*5 + 1) = INDEX($E$5:$CE$5, 1, (COLUMNS($DC51:DR51)-1)*5 + 1), INDEX($E$8:$CE$57, MATCH($C51, $C$8:$C$57, 0), (COLUMNS($DC51:DR51)-1)*5 + 4) = "F"), INDEX($CZ$8:$CZ$23, COLUMNS($DC51:DR51)), "0"), "")</f>
        <v/>
      </c>
      <c r="DT51" s="605">
        <f>BASE01[[#This Row],[COD]]</f>
        <v/>
      </c>
      <c r="DU51" s="395">
        <f t="array" ref="DU51">IFERROR(IF(AND(INDEX($E$8:$CE$57, MATCH($C51, $C$8:$C$57, 0), (COLUMNS($DU51:DU51)-1)*5 + 1) = INDEX($E$5:$CE$5, 1, (COLUMNS($DU51:DU51)-1)*5 + 1), INDEX($E$8:$CE$57, MATCH($C51, $C$8:$C$57, 0), (COLUMNS($DU51:DU51)-1)*5 + 4) = "SF"), INDEX($CZ$8:$CZ$23, COLUMNS($DU51:DU51)), "0"), "")</f>
        <v/>
      </c>
      <c r="DV51" s="395">
        <f t="array" ref="DV51">IFERROR(IF(AND(INDEX($E$8:$CE$57, MATCH($C51, $C$8:$C$57, 0), (COLUMNS($DU51:DV51)-1)*5 + 1) = INDEX($E$5:$CE$5, 1, (COLUMNS($DU51:DV51)-1)*5 + 1), INDEX($E$8:$CE$57, MATCH($C51, $C$8:$C$57, 0), (COLUMNS($DU51:DV51)-1)*5 + 4) = "SF"), INDEX($CZ$8:$CZ$23, COLUMNS($DU51:DV51)), "0"), "")</f>
        <v/>
      </c>
      <c r="DW51" s="395">
        <f t="array" ref="DW51">IFERROR(IF(AND(INDEX($E$8:$CE$57, MATCH($C51, $C$8:$C$57, 0), (COLUMNS($DU51:DW51)-1)*5 + 1) = INDEX($E$5:$CE$5, 1, (COLUMNS($DU51:DW51)-1)*5 + 1), INDEX($E$8:$CE$57, MATCH($C51, $C$8:$C$57, 0), (COLUMNS($DU51:DW51)-1)*5 + 4) = "SF"), INDEX($CZ$8:$CZ$23, COLUMNS($DU51:DW51)), "0"), "")</f>
        <v/>
      </c>
      <c r="DX51" s="395">
        <f t="array" ref="DX51">IFERROR(IF(AND(INDEX($E$8:$CE$57, MATCH($C51, $C$8:$C$57, 0), (COLUMNS($DU51:DX51)-1)*5 + 1) = INDEX($E$5:$CE$5, 1, (COLUMNS($DU51:DX51)-1)*5 + 1), INDEX($E$8:$CE$57, MATCH($C51, $C$8:$C$57, 0), (COLUMNS($DU51:DX51)-1)*5 + 4) = "SF"), INDEX($CZ$8:$CZ$23, COLUMNS($DU51:DX51)), "0"), "")</f>
        <v/>
      </c>
      <c r="DY51" s="395">
        <f t="array" ref="DY51">IFERROR(IF(AND(INDEX($E$8:$CE$57, MATCH($C51, $C$8:$C$57, 0), (COLUMNS($DU51:DY51)-1)*5 + 1) = INDEX($E$5:$CE$5, 1, (COLUMNS($DU51:DY51)-1)*5 + 1), INDEX($E$8:$CE$57, MATCH($C51, $C$8:$C$57, 0), (COLUMNS($DU51:DY51)-1)*5 + 4) = "SF"), INDEX($CZ$8:$CZ$23, COLUMNS($DU51:DY51)), "0"), "")</f>
        <v/>
      </c>
      <c r="DZ51" s="395">
        <f t="array" ref="DZ51">IFERROR(IF(AND(INDEX($E$8:$CE$57, MATCH($C51, $C$8:$C$57, 0), (COLUMNS($DU51:DZ51)-1)*5 + 1) = INDEX($E$5:$CE$5, 1, (COLUMNS($DU51:DZ51)-1)*5 + 1), INDEX($E$8:$CE$57, MATCH($C51, $C$8:$C$57, 0), (COLUMNS($DU51:DZ51)-1)*5 + 4) = "SF"), INDEX($CZ$8:$CZ$23, COLUMNS($DU51:DZ51)), "0"), "")</f>
        <v/>
      </c>
      <c r="EA51" s="395">
        <f t="array" ref="EA51">IFERROR(IF(AND(INDEX($E$8:$CE$57, MATCH($C51, $C$8:$C$57, 0), (COLUMNS($DU51:EA51)-1)*5 + 1) = INDEX($E$5:$CE$5, 1, (COLUMNS($DU51:EA51)-1)*5 + 1), INDEX($E$8:$CE$57, MATCH($C51, $C$8:$C$57, 0), (COLUMNS($DU51:EA51)-1)*5 + 4) = "SF"), INDEX($CZ$8:$CZ$23, COLUMNS($DU51:EA51)), "0"), "")</f>
        <v/>
      </c>
      <c r="EB51" s="395">
        <f t="array" ref="EB51">IFERROR(IF(AND(INDEX($E$8:$CE$57, MATCH($C51, $C$8:$C$57, 0), (COLUMNS($DU51:EB51)-1)*5 + 1) = INDEX($E$5:$CE$5, 1, (COLUMNS($DU51:EB51)-1)*5 + 1), INDEX($E$8:$CE$57, MATCH($C51, $C$8:$C$57, 0), (COLUMNS($DU51:EB51)-1)*5 + 4) = "SF"), INDEX($CZ$8:$CZ$23, COLUMNS($DU51:EB51)), "0"), "")</f>
        <v/>
      </c>
      <c r="EC51" s="395">
        <f t="array" ref="EC51">IFERROR(IF(AND(INDEX($E$8:$CE$57, MATCH($C51, $C$8:$C$57, 0), (COLUMNS($DU51:EC51)-1)*5 + 1) = INDEX($E$5:$CE$5, 1, (COLUMNS($DU51:EC51)-1)*5 + 1), INDEX($E$8:$CE$57, MATCH($C51, $C$8:$C$57, 0), (COLUMNS($DU51:EC51)-1)*5 + 4) = "SF"), INDEX($CZ$8:$CZ$23, COLUMNS($DU51:EC51)), "0"), "")</f>
        <v/>
      </c>
      <c r="ED51" s="395">
        <f t="array" ref="ED51">IFERROR(IF(AND(INDEX($E$8:$CE$57, MATCH($C51, $C$8:$C$57, 0), (COLUMNS($DU51:ED51)-1)*5 + 1) = INDEX($E$5:$CE$5, 1, (COLUMNS($DU51:ED51)-1)*5 + 1), INDEX($E$8:$CE$57, MATCH($C51, $C$8:$C$57, 0), (COLUMNS($DU51:ED51)-1)*5 + 4) = "SF"), INDEX($CZ$8:$CZ$23, COLUMNS($DU51:ED51)), "0"), "")</f>
        <v/>
      </c>
      <c r="EE51" s="395">
        <f t="array" ref="EE51">IFERROR(IF(AND(INDEX($E$8:$CE$57, MATCH($C51, $C$8:$C$57, 0), (COLUMNS($DU51:EE51)-1)*5 + 1) = INDEX($E$5:$CE$5, 1, (COLUMNS($DU51:EE51)-1)*5 + 1), INDEX($E$8:$CE$57, MATCH($C51, $C$8:$C$57, 0), (COLUMNS($DU51:EE51)-1)*5 + 4) = "SF"), INDEX($CZ$8:$CZ$23, COLUMNS($DU51:EE51)), "0"), "")</f>
        <v/>
      </c>
      <c r="EF51" s="395">
        <f t="array" ref="EF51">IFERROR(IF(AND(INDEX($E$8:$CE$57, MATCH($C51, $C$8:$C$57, 0), (COLUMNS($DU51:EF51)-1)*5 + 1) = INDEX($E$5:$CE$5, 1, (COLUMNS($DU51:EF51)-1)*5 + 1), INDEX($E$8:$CE$57, MATCH($C51, $C$8:$C$57, 0), (COLUMNS($DU51:EF51)-1)*5 + 4) = "SF"), INDEX($CZ$8:$CZ$23, COLUMNS($DU51:EF51)), "0"), "")</f>
        <v/>
      </c>
      <c r="EG51" s="395">
        <f t="array" ref="EG51">IFERROR(IF(AND(INDEX($E$8:$CE$57, MATCH($C51, $C$8:$C$57, 0), (COLUMNS($DU51:EG51)-1)*5 + 1) = INDEX($E$5:$CE$5, 1, (COLUMNS($DU51:EG51)-1)*5 + 1), INDEX($E$8:$CE$57, MATCH($C51, $C$8:$C$57, 0), (COLUMNS($DU51:EG51)-1)*5 + 4) = "SF"), INDEX($CZ$8:$CZ$23, COLUMNS($DU51:EG51)), "0"), "")</f>
        <v/>
      </c>
      <c r="EH51" s="395">
        <f t="array" ref="EH51">IFERROR(IF(AND(INDEX($E$8:$CE$57, MATCH($C51, $C$8:$C$57, 0), (COLUMNS($DU51:EH51)-1)*5 + 1) = INDEX($E$5:$CE$5, 1, (COLUMNS($DU51:EH51)-1)*5 + 1), INDEX($E$8:$CE$57, MATCH($C51, $C$8:$C$57, 0), (COLUMNS($DU51:EH51)-1)*5 + 4) = "SF"), INDEX($CZ$8:$CZ$23, COLUMNS($DU51:EH51)), "0"), "")</f>
        <v/>
      </c>
      <c r="EI51" s="395">
        <f t="array" ref="EI51">IFERROR(IF(AND(INDEX($E$8:$CE$57, MATCH($C51, $C$8:$C$57, 0), (COLUMNS($DU51:EI51)-1)*5 + 1) = INDEX($E$5:$CE$5, 1, (COLUMNS($DU51:EI51)-1)*5 + 1), INDEX($E$8:$CE$57, MATCH($C51, $C$8:$C$57, 0), (COLUMNS($DU51:EI51)-1)*5 + 4) = "SF"), INDEX($CZ$8:$CZ$23, COLUMNS($DU51:EI51)), "0"), "")</f>
        <v/>
      </c>
      <c r="EJ51" s="395">
        <f t="array" ref="EJ51">IFERROR(IF(AND(INDEX($E$8:$CE$57, MATCH($C51, $C$8:$C$57, 0), (COLUMNS($DU51:EJ51)-1)*5 + 1) = INDEX($E$5:$CE$5, 1, (COLUMNS($DU51:EJ51)-1)*5 + 1), INDEX($E$8:$CE$57, MATCH($C51, $C$8:$C$57, 0), (COLUMNS($DU51:EJ51)-1)*5 + 4) = "SF"), INDEX($CZ$8:$CZ$23, COLUMNS($DU51:EJ51)), "0"), "")</f>
        <v/>
      </c>
    </row>
    <row r="52" outlineLevel="1" ht="20.1" customHeight="1" s="568">
      <c r="A52" s="576" t="n"/>
      <c r="B52" s="92">
        <f>IF(BASE01[[#This Row],[COD]]&lt;&gt;"",B51+1,"")</f>
        <v/>
      </c>
      <c r="C52" s="601" t="inlineStr">
        <is>
          <t>COD 45</t>
        </is>
      </c>
      <c r="D52" s="93">
        <f t="array" ref="D52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2" s="145" t="n"/>
      <c r="F52" s="146" t="n"/>
      <c r="G52" s="146" t="n"/>
      <c r="H52" s="146" t="n"/>
      <c r="I52" s="602">
        <f>SUM(IF(E52=E$5,4,0),IF(E52&amp;F52=E$5&amp;F$5,1,0),
IF(AND(E52=E$5,F$6&gt;=$D$115),1,0),
IF(AND(F52=E$5,F$6&gt;=$D$115),1,0),
IF(AND(G52=E$5,F$6&gt;=$D$115),1,0),
IF(E52&amp;H52=I$5,1,0),
IF(F52=E$5,2,0),
IF(G52=E$5,1,0),
IF(OR(E52&amp;F52&amp;G52=E$5&amp;F$5&amp;G$5,E52&amp;F52&amp;G52=E$5&amp;G$5&amp;F$5,E52&amp;F52&amp;G52=F$5&amp;E$5&amp;G$5,E52&amp;F52&amp;G52=F$5&amp;G$5&amp;E$5,E52&amp;F52&amp;G52=G$5&amp;E$5&amp;F$5,E52&amp;F52&amp;G52=G$5&amp;F$5&amp;E$5),2,0),IF(AND(E52=E$5,F$6&gt;=$D$129),1,0),IF(AND(F52=E$5,F$6&gt;=$D$129),1,0),IF(AND(G52=E$5,F$6&gt;=$D$129),1,0),IF(E52&amp;H52=H$5,4,0),IF(AND(E52=E$5,F$6&lt;=$D$104),-0.5,0),IF(AND(F52=E$5,F$6&lt;=$D$104),-0.5,0),IF(AND(G52=E$5,F$6&lt;=$D$104),-0.5,0))</f>
        <v/>
      </c>
      <c r="J52" s="145" t="n"/>
      <c r="K52" s="146" t="n"/>
      <c r="L52" s="146" t="n"/>
      <c r="M52" s="146" t="n"/>
      <c r="N52" s="602">
        <f>SUM(IF(J52=J$5,4,0),IF(J52&amp;K52=J$5&amp;K$5,1,0),
IF(AND(J52=J$5,K$6&gt;=$D$115),1,0),
IF(AND(K52=J$5,K$6&gt;=$D$115),1,0),
IF(AND(L52=J$5,K$6&gt;=$D$115),1,0),
IF(J52&amp;M52=N$5,1,0),
IF(K52=J$5,2,0),
IF(L52=J$5,1,0),
IF(OR(J52&amp;K52&amp;L52=J$5&amp;K$5&amp;L$5,J52&amp;K52&amp;L52=J$5&amp;L$5&amp;K$5,J52&amp;K52&amp;L52=K$5&amp;J$5&amp;L$5,J52&amp;K52&amp;L52=K$5&amp;L$5&amp;J$5,J52&amp;K52&amp;L52=L$5&amp;J$5&amp;K$5,J52&amp;K52&amp;L52=L$5&amp;K$5&amp;J$5),2,0),IF(AND(J52=J$5,K$6&gt;=$D$129),1,0),IF(AND(K52=J$5,K$6&gt;=$D$129),1,0),IF(AND(L52=J$5,K$6&gt;=$D$129),1,0),IF(J52&amp;M52=M$5,4,0),IF(AND(J52=J$5,K$6&lt;=$D$104),-0.5,0),IF(AND(K52=J$5,K$6&lt;=$D$104),-0.5,0),IF(AND(L52=J$5,K$6&lt;=$D$104),-0.5,0))</f>
        <v/>
      </c>
      <c r="O52" s="145" t="n"/>
      <c r="P52" s="146" t="n"/>
      <c r="Q52" s="146" t="n"/>
      <c r="R52" s="146" t="n"/>
      <c r="S52" s="602">
        <f>SUM(IF(O52=O$5,4,0),IF(O52&amp;P52=O$5&amp;P$5,1,0),
IF(AND(O52=O$5,P$6&gt;=$D$115),1,0),
IF(AND(P52=O$5,P$6&gt;=$D$115),1,0),
IF(AND(Q52=O$5,P$6&gt;=$D$115),1,0),
IF(O52&amp;R52=S$5,1,0),
IF(P52=O$5,2,0),
IF(Q52=O$5,1,0),
IF(OR(O52&amp;P52&amp;Q52=O$5&amp;P$5&amp;Q$5,O52&amp;P52&amp;Q52=O$5&amp;Q$5&amp;P$5,O52&amp;P52&amp;Q52=P$5&amp;O$5&amp;Q$5,O52&amp;P52&amp;Q52=P$5&amp;Q$5&amp;O$5,O52&amp;P52&amp;Q52=Q$5&amp;O$5&amp;P$5,O52&amp;P52&amp;Q52=Q$5&amp;P$5&amp;O$5),2,0),IF(AND(O52=O$5,P$6&gt;=$D$129),1,0),IF(AND(P52=O$5,P$6&gt;=$D$129),1,0),IF(AND(Q52=O$5,P$6&gt;=$D$129),1,0),IF(O52&amp;R52=R$5,4,0),IF(AND(O52=O$5,P$6&lt;=$D$104),-0.5,0),IF(AND(P52=O$5,P$6&lt;=$D$104),-0.5,0),IF(AND(Q52=O$5,P$6&lt;=$D$104),-0.5,0))</f>
        <v/>
      </c>
      <c r="T52" s="145" t="n"/>
      <c r="U52" s="146" t="n"/>
      <c r="V52" s="146" t="n"/>
      <c r="W52" s="146" t="n"/>
      <c r="X52" s="602">
        <f>SUM(IF(T52=T$5,4,0),IF(T52&amp;U52=T$5&amp;U$5,1,0),
IF(AND(T52=T$5,U$6&gt;=$D$115),1,0),
IF(AND(U52=T$5,U$6&gt;=$D$115),1,0),
IF(AND(V52=T$5,U$6&gt;=$D$115),1,0),
IF(T52&amp;W52=X$5,1,0),
IF(U52=T$5,2,0),
IF(V52=T$5,1,0),
IF(OR(T52&amp;U52&amp;V52=T$5&amp;U$5&amp;V$5,T52&amp;U52&amp;V52=T$5&amp;V$5&amp;U$5,T52&amp;U52&amp;V52=U$5&amp;T$5&amp;V$5,T52&amp;U52&amp;V52=U$5&amp;V$5&amp;T$5,T52&amp;U52&amp;V52=V$5&amp;T$5&amp;U$5,T52&amp;U52&amp;V52=V$5&amp;U$5&amp;T$5),2,0),IF(AND(T52=T$5,U$6&gt;=$D$129),1,0),IF(AND(U52=T$5,U$6&gt;=$D$129),1,0),IF(AND(V52=T$5,U$6&gt;=$D$129),1,0),IF(T52&amp;W52=W$5,4,0),IF(AND(T52=T$5,U$6&lt;=$D$104),-0.5,0),IF(AND(U52=T$5,U$6&lt;=$D$104),-0.5,0),IF(AND(V52=T$5,U$6&lt;=$D$104),-0.5,0))</f>
        <v/>
      </c>
      <c r="Y52" s="145" t="n"/>
      <c r="Z52" s="146" t="n"/>
      <c r="AA52" s="146" t="n"/>
      <c r="AB52" s="146" t="n"/>
      <c r="AC52" s="602">
        <f>SUM(IF(Y52=Y$5,4,0),IF(Y52&amp;Z52=Y$5&amp;Z$5,1,0),
IF(AND(Y52=Y$5,Z$6&gt;=$D$115),1,0),
IF(AND(Z52=Y$5,Z$6&gt;=$D$115),1,0),
IF(AND(AA52=Y$5,Z$6&gt;=$D$115),1,0),
IF(Y52&amp;AB52=AC$5,1,0),
IF(Z52=Y$5,2,0),
IF(AA52=Y$5,1,0),
IF(OR(Y52&amp;Z52&amp;AA52=Y$5&amp;Z$5&amp;AA$5,Y52&amp;Z52&amp;AA52=Y$5&amp;AA$5&amp;Z$5,Y52&amp;Z52&amp;AA52=Z$5&amp;Y$5&amp;AA$5,Y52&amp;Z52&amp;AA52=Z$5&amp;AA$5&amp;Y$5,Y52&amp;Z52&amp;AA52=AA$5&amp;Y$5&amp;Z$5,Y52&amp;Z52&amp;AA52=AA$5&amp;Z$5&amp;Y$5),2,0),IF(AND(Y52=Y$5,Z$6&gt;=$D$129),1,0),IF(AND(Z52=Y$5,Z$6&gt;=$D$129),1,0),IF(AND(AA52=Y$5,Z$6&gt;=$D$129),1,0),IF(Y52&amp;AB52=AB$5,4,0),IF(AND(Y52=Y$5,Z$6&lt;=$D$104),-0.5,0),IF(AND(Z52=Y$5,Z$6&lt;=$D$104),-0.5,0),IF(AND(AA52=Y$5,Z$6&lt;=$D$104),-0.5,0))</f>
        <v/>
      </c>
      <c r="AD52" s="145" t="n"/>
      <c r="AE52" s="146" t="n"/>
      <c r="AF52" s="146" t="n"/>
      <c r="AG52" s="146" t="n"/>
      <c r="AH52" s="602">
        <f>SUM(IF(AD52=AD$5,4,0),IF(AD52&amp;AE52=AD$5&amp;AE$5,1,0),
IF(AND(AD52=AD$5,AE$6&gt;=$D$115),1,0),
IF(AND(AE52=AD$5,AE$6&gt;=$D$115),1,0),
IF(AND(AF52=AD$5,AE$6&gt;=$D$115),1,0),
IF(AD52&amp;AG52=AH$5,1,0),
IF(AE52=AD$5,2,0),
IF(AF52=AD$5,1,0),
IF(OR(AD52&amp;AE52&amp;AF52=AD$5&amp;AE$5&amp;AF$5,AD52&amp;AE52&amp;AF52=AD$5&amp;AF$5&amp;AE$5,AD52&amp;AE52&amp;AF52=AE$5&amp;AD$5&amp;AF$5,AD52&amp;AE52&amp;AF52=AE$5&amp;AF$5&amp;AD$5,AD52&amp;AE52&amp;AF52=AF$5&amp;AD$5&amp;AE$5,AD52&amp;AE52&amp;AF52=AF$5&amp;AE$5&amp;AD$5),2,0),IF(AND(AD52=AD$5,AE$6&gt;=$D$129),1,0),IF(AND(AE52=AD$5,AE$6&gt;=$D$129),1,0),IF(AND(AF52=AD$5,AE$6&gt;=$D$129),1,0),IF(AD52&amp;AG52=AG$5,4,0),IF(AND(AD52=AD$5,AE$6&lt;=$D$104),-0.5,0),IF(AND(AE52=AD$5,AE$6&lt;=$D$104),-0.5,0),IF(AND(AF52=AD$5,AE$6&lt;=$D$104),-0.5,0))</f>
        <v/>
      </c>
      <c r="AI52" s="145" t="n"/>
      <c r="AJ52" s="146" t="n"/>
      <c r="AK52" s="146" t="n"/>
      <c r="AL52" s="146" t="n"/>
      <c r="AM52" s="602">
        <f>SUM(IF(AI52=AI$5,4,0),IF(AI52&amp;AJ52=AI$5&amp;AJ$5,1,0),
IF(AND(AI52=AI$5,AJ$6&gt;=$D$115),1,0),
IF(AND(AJ52=AI$5,AJ$6&gt;=$D$115),1,0),
IF(AND(AK52=AI$5,AJ$6&gt;=$D$115),1,0),
IF(AI52&amp;AL52=AM$5,1,0),
IF(AJ52=AI$5,2,0),
IF(AK52=AI$5,1,0),
IF(OR(AI52&amp;AJ52&amp;AK52=AI$5&amp;AJ$5&amp;AK$5,AI52&amp;AJ52&amp;AK52=AI$5&amp;AK$5&amp;AJ$5,AI52&amp;AJ52&amp;AK52=AJ$5&amp;AI$5&amp;AK$5,AI52&amp;AJ52&amp;AK52=AJ$5&amp;AK$5&amp;AI$5,AI52&amp;AJ52&amp;AK52=AK$5&amp;AI$5&amp;AJ$5,AI52&amp;AJ52&amp;AK52=AK$5&amp;AJ$5&amp;AI$5),2,0),IF(AND(AI52=AI$5,AJ$6&gt;=$D$129),1,0),IF(AND(AJ52=AI$5,AJ$6&gt;=$D$129),1,0),IF(AND(AK52=AI$5,AJ$6&gt;=$D$129),1,0),IF(AI52&amp;AL52=AL$5,4,0),IF(AND(AI52=AI$5,AJ$6&lt;=$D$104),-0.5,0),IF(AND(AJ52=AI$5,AJ$6&lt;=$D$104),-0.5,0),IF(AND(AK52=AI$5,AJ$6&lt;=$D$104),-0.5,0))</f>
        <v/>
      </c>
      <c r="AN52" s="145" t="n"/>
      <c r="AO52" s="146" t="n"/>
      <c r="AP52" s="146" t="n"/>
      <c r="AQ52" s="146" t="n"/>
      <c r="AR52" s="602">
        <f>SUM(IF(AN52=AN$5,4,0),IF(AN52&amp;AO52=AN$5&amp;AO$5,1,0),
IF(AND(AN52=AN$5,AO$6&gt;=$D$115),1,0),
IF(AND(AO52=AN$5,AO$6&gt;=$D$115),1,0),
IF(AND(AP52=AN$5,AO$6&gt;=$D$115),1,0),
IF(AN52&amp;AQ52=AR$5,1,0),
IF(AO52=AN$5,2,0),
IF(AP52=AN$5,1,0),
IF(OR(AN52&amp;AO52&amp;AP52=AN$5&amp;AO$5&amp;AP$5,AN52&amp;AO52&amp;AP52=AN$5&amp;AP$5&amp;AO$5,AN52&amp;AO52&amp;AP52=AO$5&amp;AN$5&amp;AP$5,AN52&amp;AO52&amp;AP52=AO$5&amp;AP$5&amp;AN$5,AN52&amp;AO52&amp;AP52=AP$5&amp;AN$5&amp;AO$5,AN52&amp;AO52&amp;AP52=AP$5&amp;AO$5&amp;AN$5),2,0),IF(AND(AN52=AN$5,AO$6&gt;=$D$129),1,0),IF(AND(AO52=AN$5,AO$6&gt;=$D$129),1,0),IF(AND(AP52=AN$5,AO$6&gt;=$D$129),1,0),IF(AN52&amp;AQ52=AQ$5,4,0),IF(AND(AN52=AN$5,AO$6&lt;=$D$104),-0.5,0),IF(AND(AO52=AN$5,AO$6&lt;=$D$104),-0.5,0),IF(AND(AP52=AN$5,AO$6&lt;=$D$104),-0.5,0))</f>
        <v/>
      </c>
      <c r="AS52" s="145" t="n"/>
      <c r="AT52" s="146" t="n"/>
      <c r="AU52" s="146" t="n"/>
      <c r="AV52" s="146" t="n"/>
      <c r="AW52" s="602">
        <f>SUM(IF(AS52=AS$5,4,0),IF(AS52&amp;AT52=AS$5&amp;AT$5,1,0),
IF(AND(AS52=AS$5,AT$6&gt;=$D$115),1,0),
IF(AND(AT52=AS$5,AT$6&gt;=$D$115),1,0),
IF(AND(AU52=AS$5,AT$6&gt;=$D$115),1,0),
IF(AS52&amp;AV52=AW$5,1,0),
IF(AT52=AS$5,2,0),
IF(AU52=AS$5,1,0),
IF(OR(AS52&amp;AT52&amp;AU52=AS$5&amp;AT$5&amp;AU$5,AS52&amp;AT52&amp;AU52=AS$5&amp;AU$5&amp;AT$5,AS52&amp;AT52&amp;AU52=AT$5&amp;AS$5&amp;AU$5,AS52&amp;AT52&amp;AU52=AT$5&amp;AU$5&amp;AS$5,AS52&amp;AT52&amp;AU52=AU$5&amp;AS$5&amp;AT$5,AS52&amp;AT52&amp;AU52=AU$5&amp;AT$5&amp;AS$5),2,0),IF(AND(AS52=AS$5,AT$6&gt;=$D$129),1,0),IF(AND(AT52=AS$5,AT$6&gt;=$D$129),1,0),IF(AND(AU52=AS$5,AT$6&gt;=$D$129),1,0),IF(AS52&amp;AV52=AV$5,4,0),IF(AND(AS52=AS$5,AT$6&lt;=$D$104),-0.5,0),IF(AND(AT52=AS$5,AT$6&lt;=$D$104),-0.5,0),IF(AND(AU52=AS$5,AT$6&lt;=$D$104),-0.5,0))</f>
        <v/>
      </c>
      <c r="AX52" s="145" t="n"/>
      <c r="AY52" s="146" t="n"/>
      <c r="AZ52" s="146" t="n"/>
      <c r="BA52" s="146" t="n"/>
      <c r="BB52" s="602">
        <f>SUM(IF(AX52=AX$5,4,0),IF(AX52&amp;AY52=AX$5&amp;AY$5,1,0),
IF(AND(AX52=AX$5,AY$6&gt;=$D$115),1,0),
IF(AND(AY52=AX$5,AY$6&gt;=$D$115),1,0),
IF(AND(AZ52=AX$5,AY$6&gt;=$D$115),1,0),
IF(AX52&amp;BA52=BB$5,1,0),
IF(AY52=AX$5,2,0),
IF(AZ52=AX$5,1,0),
IF(OR(AX52&amp;AY52&amp;AZ52=AX$5&amp;AY$5&amp;AZ$5,AX52&amp;AY52&amp;AZ52=AX$5&amp;AZ$5&amp;AY$5,AX52&amp;AY52&amp;AZ52=AY$5&amp;AX$5&amp;AZ$5,AX52&amp;AY52&amp;AZ52=AY$5&amp;AZ$5&amp;AX$5,AX52&amp;AY52&amp;AZ52=AZ$5&amp;AX$5&amp;AY$5,AX52&amp;AY52&amp;AZ52=AZ$5&amp;AY$5&amp;AX$5),2,0),IF(AND(AX52=AX$5,AY$6&gt;=$D$129),1,0),IF(AND(AY52=AX$5,AY$6&gt;=$D$129),1,0),IF(AND(AZ52=AX$5,AY$6&gt;=$D$129),1,0),IF(AX52&amp;BA52=BA$5,4,0),IF(AND(AX52=AX$5,AY$6&lt;=$D$104),-0.5,0),IF(AND(AY52=AX$5,AY$6&lt;=$D$104),-0.5,0),IF(AND(AZ52=AX$5,AY$6&lt;=$D$104),-0.5,0))</f>
        <v/>
      </c>
      <c r="BC52" s="145" t="n"/>
      <c r="BD52" s="146" t="n"/>
      <c r="BE52" s="146" t="n"/>
      <c r="BF52" s="146" t="n"/>
      <c r="BG52" s="602">
        <f>SUM(IF(BC52=BC$5,4,0),IF(BC52&amp;BD52=BC$5&amp;BD$5,1,0),
IF(AND(BC52=BC$5,BD$6&gt;=$D$115),1,0),
IF(AND(BD52=BC$5,BD$6&gt;=$D$115),1,0),
IF(AND(BE52=BC$5,BD$6&gt;=$D$115),1,0),
IF(BC52&amp;BF52=BG$5,1,0),
IF(BD52=BC$5,2,0),
IF(BE52=BC$5,1,0),
IF(OR(BC52&amp;BD52&amp;BE52=BC$5&amp;BD$5&amp;BE$5,BC52&amp;BD52&amp;BE52=BC$5&amp;BE$5&amp;BD$5,BC52&amp;BD52&amp;BE52=BD$5&amp;BC$5&amp;BE$5,BC52&amp;BD52&amp;BE52=BD$5&amp;BE$5&amp;BC$5,BC52&amp;BD52&amp;BE52=BE$5&amp;BC$5&amp;BD$5,BC52&amp;BD52&amp;BE52=BE$5&amp;BD$5&amp;BC$5),2,0),IF(AND(BC52=BC$5,BD$6&gt;=$D$129),1,0),IF(AND(BD52=BC$5,BD$6&gt;=$D$129),1,0),IF(AND(BE52=BC$5,BD$6&gt;=$D$129),1,0),IF(BC52&amp;BF52=BF$5,4,0),IF(AND(BC52=BC$5,BD$6&lt;=$D$104),-0.5,0),IF(AND(BD52=BC$5,BD$6&lt;=$D$104),-0.5,0),IF(AND(BE52=BC$5,BD$6&lt;=$D$104),-0.5,0))</f>
        <v/>
      </c>
      <c r="BH52" s="145" t="n"/>
      <c r="BI52" s="146" t="n"/>
      <c r="BJ52" s="146" t="n"/>
      <c r="BK52" s="146" t="n"/>
      <c r="BL52" s="602">
        <f>SUM(IF(BH52=BH$5,4,0),IF(BH52&amp;BI52=BH$5&amp;BI$5,1,0),
IF(AND(BH52=BH$5,BI$6&gt;=$D$115),1,0),
IF(AND(BI52=BH$5,BI$6&gt;=$D$115),1,0),
IF(AND(BJ52=BH$5,BI$6&gt;=$D$115),1,0),
IF(BH52&amp;BK52=BL$5,1,0),
IF(BI52=BH$5,2,0),
IF(BJ52=BH$5,1,0),
IF(OR(BH52&amp;BI52&amp;BJ52=BH$5&amp;BI$5&amp;BJ$5,BH52&amp;BI52&amp;BJ52=BH$5&amp;BJ$5&amp;BI$5,BH52&amp;BI52&amp;BJ52=BI$5&amp;BH$5&amp;BJ$5,BH52&amp;BI52&amp;BJ52=BI$5&amp;BJ$5&amp;BH$5,BH52&amp;BI52&amp;BJ52=BJ$5&amp;BH$5&amp;BI$5,BH52&amp;BI52&amp;BJ52=BJ$5&amp;BI$5&amp;BH$5),2,0),IF(AND(BH52=BH$5,BI$6&gt;=$D$129),1,0),IF(AND(BI52=BH$5,BI$6&gt;=$D$129),1,0),IF(AND(BJ52=BH$5,BI$6&gt;=$D$129),1,0),IF(BH52&amp;BK52=BK$5,4,0),IF(AND(BH52=BH$5,BI$6&lt;=$D$104),-0.5,0),IF(AND(BI52=BH$5,BI$6&lt;=$D$104),-0.5,0),IF(AND(BJ52=BH$5,BI$6&lt;=$D$104),-0.5,0))</f>
        <v/>
      </c>
      <c r="BM52" s="145" t="n"/>
      <c r="BN52" s="146" t="n"/>
      <c r="BO52" s="146" t="n"/>
      <c r="BP52" s="146" t="n"/>
      <c r="BQ52" s="602">
        <f>SUM(IF(BM52=BM$5,4,0),IF(BM52&amp;BN52=BM$5&amp;BN$5,1,0),
IF(AND(BM52=BM$5,BN$6&gt;=$D$115),1,0),
IF(AND(BN52=BM$5,BN$6&gt;=$D$115),1,0),
IF(AND(BO52=BM$5,BN$6&gt;=$D$115),1,0),
IF(BM52&amp;BP52=BQ$5,1,0),
IF(BN52=BM$5,2,0),
IF(BO52=BM$5,1,0),
IF(OR(BM52&amp;BN52&amp;BO52=BM$5&amp;BN$5&amp;BO$5,BM52&amp;BN52&amp;BO52=BM$5&amp;BO$5&amp;BN$5,BM52&amp;BN52&amp;BO52=BN$5&amp;BM$5&amp;BO$5,BM52&amp;BN52&amp;BO52=BN$5&amp;BO$5&amp;BM$5,BM52&amp;BN52&amp;BO52=BO$5&amp;BM$5&amp;BN$5,BM52&amp;BN52&amp;BO52=BO$5&amp;BN$5&amp;BM$5),2,0),IF(AND(BM52=BM$5,BN$6&gt;=$D$129),1,0),IF(AND(BN52=BM$5,BN$6&gt;=$D$129),1,0),IF(AND(BO52=BM$5,BN$6&gt;=$D$129),1,0),IF(BM52&amp;BP52=BP$5,4,0),IF(AND(BM52=BM$5,BN$6&lt;=$D$104),-0.5,0),IF(AND(BN52=BM$5,BN$6&lt;=$D$104),-0.5,0),IF(AND(BO52=BM$5,BN$6&lt;=$D$104),-0.5,0))</f>
        <v/>
      </c>
      <c r="BR52" s="145" t="n"/>
      <c r="BS52" s="146" t="n"/>
      <c r="BT52" s="146" t="n"/>
      <c r="BU52" s="146" t="n"/>
      <c r="BV52" s="602">
        <f>SUM(IF(BR52=BR$5,4,0),IF(BR52&amp;BS52=BR$5&amp;BS$5,1,0),
IF(AND(BR52=BR$5,BS$6&gt;=$D$115),1,0),
IF(AND(BS52=BR$5,BS$6&gt;=$D$115),1,0),
IF(AND(BT52=BR$5,BS$6&gt;=$D$115),1,0),
IF(BR52&amp;BU52=BV$5,1,0),
IF(BS52=BR$5,2,0),
IF(BT52=BR$5,1,0),
IF(OR(BR52&amp;BS52&amp;BT52=BR$5&amp;BS$5&amp;BT$5,BR52&amp;BS52&amp;BT52=BR$5&amp;BT$5&amp;BS$5,BR52&amp;BS52&amp;BT52=BS$5&amp;BR$5&amp;BT$5,BR52&amp;BS52&amp;BT52=BS$5&amp;BT$5&amp;BR$5,BR52&amp;BS52&amp;BT52=BT$5&amp;BR$5&amp;BS$5,BR52&amp;BS52&amp;BT52=BT$5&amp;BS$5&amp;BR$5),2,0),IF(AND(BR52=BR$5,BS$6&gt;=$D$129),1,0),IF(AND(BS52=BR$5,BS$6&gt;=$D$129),1,0),IF(AND(BT52=BR$5,BS$6&gt;=$D$129),1,0),IF(BR52&amp;BU52=BU$5,4,0),IF(AND(BR52=BR$5,BS$6&lt;=$D$104),-0.5,0),IF(AND(BS52=BR$5,BS$6&lt;=$D$104),-0.5,0),IF(AND(BT52=BR$5,BS$6&lt;=$D$104),-0.5,0))</f>
        <v/>
      </c>
      <c r="BW52" s="145" t="n"/>
      <c r="BX52" s="146" t="n"/>
      <c r="BY52" s="146" t="n"/>
      <c r="BZ52" s="146" t="n"/>
      <c r="CA52" s="602">
        <f>SUM(IF(BW52=BW$5,4,0),IF(BW52&amp;BX52=BW$5&amp;BX$5,1,0),
IF(AND(BW52=BW$5,BX$6&gt;=$D$115),1,0),
IF(AND(BX52=BW$5,BX$6&gt;=$D$115),1,0),
IF(AND(BY52=BW$5,BX$6&gt;=$D$115),1,0),
IF(BW52&amp;BZ52=CA$5,1,0),
IF(BX52=BW$5,2,0),
IF(BY52=BW$5,1,0),
IF(OR(BW52&amp;BX52&amp;BY52=BW$5&amp;BX$5&amp;BY$5,BW52&amp;BX52&amp;BY52=BW$5&amp;BY$5&amp;BX$5,BW52&amp;BX52&amp;BY52=BX$5&amp;BW$5&amp;BY$5,BW52&amp;BX52&amp;BY52=BX$5&amp;BY$5&amp;BW$5,BW52&amp;BX52&amp;BY52=BY$5&amp;BW$5&amp;BX$5,BW52&amp;BX52&amp;BY52=BY$5&amp;BX$5&amp;BW$5),2,0),IF(AND(BW52=BW$5,BX$6&gt;=$D$129),1,0),IF(AND(BX52=BW$5,BX$6&gt;=$D$129),1,0),IF(AND(BY52=BW$5,BX$6&gt;=$D$129),1,0),IF(BW52&amp;BZ52=BZ$5,4,0),IF(AND(BW52=BW$5,BX$6&lt;=$D$104),-0.5,0),IF(AND(BX52=BW$5,BX$6&lt;=$D$104),-0.5,0),IF(AND(BY52=BW$5,BX$6&lt;=$D$104),-0.5,0))</f>
        <v/>
      </c>
      <c r="CB52" s="145" t="n"/>
      <c r="CC52" s="146" t="n"/>
      <c r="CD52" s="146" t="n"/>
      <c r="CE52" s="146" t="n"/>
      <c r="CF52" s="602">
        <f>SUM(IF(CB52=CB$5,4,0),IF(CB52&amp;CC52=CB$5&amp;CC$5,1,0),
IF(AND(CB52=CB$5,CC$6&gt;=$D$115),1,0),
IF(AND(CC52=CB$5,CC$6&gt;=$D$115),1,0),
IF(AND(CD52=CB$5,CC$6&gt;=$D$115),1,0),
IF(CB52&amp;CE52=CF$5,1,0),
IF(CC52=CB$5,2,0),
IF(CD52=CB$5,1,0),
IF(OR(CB52&amp;CC52&amp;CD52=CB$5&amp;CC$5&amp;CD$5,CB52&amp;CC52&amp;CD52=CB$5&amp;CD$5&amp;CC$5,CB52&amp;CC52&amp;CD52=CC$5&amp;CB$5&amp;CD$5,CB52&amp;CC52&amp;CD52=CC$5&amp;CD$5&amp;CB$5,CB52&amp;CC52&amp;CD52=CD$5&amp;CB$5&amp;CC$5,CB52&amp;CC52&amp;CD52=CD$5&amp;CC$5&amp;CB$5),2,0),IF(AND(CB52=CB$5,CC$6&gt;=$D$129),1,0),IF(AND(CC52=CB$5,CC$6&gt;=$D$129),1,0),IF(AND(CD52=CB$5,CC$6&gt;=$D$129),1,0),IF(CB52&amp;CE52=CE$5,4,0),IF(AND(CB52=CB$5,CC$6&lt;=$D$104),-0.5,0),IF(AND(CC52=CB$5,CC$6&lt;=$D$104),-0.5,0),IF(AND(CD52=CB$5,CC$6&lt;=$D$104),-0.5,0))</f>
        <v/>
      </c>
      <c r="CG52" s="164">
        <f>IF(BASE01[[#This Row],[1]]="",0,$B$4)</f>
        <v/>
      </c>
      <c r="CH52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2" s="189">
        <f>IF(BASE01[[#This Row],[Columna14]]=0,0,(CH52/CG52))</f>
        <v/>
      </c>
      <c r="CJ52" s="165">
        <f>IF(BASE01[[#This Row],[1]]="",0,$B$4)</f>
        <v/>
      </c>
      <c r="CK52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2" s="189">
        <f>IF(BASE01[[#This Row],[Columna14]]=0,0,(CK52/CJ52))</f>
        <v/>
      </c>
      <c r="CM52" s="164">
        <f>IF(BASE01[[#This Row],[1]]="",0,$B$4)</f>
        <v/>
      </c>
      <c r="CN52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2" s="189">
        <f>IF(BASE01[[#This Row],[Columna14]]=0,0,(CN52/CM52))</f>
        <v/>
      </c>
      <c r="CP52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2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Row],[Columna25]],$AX$5,BA52,"SF")+COUNTIFS(BASE01[[#This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2" s="189">
        <f>IF(BASE01[[#This Row],[Columna14]]=0,0,(CQ52/CP52))</f>
        <v/>
      </c>
      <c r="CS52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2" s="95" t="n"/>
      <c r="CU52" s="604">
        <f>SUM(CS52,CT52)</f>
        <v/>
      </c>
      <c r="CV52" s="96">
        <f>IF(BASE01[[#This Row],[TIPO]]="PREMIO",$O$3,"0,00")</f>
        <v/>
      </c>
      <c r="CW52" s="576" t="n"/>
      <c r="CY52" s="606">
        <f>IF(CZ52="","",$CZ$25)</f>
        <v/>
      </c>
      <c r="CZ52" s="392" t="n"/>
      <c r="DA52" s="392">
        <f t="array" ref="DA52">IF(CZ52="", "", IF((INDEX(E$8:CE$57, MATCH(CZ52, C$8:C$57, 0), ($CZ$25-1)*5 + 1) &amp; "") = (INDEX(E$5:CE$5, 1, ($CZ$25-1)*5 + 1) &amp; ""), 1, IF((INDEX(E$8:CE$57, MATCH(CZ52, C$8:C$57, 0), ($CZ$25-1)*5 + 2) &amp; "") = (INDEX(E$5:CE$5, 1, ($CZ$25-1)*5 + 1) &amp; ""), 2, IF((INDEX(E$8:CE$57, MATCH(CZ52, C$8:C$57, 0), ($CZ$25-1)*5 + 3) &amp; "") = (INDEX(E$5:CE$5, 1, ($CZ$25-1)*5 + 1) &amp; ""), 3, ""))))</f>
        <v/>
      </c>
      <c r="DB52" s="605">
        <f>BASE01[[#This Row],[COD]]</f>
        <v/>
      </c>
      <c r="DC52" s="395">
        <f t="array" ref="DC52">IFERROR(IF(AND(INDEX($E$8:$CE$57, MATCH($C52, $C$8:$C$57, 0), (COLUMNS($DC52:DC52)-1)*5 + 1) = INDEX($E$5:$CE$5, 1, (COLUMNS($DC52:DC52)-1)*5 + 1), INDEX($E$8:$CE$57, MATCH($C52, $C$8:$C$57, 0), (COLUMNS($DC52:DC52)-1)*5 + 4) = "F"), INDEX($CZ$8:$CZ$23, COLUMNS($DC52:DC52)), "0"), "")</f>
        <v/>
      </c>
      <c r="DD52" s="395">
        <f t="array" ref="DD52">IFERROR(IF(AND(INDEX($E$8:$CE$57, MATCH($C52, $C$8:$C$57, 0), (COLUMNS($DC52:DD52)-1)*5 + 1) = INDEX($E$5:$CE$5, 1, (COLUMNS($DC52:DD52)-1)*5 + 1), INDEX($E$8:$CE$57, MATCH($C52, $C$8:$C$57, 0), (COLUMNS($DC52:DD52)-1)*5 + 4) = "F"), INDEX($CZ$8:$CZ$23, COLUMNS($DC52:DD52)), "0"), "")</f>
        <v/>
      </c>
      <c r="DE52" s="395">
        <f t="array" ref="DE52">IFERROR(IF(AND(INDEX($E$8:$CE$57, MATCH($C52, $C$8:$C$57, 0), (COLUMNS($DC52:DE52)-1)*5 + 1) = INDEX($E$5:$CE$5, 1, (COLUMNS($DC52:DE52)-1)*5 + 1), INDEX($E$8:$CE$57, MATCH($C52, $C$8:$C$57, 0), (COLUMNS($DC52:DE52)-1)*5 + 4) = "F"), INDEX($CZ$8:$CZ$23, COLUMNS($DC52:DE52)), "0"), "")</f>
        <v/>
      </c>
      <c r="DF52" s="395">
        <f t="array" ref="DF52">IFERROR(IF(AND(INDEX($E$8:$CE$57, MATCH($C52, $C$8:$C$57, 0), (COLUMNS($DC52:DF52)-1)*5 + 1) = INDEX($E$5:$CE$5, 1, (COLUMNS($DC52:DF52)-1)*5 + 1), INDEX($E$8:$CE$57, MATCH($C52, $C$8:$C$57, 0), (COLUMNS($DC52:DF52)-1)*5 + 4) = "F"), INDEX($CZ$8:$CZ$23, COLUMNS($DC52:DF52)), "0"), "")</f>
        <v/>
      </c>
      <c r="DG52" s="395">
        <f t="array" ref="DG52">IFERROR(IF(AND(INDEX($E$8:$CE$57, MATCH($C52, $C$8:$C$57, 0), (COLUMNS($DC52:DG52)-1)*5 + 1) = INDEX($E$5:$CE$5, 1, (COLUMNS($DC52:DG52)-1)*5 + 1), INDEX($E$8:$CE$57, MATCH($C52, $C$8:$C$57, 0), (COLUMNS($DC52:DG52)-1)*5 + 4) = "F"), INDEX($CZ$8:$CZ$23, COLUMNS($DC52:DG52)), "0"), "")</f>
        <v/>
      </c>
      <c r="DH52" s="395">
        <f t="array" ref="DH52">IFERROR(IF(AND(INDEX($E$8:$CE$57, MATCH($C52, $C$8:$C$57, 0), (COLUMNS($DC52:DH52)-1)*5 + 1) = INDEX($E$5:$CE$5, 1, (COLUMNS($DC52:DH52)-1)*5 + 1), INDEX($E$8:$CE$57, MATCH($C52, $C$8:$C$57, 0), (COLUMNS($DC52:DH52)-1)*5 + 4) = "F"), INDEX($CZ$8:$CZ$23, COLUMNS($DC52:DH52)), "0"), "")</f>
        <v/>
      </c>
      <c r="DI52" s="395">
        <f t="array" ref="DI52">IFERROR(IF(AND(INDEX($E$8:$CE$57, MATCH($C52, $C$8:$C$57, 0), (COLUMNS($DC52:DI52)-1)*5 + 1) = INDEX($E$5:$CE$5, 1, (COLUMNS($DC52:DI52)-1)*5 + 1), INDEX($E$8:$CE$57, MATCH($C52, $C$8:$C$57, 0), (COLUMNS($DC52:DI52)-1)*5 + 4) = "F"), INDEX($CZ$8:$CZ$23, COLUMNS($DC52:DI52)), "0"), "")</f>
        <v/>
      </c>
      <c r="DJ52" s="395">
        <f t="array" ref="DJ52">IFERROR(IF(AND(INDEX($E$8:$CE$57, MATCH($C52, $C$8:$C$57, 0), (COLUMNS($DC52:DJ52)-1)*5 + 1) = INDEX($E$5:$CE$5, 1, (COLUMNS($DC52:DJ52)-1)*5 + 1), INDEX($E$8:$CE$57, MATCH($C52, $C$8:$C$57, 0), (COLUMNS($DC52:DJ52)-1)*5 + 4) = "F"), INDEX($CZ$8:$CZ$23, COLUMNS($DC52:DJ52)), "0"), "")</f>
        <v/>
      </c>
      <c r="DK52" s="395">
        <f t="array" ref="DK52">IFERROR(IF(AND(INDEX($E$8:$CE$57, MATCH($C52, $C$8:$C$57, 0), (COLUMNS($DC52:DK52)-1)*5 + 1) = INDEX($E$5:$CE$5, 1, (COLUMNS($DC52:DK52)-1)*5 + 1), INDEX($E$8:$CE$57, MATCH($C52, $C$8:$C$57, 0), (COLUMNS($DC52:DK52)-1)*5 + 4) = "F"), INDEX($CZ$8:$CZ$23, COLUMNS($DC52:DK52)), "0"), "")</f>
        <v/>
      </c>
      <c r="DL52" s="395">
        <f t="array" ref="DL52">IFERROR(IF(AND(INDEX($E$8:$CE$57, MATCH($C52, $C$8:$C$57, 0), (COLUMNS($DC52:DL52)-1)*5 + 1) = INDEX($E$5:$CE$5, 1, (COLUMNS($DC52:DL52)-1)*5 + 1), INDEX($E$8:$CE$57, MATCH($C52, $C$8:$C$57, 0), (COLUMNS($DC52:DL52)-1)*5 + 4) = "F"), INDEX($CZ$8:$CZ$23, COLUMNS($DC52:DL52)), "0"), "")</f>
        <v/>
      </c>
      <c r="DM52" s="395">
        <f t="array" ref="DM52">IFERROR(IF(AND(INDEX($E$8:$CE$57, MATCH($C52, $C$8:$C$57, 0), (COLUMNS($DC52:DM52)-1)*5 + 1) = INDEX($E$5:$CE$5, 1, (COLUMNS($DC52:DM52)-1)*5 + 1), INDEX($E$8:$CE$57, MATCH($C52, $C$8:$C$57, 0), (COLUMNS($DC52:DM52)-1)*5 + 4) = "F"), INDEX($CZ$8:$CZ$23, COLUMNS($DC52:DM52)), "0"), "")</f>
        <v/>
      </c>
      <c r="DN52" s="395">
        <f t="array" ref="DN52">IFERROR(IF(AND(INDEX($E$8:$CE$57, MATCH($C52, $C$8:$C$57, 0), (COLUMNS($DC52:DN52)-1)*5 + 1) = INDEX($E$5:$CE$5, 1, (COLUMNS($DC52:DN52)-1)*5 + 1), INDEX($E$8:$CE$57, MATCH($C52, $C$8:$C$57, 0), (COLUMNS($DC52:DN52)-1)*5 + 4) = "F"), INDEX($CZ$8:$CZ$23, COLUMNS($DC52:DN52)), "0"), "")</f>
        <v/>
      </c>
      <c r="DO52" s="395">
        <f t="array" ref="DO52">IFERROR(IF(AND(INDEX($E$8:$CE$57, MATCH($C52, $C$8:$C$57, 0), (COLUMNS($DC52:DO52)-1)*5 + 1) = INDEX($E$5:$CE$5, 1, (COLUMNS($DC52:DO52)-1)*5 + 1), INDEX($E$8:$CE$57, MATCH($C52, $C$8:$C$57, 0), (COLUMNS($DC52:DO52)-1)*5 + 4) = "F"), INDEX($CZ$8:$CZ$23, COLUMNS($DC52:DO52)), "0"), "")</f>
        <v/>
      </c>
      <c r="DP52" s="395">
        <f t="array" ref="DP52">IFERROR(IF(AND(INDEX($E$8:$CE$57, MATCH($C52, $C$8:$C$57, 0), (COLUMNS($DC52:DP52)-1)*5 + 1) = INDEX($E$5:$CE$5, 1, (COLUMNS($DC52:DP52)-1)*5 + 1), INDEX($E$8:$CE$57, MATCH($C52, $C$8:$C$57, 0), (COLUMNS($DC52:DP52)-1)*5 + 4) = "F"), INDEX($CZ$8:$CZ$23, COLUMNS($DC52:DP52)), "0"), "")</f>
        <v/>
      </c>
      <c r="DQ52" s="395">
        <f t="array" ref="DQ52">IFERROR(IF(AND(INDEX($E$8:$CE$57, MATCH($C52, $C$8:$C$57, 0), (COLUMNS($DC52:DQ52)-1)*5 + 1) = INDEX($E$5:$CE$5, 1, (COLUMNS($DC52:DQ52)-1)*5 + 1), INDEX($E$8:$CE$57, MATCH($C52, $C$8:$C$57, 0), (COLUMNS($DC52:DQ52)-1)*5 + 4) = "F"), INDEX($CZ$8:$CZ$23, COLUMNS($DC52:DQ52)), "0"), "")</f>
        <v/>
      </c>
      <c r="DR52" s="395">
        <f t="array" ref="DR52">IFERROR(IF(AND(INDEX($E$8:$CE$57, MATCH($C52, $C$8:$C$57, 0), (COLUMNS($DC52:DR52)-1)*5 + 1) = INDEX($E$5:$CE$5, 1, (COLUMNS($DC52:DR52)-1)*5 + 1), INDEX($E$8:$CE$57, MATCH($C52, $C$8:$C$57, 0), (COLUMNS($DC52:DR52)-1)*5 + 4) = "F"), INDEX($CZ$8:$CZ$23, COLUMNS($DC52:DR52)), "0"), "")</f>
        <v/>
      </c>
      <c r="DT52" s="605">
        <f>BASE01[[#This Row],[COD]]</f>
        <v/>
      </c>
      <c r="DU52" s="395">
        <f t="array" ref="DU52">IFERROR(IF(AND(INDEX($E$8:$CE$57, MATCH($C52, $C$8:$C$57, 0), (COLUMNS($DU52:DU52)-1)*5 + 1) = INDEX($E$5:$CE$5, 1, (COLUMNS($DU52:DU52)-1)*5 + 1), INDEX($E$8:$CE$57, MATCH($C52, $C$8:$C$57, 0), (COLUMNS($DU52:DU52)-1)*5 + 4) = "SF"), INDEX($CZ$8:$CZ$23, COLUMNS($DU52:DU52)), "0"), "")</f>
        <v/>
      </c>
      <c r="DV52" s="395">
        <f t="array" ref="DV52">IFERROR(IF(AND(INDEX($E$8:$CE$57, MATCH($C52, $C$8:$C$57, 0), (COLUMNS($DU52:DV52)-1)*5 + 1) = INDEX($E$5:$CE$5, 1, (COLUMNS($DU52:DV52)-1)*5 + 1), INDEX($E$8:$CE$57, MATCH($C52, $C$8:$C$57, 0), (COLUMNS($DU52:DV52)-1)*5 + 4) = "SF"), INDEX($CZ$8:$CZ$23, COLUMNS($DU52:DV52)), "0"), "")</f>
        <v/>
      </c>
      <c r="DW52" s="395">
        <f t="array" ref="DW52">IFERROR(IF(AND(INDEX($E$8:$CE$57, MATCH($C52, $C$8:$C$57, 0), (COLUMNS($DU52:DW52)-1)*5 + 1) = INDEX($E$5:$CE$5, 1, (COLUMNS($DU52:DW52)-1)*5 + 1), INDEX($E$8:$CE$57, MATCH($C52, $C$8:$C$57, 0), (COLUMNS($DU52:DW52)-1)*5 + 4) = "SF"), INDEX($CZ$8:$CZ$23, COLUMNS($DU52:DW52)), "0"), "")</f>
        <v/>
      </c>
      <c r="DX52" s="395">
        <f t="array" ref="DX52">IFERROR(IF(AND(INDEX($E$8:$CE$57, MATCH($C52, $C$8:$C$57, 0), (COLUMNS($DU52:DX52)-1)*5 + 1) = INDEX($E$5:$CE$5, 1, (COLUMNS($DU52:DX52)-1)*5 + 1), INDEX($E$8:$CE$57, MATCH($C52, $C$8:$C$57, 0), (COLUMNS($DU52:DX52)-1)*5 + 4) = "SF"), INDEX($CZ$8:$CZ$23, COLUMNS($DU52:DX52)), "0"), "")</f>
        <v/>
      </c>
      <c r="DY52" s="395">
        <f t="array" ref="DY52">IFERROR(IF(AND(INDEX($E$8:$CE$57, MATCH($C52, $C$8:$C$57, 0), (COLUMNS($DU52:DY52)-1)*5 + 1) = INDEX($E$5:$CE$5, 1, (COLUMNS($DU52:DY52)-1)*5 + 1), INDEX($E$8:$CE$57, MATCH($C52, $C$8:$C$57, 0), (COLUMNS($DU52:DY52)-1)*5 + 4) = "SF"), INDEX($CZ$8:$CZ$23, COLUMNS($DU52:DY52)), "0"), "")</f>
        <v/>
      </c>
      <c r="DZ52" s="395">
        <f t="array" ref="DZ52">IFERROR(IF(AND(INDEX($E$8:$CE$57, MATCH($C52, $C$8:$C$57, 0), (COLUMNS($DU52:DZ52)-1)*5 + 1) = INDEX($E$5:$CE$5, 1, (COLUMNS($DU52:DZ52)-1)*5 + 1), INDEX($E$8:$CE$57, MATCH($C52, $C$8:$C$57, 0), (COLUMNS($DU52:DZ52)-1)*5 + 4) = "SF"), INDEX($CZ$8:$CZ$23, COLUMNS($DU52:DZ52)), "0"), "")</f>
        <v/>
      </c>
      <c r="EA52" s="395">
        <f t="array" ref="EA52">IFERROR(IF(AND(INDEX($E$8:$CE$57, MATCH($C52, $C$8:$C$57, 0), (COLUMNS($DU52:EA52)-1)*5 + 1) = INDEX($E$5:$CE$5, 1, (COLUMNS($DU52:EA52)-1)*5 + 1), INDEX($E$8:$CE$57, MATCH($C52, $C$8:$C$57, 0), (COLUMNS($DU52:EA52)-1)*5 + 4) = "SF"), INDEX($CZ$8:$CZ$23, COLUMNS($DU52:EA52)), "0"), "")</f>
        <v/>
      </c>
      <c r="EB52" s="395">
        <f t="array" ref="EB52">IFERROR(IF(AND(INDEX($E$8:$CE$57, MATCH($C52, $C$8:$C$57, 0), (COLUMNS($DU52:EB52)-1)*5 + 1) = INDEX($E$5:$CE$5, 1, (COLUMNS($DU52:EB52)-1)*5 + 1), INDEX($E$8:$CE$57, MATCH($C52, $C$8:$C$57, 0), (COLUMNS($DU52:EB52)-1)*5 + 4) = "SF"), INDEX($CZ$8:$CZ$23, COLUMNS($DU52:EB52)), "0"), "")</f>
        <v/>
      </c>
      <c r="EC52" s="395">
        <f t="array" ref="EC52">IFERROR(IF(AND(INDEX($E$8:$CE$57, MATCH($C52, $C$8:$C$57, 0), (COLUMNS($DU52:EC52)-1)*5 + 1) = INDEX($E$5:$CE$5, 1, (COLUMNS($DU52:EC52)-1)*5 + 1), INDEX($E$8:$CE$57, MATCH($C52, $C$8:$C$57, 0), (COLUMNS($DU52:EC52)-1)*5 + 4) = "SF"), INDEX($CZ$8:$CZ$23, COLUMNS($DU52:EC52)), "0"), "")</f>
        <v/>
      </c>
      <c r="ED52" s="395">
        <f t="array" ref="ED52">IFERROR(IF(AND(INDEX($E$8:$CE$57, MATCH($C52, $C$8:$C$57, 0), (COLUMNS($DU52:ED52)-1)*5 + 1) = INDEX($E$5:$CE$5, 1, (COLUMNS($DU52:ED52)-1)*5 + 1), INDEX($E$8:$CE$57, MATCH($C52, $C$8:$C$57, 0), (COLUMNS($DU52:ED52)-1)*5 + 4) = "SF"), INDEX($CZ$8:$CZ$23, COLUMNS($DU52:ED52)), "0"), "")</f>
        <v/>
      </c>
      <c r="EE52" s="395">
        <f t="array" ref="EE52">IFERROR(IF(AND(INDEX($E$8:$CE$57, MATCH($C52, $C$8:$C$57, 0), (COLUMNS($DU52:EE52)-1)*5 + 1) = INDEX($E$5:$CE$5, 1, (COLUMNS($DU52:EE52)-1)*5 + 1), INDEX($E$8:$CE$57, MATCH($C52, $C$8:$C$57, 0), (COLUMNS($DU52:EE52)-1)*5 + 4) = "SF"), INDEX($CZ$8:$CZ$23, COLUMNS($DU52:EE52)), "0"), "")</f>
        <v/>
      </c>
      <c r="EF52" s="395">
        <f t="array" ref="EF52">IFERROR(IF(AND(INDEX($E$8:$CE$57, MATCH($C52, $C$8:$C$57, 0), (COLUMNS($DU52:EF52)-1)*5 + 1) = INDEX($E$5:$CE$5, 1, (COLUMNS($DU52:EF52)-1)*5 + 1), INDEX($E$8:$CE$57, MATCH($C52, $C$8:$C$57, 0), (COLUMNS($DU52:EF52)-1)*5 + 4) = "SF"), INDEX($CZ$8:$CZ$23, COLUMNS($DU52:EF52)), "0"), "")</f>
        <v/>
      </c>
      <c r="EG52" s="395">
        <f t="array" ref="EG52">IFERROR(IF(AND(INDEX($E$8:$CE$57, MATCH($C52, $C$8:$C$57, 0), (COLUMNS($DU52:EG52)-1)*5 + 1) = INDEX($E$5:$CE$5, 1, (COLUMNS($DU52:EG52)-1)*5 + 1), INDEX($E$8:$CE$57, MATCH($C52, $C$8:$C$57, 0), (COLUMNS($DU52:EG52)-1)*5 + 4) = "SF"), INDEX($CZ$8:$CZ$23, COLUMNS($DU52:EG52)), "0"), "")</f>
        <v/>
      </c>
      <c r="EH52" s="395">
        <f t="array" ref="EH52">IFERROR(IF(AND(INDEX($E$8:$CE$57, MATCH($C52, $C$8:$C$57, 0), (COLUMNS($DU52:EH52)-1)*5 + 1) = INDEX($E$5:$CE$5, 1, (COLUMNS($DU52:EH52)-1)*5 + 1), INDEX($E$8:$CE$57, MATCH($C52, $C$8:$C$57, 0), (COLUMNS($DU52:EH52)-1)*5 + 4) = "SF"), INDEX($CZ$8:$CZ$23, COLUMNS($DU52:EH52)), "0"), "")</f>
        <v/>
      </c>
      <c r="EI52" s="395">
        <f t="array" ref="EI52">IFERROR(IF(AND(INDEX($E$8:$CE$57, MATCH($C52, $C$8:$C$57, 0), (COLUMNS($DU52:EI52)-1)*5 + 1) = INDEX($E$5:$CE$5, 1, (COLUMNS($DU52:EI52)-1)*5 + 1), INDEX($E$8:$CE$57, MATCH($C52, $C$8:$C$57, 0), (COLUMNS($DU52:EI52)-1)*5 + 4) = "SF"), INDEX($CZ$8:$CZ$23, COLUMNS($DU52:EI52)), "0"), "")</f>
        <v/>
      </c>
      <c r="EJ52" s="395">
        <f t="array" ref="EJ52">IFERROR(IF(AND(INDEX($E$8:$CE$57, MATCH($C52, $C$8:$C$57, 0), (COLUMNS($DU52:EJ52)-1)*5 + 1) = INDEX($E$5:$CE$5, 1, (COLUMNS($DU52:EJ52)-1)*5 + 1), INDEX($E$8:$CE$57, MATCH($C52, $C$8:$C$57, 0), (COLUMNS($DU52:EJ52)-1)*5 + 4) = "SF"), INDEX($CZ$8:$CZ$23, COLUMNS($DU52:EJ52)), "0"), "")</f>
        <v/>
      </c>
    </row>
    <row r="53" outlineLevel="1" ht="20.1" customHeight="1" s="568">
      <c r="A53" s="576" t="n"/>
      <c r="B53" s="92">
        <f>IF(BASE01[[#This Row],[COD]]&lt;&gt;"",B52+1,"")</f>
        <v/>
      </c>
      <c r="C53" s="601" t="inlineStr">
        <is>
          <t>COD 46</t>
        </is>
      </c>
      <c r="D53" s="93">
        <f t="array" ref="D53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3" s="145" t="n"/>
      <c r="F53" s="146" t="n"/>
      <c r="G53" s="146" t="n"/>
      <c r="H53" s="146" t="n"/>
      <c r="I53" s="602">
        <f>SUM(IF(E53=E$5,4,0),IF(E53&amp;F53=E$5&amp;F$5,1,0),
IF(AND(E53=E$5,F$6&gt;=$D$115),1,0),
IF(AND(F53=E$5,F$6&gt;=$D$115),1,0),
IF(AND(G53=E$5,F$6&gt;=$D$115),1,0),
IF(E53&amp;H53=I$5,1,0),
IF(F53=E$5,2,0),
IF(G53=E$5,1,0),
IF(OR(E53&amp;F53&amp;G53=E$5&amp;F$5&amp;G$5,E53&amp;F53&amp;G53=E$5&amp;G$5&amp;F$5,E53&amp;F53&amp;G53=F$5&amp;E$5&amp;G$5,E53&amp;F53&amp;G53=F$5&amp;G$5&amp;E$5,E53&amp;F53&amp;G53=G$5&amp;E$5&amp;F$5,E53&amp;F53&amp;G53=G$5&amp;F$5&amp;E$5),2,0),IF(AND(E53=E$5,F$6&gt;=$D$129),1,0),IF(AND(F53=E$5,F$6&gt;=$D$129),1,0),IF(AND(G53=E$5,F$6&gt;=$D$129),1,0),IF(E53&amp;H53=H$5,4,0),IF(AND(E53=E$5,F$6&lt;=$D$104),-0.5,0),IF(AND(F53=E$5,F$6&lt;=$D$104),-0.5,0),IF(AND(G53=E$5,F$6&lt;=$D$104),-0.5,0))</f>
        <v/>
      </c>
      <c r="J53" s="145" t="n"/>
      <c r="K53" s="146" t="n"/>
      <c r="L53" s="146" t="n"/>
      <c r="M53" s="146" t="n"/>
      <c r="N53" s="602">
        <f>SUM(IF(J53=J$5,4,0),IF(J53&amp;K53=J$5&amp;K$5,1,0),
IF(AND(J53=J$5,K$6&gt;=$D$115),1,0),
IF(AND(K53=J$5,K$6&gt;=$D$115),1,0),
IF(AND(L53=J$5,K$6&gt;=$D$115),1,0),
IF(J53&amp;M53=N$5,1,0),
IF(K53=J$5,2,0),
IF(L53=J$5,1,0),
IF(OR(J53&amp;K53&amp;L53=J$5&amp;K$5&amp;L$5,J53&amp;K53&amp;L53=J$5&amp;L$5&amp;K$5,J53&amp;K53&amp;L53=K$5&amp;J$5&amp;L$5,J53&amp;K53&amp;L53=K$5&amp;L$5&amp;J$5,J53&amp;K53&amp;L53=L$5&amp;J$5&amp;K$5,J53&amp;K53&amp;L53=L$5&amp;K$5&amp;J$5),2,0),IF(AND(J53=J$5,K$6&gt;=$D$129),1,0),IF(AND(K53=J$5,K$6&gt;=$D$129),1,0),IF(AND(L53=J$5,K$6&gt;=$D$129),1,0),IF(J53&amp;M53=M$5,4,0),IF(AND(J53=J$5,K$6&lt;=$D$104),-0.5,0),IF(AND(K53=J$5,K$6&lt;=$D$104),-0.5,0),IF(AND(L53=J$5,K$6&lt;=$D$104),-0.5,0))</f>
        <v/>
      </c>
      <c r="O53" s="145" t="n"/>
      <c r="P53" s="146" t="n"/>
      <c r="Q53" s="146" t="n"/>
      <c r="R53" s="146" t="n"/>
      <c r="S53" s="602">
        <f>SUM(IF(O53=O$5,4,0),IF(O53&amp;P53=O$5&amp;P$5,1,0),
IF(AND(O53=O$5,P$6&gt;=$D$115),1,0),
IF(AND(P53=O$5,P$6&gt;=$D$115),1,0),
IF(AND(Q53=O$5,P$6&gt;=$D$115),1,0),
IF(O53&amp;R53=S$5,1,0),
IF(P53=O$5,2,0),
IF(Q53=O$5,1,0),
IF(OR(O53&amp;P53&amp;Q53=O$5&amp;P$5&amp;Q$5,O53&amp;P53&amp;Q53=O$5&amp;Q$5&amp;P$5,O53&amp;P53&amp;Q53=P$5&amp;O$5&amp;Q$5,O53&amp;P53&amp;Q53=P$5&amp;Q$5&amp;O$5,O53&amp;P53&amp;Q53=Q$5&amp;O$5&amp;P$5,O53&amp;P53&amp;Q53=Q$5&amp;P$5&amp;O$5),2,0),IF(AND(O53=O$5,P$6&gt;=$D$129),1,0),IF(AND(P53=O$5,P$6&gt;=$D$129),1,0),IF(AND(Q53=O$5,P$6&gt;=$D$129),1,0),IF(O53&amp;R53=R$5,4,0),IF(AND(O53=O$5,P$6&lt;=$D$104),-0.5,0),IF(AND(P53=O$5,P$6&lt;=$D$104),-0.5,0),IF(AND(Q53=O$5,P$6&lt;=$D$104),-0.5,0))</f>
        <v/>
      </c>
      <c r="T53" s="145" t="n"/>
      <c r="U53" s="146" t="n"/>
      <c r="V53" s="146" t="n"/>
      <c r="W53" s="146" t="n"/>
      <c r="X53" s="602">
        <f>SUM(IF(T53=T$5,4,0),IF(T53&amp;U53=T$5&amp;U$5,1,0),
IF(AND(T53=T$5,U$6&gt;=$D$115),1,0),
IF(AND(U53=T$5,U$6&gt;=$D$115),1,0),
IF(AND(V53=T$5,U$6&gt;=$D$115),1,0),
IF(T53&amp;W53=X$5,1,0),
IF(U53=T$5,2,0),
IF(V53=T$5,1,0),
IF(OR(T53&amp;U53&amp;V53=T$5&amp;U$5&amp;V$5,T53&amp;U53&amp;V53=T$5&amp;V$5&amp;U$5,T53&amp;U53&amp;V53=U$5&amp;T$5&amp;V$5,T53&amp;U53&amp;V53=U$5&amp;V$5&amp;T$5,T53&amp;U53&amp;V53=V$5&amp;T$5&amp;U$5,T53&amp;U53&amp;V53=V$5&amp;U$5&amp;T$5),2,0),IF(AND(T53=T$5,U$6&gt;=$D$129),1,0),IF(AND(U53=T$5,U$6&gt;=$D$129),1,0),IF(AND(V53=T$5,U$6&gt;=$D$129),1,0),IF(T53&amp;W53=W$5,4,0),IF(AND(T53=T$5,U$6&lt;=$D$104),-0.5,0),IF(AND(U53=T$5,U$6&lt;=$D$104),-0.5,0),IF(AND(V53=T$5,U$6&lt;=$D$104),-0.5,0))</f>
        <v/>
      </c>
      <c r="Y53" s="145" t="n"/>
      <c r="Z53" s="146" t="n"/>
      <c r="AA53" s="146" t="n"/>
      <c r="AB53" s="146" t="n"/>
      <c r="AC53" s="602">
        <f>SUM(IF(Y53=Y$5,4,0),IF(Y53&amp;Z53=Y$5&amp;Z$5,1,0),
IF(AND(Y53=Y$5,Z$6&gt;=$D$115),1,0),
IF(AND(Z53=Y$5,Z$6&gt;=$D$115),1,0),
IF(AND(AA53=Y$5,Z$6&gt;=$D$115),1,0),
IF(Y53&amp;AB53=AC$5,1,0),
IF(Z53=Y$5,2,0),
IF(AA53=Y$5,1,0),
IF(OR(Y53&amp;Z53&amp;AA53=Y$5&amp;Z$5&amp;AA$5,Y53&amp;Z53&amp;AA53=Y$5&amp;AA$5&amp;Z$5,Y53&amp;Z53&amp;AA53=Z$5&amp;Y$5&amp;AA$5,Y53&amp;Z53&amp;AA53=Z$5&amp;AA$5&amp;Y$5,Y53&amp;Z53&amp;AA53=AA$5&amp;Y$5&amp;Z$5,Y53&amp;Z53&amp;AA53=AA$5&amp;Z$5&amp;Y$5),2,0),IF(AND(Y53=Y$5,Z$6&gt;=$D$129),1,0),IF(AND(Z53=Y$5,Z$6&gt;=$D$129),1,0),IF(AND(AA53=Y$5,Z$6&gt;=$D$129),1,0),IF(Y53&amp;AB53=AB$5,4,0),IF(AND(Y53=Y$5,Z$6&lt;=$D$104),-0.5,0),IF(AND(Z53=Y$5,Z$6&lt;=$D$104),-0.5,0),IF(AND(AA53=Y$5,Z$6&lt;=$D$104),-0.5,0))</f>
        <v/>
      </c>
      <c r="AD53" s="145" t="n"/>
      <c r="AE53" s="146" t="n"/>
      <c r="AF53" s="146" t="n"/>
      <c r="AG53" s="146" t="n"/>
      <c r="AH53" s="602">
        <f>SUM(IF(AD53=AD$5,4,0),IF(AD53&amp;AE53=AD$5&amp;AE$5,1,0),
IF(AND(AD53=AD$5,AE$6&gt;=$D$115),1,0),
IF(AND(AE53=AD$5,AE$6&gt;=$D$115),1,0),
IF(AND(AF53=AD$5,AE$6&gt;=$D$115),1,0),
IF(AD53&amp;AG53=AH$5,1,0),
IF(AE53=AD$5,2,0),
IF(AF53=AD$5,1,0),
IF(OR(AD53&amp;AE53&amp;AF53=AD$5&amp;AE$5&amp;AF$5,AD53&amp;AE53&amp;AF53=AD$5&amp;AF$5&amp;AE$5,AD53&amp;AE53&amp;AF53=AE$5&amp;AD$5&amp;AF$5,AD53&amp;AE53&amp;AF53=AE$5&amp;AF$5&amp;AD$5,AD53&amp;AE53&amp;AF53=AF$5&amp;AD$5&amp;AE$5,AD53&amp;AE53&amp;AF53=AF$5&amp;AE$5&amp;AD$5),2,0),IF(AND(AD53=AD$5,AE$6&gt;=$D$129),1,0),IF(AND(AE53=AD$5,AE$6&gt;=$D$129),1,0),IF(AND(AF53=AD$5,AE$6&gt;=$D$129),1,0),IF(AD53&amp;AG53=AG$5,4,0),IF(AND(AD53=AD$5,AE$6&lt;=$D$104),-0.5,0),IF(AND(AE53=AD$5,AE$6&lt;=$D$104),-0.5,0),IF(AND(AF53=AD$5,AE$6&lt;=$D$104),-0.5,0))</f>
        <v/>
      </c>
      <c r="AI53" s="145" t="n"/>
      <c r="AJ53" s="146" t="n"/>
      <c r="AK53" s="146" t="n"/>
      <c r="AL53" s="146" t="n"/>
      <c r="AM53" s="602">
        <f>SUM(IF(AI53=AI$5,4,0),IF(AI53&amp;AJ53=AI$5&amp;AJ$5,1,0),
IF(AND(AI53=AI$5,AJ$6&gt;=$D$115),1,0),
IF(AND(AJ53=AI$5,AJ$6&gt;=$D$115),1,0),
IF(AND(AK53=AI$5,AJ$6&gt;=$D$115),1,0),
IF(AI53&amp;AL53=AM$5,1,0),
IF(AJ53=AI$5,2,0),
IF(AK53=AI$5,1,0),
IF(OR(AI53&amp;AJ53&amp;AK53=AI$5&amp;AJ$5&amp;AK$5,AI53&amp;AJ53&amp;AK53=AI$5&amp;AK$5&amp;AJ$5,AI53&amp;AJ53&amp;AK53=AJ$5&amp;AI$5&amp;AK$5,AI53&amp;AJ53&amp;AK53=AJ$5&amp;AK$5&amp;AI$5,AI53&amp;AJ53&amp;AK53=AK$5&amp;AI$5&amp;AJ$5,AI53&amp;AJ53&amp;AK53=AK$5&amp;AJ$5&amp;AI$5),2,0),IF(AND(AI53=AI$5,AJ$6&gt;=$D$129),1,0),IF(AND(AJ53=AI$5,AJ$6&gt;=$D$129),1,0),IF(AND(AK53=AI$5,AJ$6&gt;=$D$129),1,0),IF(AI53&amp;AL53=AL$5,4,0),IF(AND(AI53=AI$5,AJ$6&lt;=$D$104),-0.5,0),IF(AND(AJ53=AI$5,AJ$6&lt;=$D$104),-0.5,0),IF(AND(AK53=AI$5,AJ$6&lt;=$D$104),-0.5,0))</f>
        <v/>
      </c>
      <c r="AN53" s="145" t="n"/>
      <c r="AO53" s="146" t="n"/>
      <c r="AP53" s="146" t="n"/>
      <c r="AQ53" s="146" t="n"/>
      <c r="AR53" s="602">
        <f>SUM(IF(AN53=AN$5,4,0),IF(AN53&amp;AO53=AN$5&amp;AO$5,1,0),
IF(AND(AN53=AN$5,AO$6&gt;=$D$115),1,0),
IF(AND(AO53=AN$5,AO$6&gt;=$D$115),1,0),
IF(AND(AP53=AN$5,AO$6&gt;=$D$115),1,0),
IF(AN53&amp;AQ53=AR$5,1,0),
IF(AO53=AN$5,2,0),
IF(AP53=AN$5,1,0),
IF(OR(AN53&amp;AO53&amp;AP53=AN$5&amp;AO$5&amp;AP$5,AN53&amp;AO53&amp;AP53=AN$5&amp;AP$5&amp;AO$5,AN53&amp;AO53&amp;AP53=AO$5&amp;AN$5&amp;AP$5,AN53&amp;AO53&amp;AP53=AO$5&amp;AP$5&amp;AN$5,AN53&amp;AO53&amp;AP53=AP$5&amp;AN$5&amp;AO$5,AN53&amp;AO53&amp;AP53=AP$5&amp;AO$5&amp;AN$5),2,0),IF(AND(AN53=AN$5,AO$6&gt;=$D$129),1,0),IF(AND(AO53=AN$5,AO$6&gt;=$D$129),1,0),IF(AND(AP53=AN$5,AO$6&gt;=$D$129),1,0),IF(AN53&amp;AQ53=AQ$5,4,0),IF(AND(AN53=AN$5,AO$6&lt;=$D$104),-0.5,0),IF(AND(AO53=AN$5,AO$6&lt;=$D$104),-0.5,0),IF(AND(AP53=AN$5,AO$6&lt;=$D$104),-0.5,0))</f>
        <v/>
      </c>
      <c r="AS53" s="145" t="n"/>
      <c r="AT53" s="146" t="n"/>
      <c r="AU53" s="146" t="n"/>
      <c r="AV53" s="146" t="n"/>
      <c r="AW53" s="602">
        <f>SUM(IF(AS53=AS$5,4,0),IF(AS53&amp;AT53=AS$5&amp;AT$5,1,0),
IF(AND(AS53=AS$5,AT$6&gt;=$D$115),1,0),
IF(AND(AT53=AS$5,AT$6&gt;=$D$115),1,0),
IF(AND(AU53=AS$5,AT$6&gt;=$D$115),1,0),
IF(AS53&amp;AV53=AW$5,1,0),
IF(AT53=AS$5,2,0),
IF(AU53=AS$5,1,0),
IF(OR(AS53&amp;AT53&amp;AU53=AS$5&amp;AT$5&amp;AU$5,AS53&amp;AT53&amp;AU53=AS$5&amp;AU$5&amp;AT$5,AS53&amp;AT53&amp;AU53=AT$5&amp;AS$5&amp;AU$5,AS53&amp;AT53&amp;AU53=AT$5&amp;AU$5&amp;AS$5,AS53&amp;AT53&amp;AU53=AU$5&amp;AS$5&amp;AT$5,AS53&amp;AT53&amp;AU53=AU$5&amp;AT$5&amp;AS$5),2,0),IF(AND(AS53=AS$5,AT$6&gt;=$D$129),1,0),IF(AND(AT53=AS$5,AT$6&gt;=$D$129),1,0),IF(AND(AU53=AS$5,AT$6&gt;=$D$129),1,0),IF(AS53&amp;AV53=AV$5,4,0),IF(AND(AS53=AS$5,AT$6&lt;=$D$104),-0.5,0),IF(AND(AT53=AS$5,AT$6&lt;=$D$104),-0.5,0),IF(AND(AU53=AS$5,AT$6&lt;=$D$104),-0.5,0))</f>
        <v/>
      </c>
      <c r="AX53" s="145" t="n"/>
      <c r="AY53" s="146" t="n"/>
      <c r="AZ53" s="146" t="n"/>
      <c r="BA53" s="146" t="n"/>
      <c r="BB53" s="602">
        <f>SUM(IF(AX53=AX$5,4,0),IF(AX53&amp;AY53=AX$5&amp;AY$5,1,0),
IF(AND(AX53=AX$5,AY$6&gt;=$D$115),1,0),
IF(AND(AY53=AX$5,AY$6&gt;=$D$115),1,0),
IF(AND(AZ53=AX$5,AY$6&gt;=$D$115),1,0),
IF(AX53&amp;BA53=BB$5,1,0),
IF(AY53=AX$5,2,0),
IF(AZ53=AX$5,1,0),
IF(OR(AX53&amp;AY53&amp;AZ53=AX$5&amp;AY$5&amp;AZ$5,AX53&amp;AY53&amp;AZ53=AX$5&amp;AZ$5&amp;AY$5,AX53&amp;AY53&amp;AZ53=AY$5&amp;AX$5&amp;AZ$5,AX53&amp;AY53&amp;AZ53=AY$5&amp;AZ$5&amp;AX$5,AX53&amp;AY53&amp;AZ53=AZ$5&amp;AX$5&amp;AY$5,AX53&amp;AY53&amp;AZ53=AZ$5&amp;AY$5&amp;AX$5),2,0),IF(AND(AX53=AX$5,AY$6&gt;=$D$129),1,0),IF(AND(AY53=AX$5,AY$6&gt;=$D$129),1,0),IF(AND(AZ53=AX$5,AY$6&gt;=$D$129),1,0),IF(AX53&amp;BA53=BA$5,4,0),IF(AND(AX53=AX$5,AY$6&lt;=$D$104),-0.5,0),IF(AND(AY53=AX$5,AY$6&lt;=$D$104),-0.5,0),IF(AND(AZ53=AX$5,AY$6&lt;=$D$104),-0.5,0))</f>
        <v/>
      </c>
      <c r="BC53" s="145" t="n"/>
      <c r="BD53" s="146" t="n"/>
      <c r="BE53" s="146" t="n"/>
      <c r="BF53" s="146" t="n"/>
      <c r="BG53" s="602">
        <f>SUM(IF(BC53=BC$5,4,0),IF(BC53&amp;BD53=BC$5&amp;BD$5,1,0),
IF(AND(BC53=BC$5,BD$6&gt;=$D$115),1,0),
IF(AND(BD53=BC$5,BD$6&gt;=$D$115),1,0),
IF(AND(BE53=BC$5,BD$6&gt;=$D$115),1,0),
IF(BC53&amp;BF53=BG$5,1,0),
IF(BD53=BC$5,2,0),
IF(BE53=BC$5,1,0),
IF(OR(BC53&amp;BD53&amp;BE53=BC$5&amp;BD$5&amp;BE$5,BC53&amp;BD53&amp;BE53=BC$5&amp;BE$5&amp;BD$5,BC53&amp;BD53&amp;BE53=BD$5&amp;BC$5&amp;BE$5,BC53&amp;BD53&amp;BE53=BD$5&amp;BE$5&amp;BC$5,BC53&amp;BD53&amp;BE53=BE$5&amp;BC$5&amp;BD$5,BC53&amp;BD53&amp;BE53=BE$5&amp;BD$5&amp;BC$5),2,0),IF(AND(BC53=BC$5,BD$6&gt;=$D$129),1,0),IF(AND(BD53=BC$5,BD$6&gt;=$D$129),1,0),IF(AND(BE53=BC$5,BD$6&gt;=$D$129),1,0),IF(BC53&amp;BF53=BF$5,4,0),IF(AND(BC53=BC$5,BD$6&lt;=$D$104),-0.5,0),IF(AND(BD53=BC$5,BD$6&lt;=$D$104),-0.5,0),IF(AND(BE53=BC$5,BD$6&lt;=$D$104),-0.5,0))</f>
        <v/>
      </c>
      <c r="BH53" s="145" t="n"/>
      <c r="BI53" s="146" t="n"/>
      <c r="BJ53" s="146" t="n"/>
      <c r="BK53" s="146" t="n"/>
      <c r="BL53" s="602">
        <f>SUM(IF(BH53=BH$5,4,0),IF(BH53&amp;BI53=BH$5&amp;BI$5,1,0),
IF(AND(BH53=BH$5,BI$6&gt;=$D$115),1,0),
IF(AND(BI53=BH$5,BI$6&gt;=$D$115),1,0),
IF(AND(BJ53=BH$5,BI$6&gt;=$D$115),1,0),
IF(BH53&amp;BK53=BL$5,1,0),
IF(BI53=BH$5,2,0),
IF(BJ53=BH$5,1,0),
IF(OR(BH53&amp;BI53&amp;BJ53=BH$5&amp;BI$5&amp;BJ$5,BH53&amp;BI53&amp;BJ53=BH$5&amp;BJ$5&amp;BI$5,BH53&amp;BI53&amp;BJ53=BI$5&amp;BH$5&amp;BJ$5,BH53&amp;BI53&amp;BJ53=BI$5&amp;BJ$5&amp;BH$5,BH53&amp;BI53&amp;BJ53=BJ$5&amp;BH$5&amp;BI$5,BH53&amp;BI53&amp;BJ53=BJ$5&amp;BI$5&amp;BH$5),2,0),IF(AND(BH53=BH$5,BI$6&gt;=$D$129),1,0),IF(AND(BI53=BH$5,BI$6&gt;=$D$129),1,0),IF(AND(BJ53=BH$5,BI$6&gt;=$D$129),1,0),IF(BH53&amp;BK53=BK$5,4,0),IF(AND(BH53=BH$5,BI$6&lt;=$D$104),-0.5,0),IF(AND(BI53=BH$5,BI$6&lt;=$D$104),-0.5,0),IF(AND(BJ53=BH$5,BI$6&lt;=$D$104),-0.5,0))</f>
        <v/>
      </c>
      <c r="BM53" s="145" t="n"/>
      <c r="BN53" s="146" t="n"/>
      <c r="BO53" s="146" t="n"/>
      <c r="BP53" s="146" t="n"/>
      <c r="BQ53" s="602">
        <f>SUM(IF(BM53=BM$5,4,0),IF(BM53&amp;BN53=BM$5&amp;BN$5,1,0),
IF(AND(BM53=BM$5,BN$6&gt;=$D$115),1,0),
IF(AND(BN53=BM$5,BN$6&gt;=$D$115),1,0),
IF(AND(BO53=BM$5,BN$6&gt;=$D$115),1,0),
IF(BM53&amp;BP53=BQ$5,1,0),
IF(BN53=BM$5,2,0),
IF(BO53=BM$5,1,0),
IF(OR(BM53&amp;BN53&amp;BO53=BM$5&amp;BN$5&amp;BO$5,BM53&amp;BN53&amp;BO53=BM$5&amp;BO$5&amp;BN$5,BM53&amp;BN53&amp;BO53=BN$5&amp;BM$5&amp;BO$5,BM53&amp;BN53&amp;BO53=BN$5&amp;BO$5&amp;BM$5,BM53&amp;BN53&amp;BO53=BO$5&amp;BM$5&amp;BN$5,BM53&amp;BN53&amp;BO53=BO$5&amp;BN$5&amp;BM$5),2,0),IF(AND(BM53=BM$5,BN$6&gt;=$D$129),1,0),IF(AND(BN53=BM$5,BN$6&gt;=$D$129),1,0),IF(AND(BO53=BM$5,BN$6&gt;=$D$129),1,0),IF(BM53&amp;BP53=BP$5,4,0),IF(AND(BM53=BM$5,BN$6&lt;=$D$104),-0.5,0),IF(AND(BN53=BM$5,BN$6&lt;=$D$104),-0.5,0),IF(AND(BO53=BM$5,BN$6&lt;=$D$104),-0.5,0))</f>
        <v/>
      </c>
      <c r="BR53" s="145" t="n"/>
      <c r="BS53" s="146" t="n"/>
      <c r="BT53" s="146" t="n"/>
      <c r="BU53" s="146" t="n"/>
      <c r="BV53" s="602">
        <f>SUM(IF(BR53=BR$5,4,0),IF(BR53&amp;BS53=BR$5&amp;BS$5,1,0),
IF(AND(BR53=BR$5,BS$6&gt;=$D$115),1,0),
IF(AND(BS53=BR$5,BS$6&gt;=$D$115),1,0),
IF(AND(BT53=BR$5,BS$6&gt;=$D$115),1,0),
IF(BR53&amp;BU53=BV$5,1,0),
IF(BS53=BR$5,2,0),
IF(BT53=BR$5,1,0),
IF(OR(BR53&amp;BS53&amp;BT53=BR$5&amp;BS$5&amp;BT$5,BR53&amp;BS53&amp;BT53=BR$5&amp;BT$5&amp;BS$5,BR53&amp;BS53&amp;BT53=BS$5&amp;BR$5&amp;BT$5,BR53&amp;BS53&amp;BT53=BS$5&amp;BT$5&amp;BR$5,BR53&amp;BS53&amp;BT53=BT$5&amp;BR$5&amp;BS$5,BR53&amp;BS53&amp;BT53=BT$5&amp;BS$5&amp;BR$5),2,0),IF(AND(BR53=BR$5,BS$6&gt;=$D$129),1,0),IF(AND(BS53=BR$5,BS$6&gt;=$D$129),1,0),IF(AND(BT53=BR$5,BS$6&gt;=$D$129),1,0),IF(BR53&amp;BU53=BU$5,4,0),IF(AND(BR53=BR$5,BS$6&lt;=$D$104),-0.5,0),IF(AND(BS53=BR$5,BS$6&lt;=$D$104),-0.5,0),IF(AND(BT53=BR$5,BS$6&lt;=$D$104),-0.5,0))</f>
        <v/>
      </c>
      <c r="BW53" s="145" t="n"/>
      <c r="BX53" s="146" t="n"/>
      <c r="BY53" s="146" t="n"/>
      <c r="BZ53" s="146" t="n"/>
      <c r="CA53" s="602">
        <f>SUM(IF(BW53=BW$5,4,0),IF(BW53&amp;BX53=BW$5&amp;BX$5,1,0),
IF(AND(BW53=BW$5,BX$6&gt;=$D$115),1,0),
IF(AND(BX53=BW$5,BX$6&gt;=$D$115),1,0),
IF(AND(BY53=BW$5,BX$6&gt;=$D$115),1,0),
IF(BW53&amp;BZ53=CA$5,1,0),
IF(BX53=BW$5,2,0),
IF(BY53=BW$5,1,0),
IF(OR(BW53&amp;BX53&amp;BY53=BW$5&amp;BX$5&amp;BY$5,BW53&amp;BX53&amp;BY53=BW$5&amp;BY$5&amp;BX$5,BW53&amp;BX53&amp;BY53=BX$5&amp;BW$5&amp;BY$5,BW53&amp;BX53&amp;BY53=BX$5&amp;BY$5&amp;BW$5,BW53&amp;BX53&amp;BY53=BY$5&amp;BW$5&amp;BX$5,BW53&amp;BX53&amp;BY53=BY$5&amp;BX$5&amp;BW$5),2,0),IF(AND(BW53=BW$5,BX$6&gt;=$D$129),1,0),IF(AND(BX53=BW$5,BX$6&gt;=$D$129),1,0),IF(AND(BY53=BW$5,BX$6&gt;=$D$129),1,0),IF(BW53&amp;BZ53=BZ$5,4,0),IF(AND(BW53=BW$5,BX$6&lt;=$D$104),-0.5,0),IF(AND(BX53=BW$5,BX$6&lt;=$D$104),-0.5,0),IF(AND(BY53=BW$5,BX$6&lt;=$D$104),-0.5,0))</f>
        <v/>
      </c>
      <c r="CB53" s="145" t="n"/>
      <c r="CC53" s="146" t="n"/>
      <c r="CD53" s="146" t="n"/>
      <c r="CE53" s="146" t="n"/>
      <c r="CF53" s="602">
        <f>SUM(IF(CB53=CB$5,4,0),IF(CB53&amp;CC53=CB$5&amp;CC$5,1,0),
IF(AND(CB53=CB$5,CC$6&gt;=$D$115),1,0),
IF(AND(CC53=CB$5,CC$6&gt;=$D$115),1,0),
IF(AND(CD53=CB$5,CC$6&gt;=$D$115),1,0),
IF(CB53&amp;CE53=CF$5,1,0),
IF(CC53=CB$5,2,0),
IF(CD53=CB$5,1,0),
IF(OR(CB53&amp;CC53&amp;CD53=CB$5&amp;CC$5&amp;CD$5,CB53&amp;CC53&amp;CD53=CB$5&amp;CD$5&amp;CC$5,CB53&amp;CC53&amp;CD53=CC$5&amp;CB$5&amp;CD$5,CB53&amp;CC53&amp;CD53=CC$5&amp;CD$5&amp;CB$5,CB53&amp;CC53&amp;CD53=CD$5&amp;CB$5&amp;CC$5,CB53&amp;CC53&amp;CD53=CD$5&amp;CC$5&amp;CB$5),2,0),IF(AND(CB53=CB$5,CC$6&gt;=$D$129),1,0),IF(AND(CC53=CB$5,CC$6&gt;=$D$129),1,0),IF(AND(CD53=CB$5,CC$6&gt;=$D$129),1,0),IF(CB53&amp;CE53=CE$5,4,0),IF(AND(CB53=CB$5,CC$6&lt;=$D$104),-0.5,0),IF(AND(CC53=CB$5,CC$6&lt;=$D$104),-0.5,0),IF(AND(CD53=CB$5,CC$6&lt;=$D$104),-0.5,0))</f>
        <v/>
      </c>
      <c r="CG53" s="164">
        <f>IF(BASE01[[#This Row],[1]]="",0,$B$4)</f>
        <v/>
      </c>
      <c r="CH53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3" s="189">
        <f>IF(BASE01[[#This Row],[Columna14]]=0,0,(CH53/CG53))</f>
        <v/>
      </c>
      <c r="CJ53" s="165">
        <f>IF(BASE01[[#This Row],[1]]="",0,$B$4)</f>
        <v/>
      </c>
      <c r="CK53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3" s="189">
        <f>IF(BASE01[[#This Row],[Columna14]]=0,0,(CK53/CJ53))</f>
        <v/>
      </c>
      <c r="CM53" s="164">
        <f>IF(BASE01[[#This Row],[1]]="",0,$B$4)</f>
        <v/>
      </c>
      <c r="CN53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3" s="189">
        <f>IF(BASE01[[#This Row],[Columna14]]=0,0,(CN53/CM53))</f>
        <v/>
      </c>
      <c r="CP53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3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Row],[Columna25]],$AX$5,BA53,"SF")+COUNTIFS(BASE01[[#This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3" s="189">
        <f>IF(BASE01[[#This Row],[Columna14]]=0,0,(CQ53/CP53))</f>
        <v/>
      </c>
      <c r="CS53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3" s="95" t="n"/>
      <c r="CU53" s="604">
        <f>SUM(CS53,CT53)</f>
        <v/>
      </c>
      <c r="CV53" s="96">
        <f>IF(BASE01[[#This Row],[TIPO]]="PREMIO",$O$3,"0,00")</f>
        <v/>
      </c>
      <c r="CW53" s="576" t="n"/>
      <c r="CY53" s="606">
        <f>IF(CZ53="","",$CZ$25)</f>
        <v/>
      </c>
      <c r="CZ53" s="392" t="n"/>
      <c r="DA53" s="392">
        <f t="array" ref="DA53">IF(CZ53="", "", IF((INDEX(E$8:CE$57, MATCH(CZ53, C$8:C$57, 0), ($CZ$25-1)*5 + 1) &amp; "") = (INDEX(E$5:CE$5, 1, ($CZ$25-1)*5 + 1) &amp; ""), 1, IF((INDEX(E$8:CE$57, MATCH(CZ53, C$8:C$57, 0), ($CZ$25-1)*5 + 2) &amp; "") = (INDEX(E$5:CE$5, 1, ($CZ$25-1)*5 + 1) &amp; ""), 2, IF((INDEX(E$8:CE$57, MATCH(CZ53, C$8:C$57, 0), ($CZ$25-1)*5 + 3) &amp; "") = (INDEX(E$5:CE$5, 1, ($CZ$25-1)*5 + 1) &amp; ""), 3, ""))))</f>
        <v/>
      </c>
      <c r="DB53" s="605">
        <f>BASE01[[#This Row],[COD]]</f>
        <v/>
      </c>
      <c r="DC53" s="395">
        <f t="array" ref="DC53">IFERROR(IF(AND(INDEX($E$8:$CE$57, MATCH($C53, $C$8:$C$57, 0), (COLUMNS($DC53:DC53)-1)*5 + 1) = INDEX($E$5:$CE$5, 1, (COLUMNS($DC53:DC53)-1)*5 + 1), INDEX($E$8:$CE$57, MATCH($C53, $C$8:$C$57, 0), (COLUMNS($DC53:DC53)-1)*5 + 4) = "F"), INDEX($CZ$8:$CZ$23, COLUMNS($DC53:DC53)), "0"), "")</f>
        <v/>
      </c>
      <c r="DD53" s="395">
        <f t="array" ref="DD53">IFERROR(IF(AND(INDEX($E$8:$CE$57, MATCH($C53, $C$8:$C$57, 0), (COLUMNS($DC53:DD53)-1)*5 + 1) = INDEX($E$5:$CE$5, 1, (COLUMNS($DC53:DD53)-1)*5 + 1), INDEX($E$8:$CE$57, MATCH($C53, $C$8:$C$57, 0), (COLUMNS($DC53:DD53)-1)*5 + 4) = "F"), INDEX($CZ$8:$CZ$23, COLUMNS($DC53:DD53)), "0"), "")</f>
        <v/>
      </c>
      <c r="DE53" s="395">
        <f t="array" ref="DE53">IFERROR(IF(AND(INDEX($E$8:$CE$57, MATCH($C53, $C$8:$C$57, 0), (COLUMNS($DC53:DE53)-1)*5 + 1) = INDEX($E$5:$CE$5, 1, (COLUMNS($DC53:DE53)-1)*5 + 1), INDEX($E$8:$CE$57, MATCH($C53, $C$8:$C$57, 0), (COLUMNS($DC53:DE53)-1)*5 + 4) = "F"), INDEX($CZ$8:$CZ$23, COLUMNS($DC53:DE53)), "0"), "")</f>
        <v/>
      </c>
      <c r="DF53" s="395">
        <f t="array" ref="DF53">IFERROR(IF(AND(INDEX($E$8:$CE$57, MATCH($C53, $C$8:$C$57, 0), (COLUMNS($DC53:DF53)-1)*5 + 1) = INDEX($E$5:$CE$5, 1, (COLUMNS($DC53:DF53)-1)*5 + 1), INDEX($E$8:$CE$57, MATCH($C53, $C$8:$C$57, 0), (COLUMNS($DC53:DF53)-1)*5 + 4) = "F"), INDEX($CZ$8:$CZ$23, COLUMNS($DC53:DF53)), "0"), "")</f>
        <v/>
      </c>
      <c r="DG53" s="395">
        <f t="array" ref="DG53">IFERROR(IF(AND(INDEX($E$8:$CE$57, MATCH($C53, $C$8:$C$57, 0), (COLUMNS($DC53:DG53)-1)*5 + 1) = INDEX($E$5:$CE$5, 1, (COLUMNS($DC53:DG53)-1)*5 + 1), INDEX($E$8:$CE$57, MATCH($C53, $C$8:$C$57, 0), (COLUMNS($DC53:DG53)-1)*5 + 4) = "F"), INDEX($CZ$8:$CZ$23, COLUMNS($DC53:DG53)), "0"), "")</f>
        <v/>
      </c>
      <c r="DH53" s="395">
        <f t="array" ref="DH53">IFERROR(IF(AND(INDEX($E$8:$CE$57, MATCH($C53, $C$8:$C$57, 0), (COLUMNS($DC53:DH53)-1)*5 + 1) = INDEX($E$5:$CE$5, 1, (COLUMNS($DC53:DH53)-1)*5 + 1), INDEX($E$8:$CE$57, MATCH($C53, $C$8:$C$57, 0), (COLUMNS($DC53:DH53)-1)*5 + 4) = "F"), INDEX($CZ$8:$CZ$23, COLUMNS($DC53:DH53)), "0"), "")</f>
        <v/>
      </c>
      <c r="DI53" s="395">
        <f t="array" ref="DI53">IFERROR(IF(AND(INDEX($E$8:$CE$57, MATCH($C53, $C$8:$C$57, 0), (COLUMNS($DC53:DI53)-1)*5 + 1) = INDEX($E$5:$CE$5, 1, (COLUMNS($DC53:DI53)-1)*5 + 1), INDEX($E$8:$CE$57, MATCH($C53, $C$8:$C$57, 0), (COLUMNS($DC53:DI53)-1)*5 + 4) = "F"), INDEX($CZ$8:$CZ$23, COLUMNS($DC53:DI53)), "0"), "")</f>
        <v/>
      </c>
      <c r="DJ53" s="395">
        <f t="array" ref="DJ53">IFERROR(IF(AND(INDEX($E$8:$CE$57, MATCH($C53, $C$8:$C$57, 0), (COLUMNS($DC53:DJ53)-1)*5 + 1) = INDEX($E$5:$CE$5, 1, (COLUMNS($DC53:DJ53)-1)*5 + 1), INDEX($E$8:$CE$57, MATCH($C53, $C$8:$C$57, 0), (COLUMNS($DC53:DJ53)-1)*5 + 4) = "F"), INDEX($CZ$8:$CZ$23, COLUMNS($DC53:DJ53)), "0"), "")</f>
        <v/>
      </c>
      <c r="DK53" s="395">
        <f t="array" ref="DK53">IFERROR(IF(AND(INDEX($E$8:$CE$57, MATCH($C53, $C$8:$C$57, 0), (COLUMNS($DC53:DK53)-1)*5 + 1) = INDEX($E$5:$CE$5, 1, (COLUMNS($DC53:DK53)-1)*5 + 1), INDEX($E$8:$CE$57, MATCH($C53, $C$8:$C$57, 0), (COLUMNS($DC53:DK53)-1)*5 + 4) = "F"), INDEX($CZ$8:$CZ$23, COLUMNS($DC53:DK53)), "0"), "")</f>
        <v/>
      </c>
      <c r="DL53" s="395">
        <f t="array" ref="DL53">IFERROR(IF(AND(INDEX($E$8:$CE$57, MATCH($C53, $C$8:$C$57, 0), (COLUMNS($DC53:DL53)-1)*5 + 1) = INDEX($E$5:$CE$5, 1, (COLUMNS($DC53:DL53)-1)*5 + 1), INDEX($E$8:$CE$57, MATCH($C53, $C$8:$C$57, 0), (COLUMNS($DC53:DL53)-1)*5 + 4) = "F"), INDEX($CZ$8:$CZ$23, COLUMNS($DC53:DL53)), "0"), "")</f>
        <v/>
      </c>
      <c r="DM53" s="395">
        <f t="array" ref="DM53">IFERROR(IF(AND(INDEX($E$8:$CE$57, MATCH($C53, $C$8:$C$57, 0), (COLUMNS($DC53:DM53)-1)*5 + 1) = INDEX($E$5:$CE$5, 1, (COLUMNS($DC53:DM53)-1)*5 + 1), INDEX($E$8:$CE$57, MATCH($C53, $C$8:$C$57, 0), (COLUMNS($DC53:DM53)-1)*5 + 4) = "F"), INDEX($CZ$8:$CZ$23, COLUMNS($DC53:DM53)), "0"), "")</f>
        <v/>
      </c>
      <c r="DN53" s="395">
        <f t="array" ref="DN53">IFERROR(IF(AND(INDEX($E$8:$CE$57, MATCH($C53, $C$8:$C$57, 0), (COLUMNS($DC53:DN53)-1)*5 + 1) = INDEX($E$5:$CE$5, 1, (COLUMNS($DC53:DN53)-1)*5 + 1), INDEX($E$8:$CE$57, MATCH($C53, $C$8:$C$57, 0), (COLUMNS($DC53:DN53)-1)*5 + 4) = "F"), INDEX($CZ$8:$CZ$23, COLUMNS($DC53:DN53)), "0"), "")</f>
        <v/>
      </c>
      <c r="DO53" s="395">
        <f t="array" ref="DO53">IFERROR(IF(AND(INDEX($E$8:$CE$57, MATCH($C53, $C$8:$C$57, 0), (COLUMNS($DC53:DO53)-1)*5 + 1) = INDEX($E$5:$CE$5, 1, (COLUMNS($DC53:DO53)-1)*5 + 1), INDEX($E$8:$CE$57, MATCH($C53, $C$8:$C$57, 0), (COLUMNS($DC53:DO53)-1)*5 + 4) = "F"), INDEX($CZ$8:$CZ$23, COLUMNS($DC53:DO53)), "0"), "")</f>
        <v/>
      </c>
      <c r="DP53" s="395">
        <f t="array" ref="DP53">IFERROR(IF(AND(INDEX($E$8:$CE$57, MATCH($C53, $C$8:$C$57, 0), (COLUMNS($DC53:DP53)-1)*5 + 1) = INDEX($E$5:$CE$5, 1, (COLUMNS($DC53:DP53)-1)*5 + 1), INDEX($E$8:$CE$57, MATCH($C53, $C$8:$C$57, 0), (COLUMNS($DC53:DP53)-1)*5 + 4) = "F"), INDEX($CZ$8:$CZ$23, COLUMNS($DC53:DP53)), "0"), "")</f>
        <v/>
      </c>
      <c r="DQ53" s="395">
        <f t="array" ref="DQ53">IFERROR(IF(AND(INDEX($E$8:$CE$57, MATCH($C53, $C$8:$C$57, 0), (COLUMNS($DC53:DQ53)-1)*5 + 1) = INDEX($E$5:$CE$5, 1, (COLUMNS($DC53:DQ53)-1)*5 + 1), INDEX($E$8:$CE$57, MATCH($C53, $C$8:$C$57, 0), (COLUMNS($DC53:DQ53)-1)*5 + 4) = "F"), INDEX($CZ$8:$CZ$23, COLUMNS($DC53:DQ53)), "0"), "")</f>
        <v/>
      </c>
      <c r="DR53" s="395">
        <f t="array" ref="DR53">IFERROR(IF(AND(INDEX($E$8:$CE$57, MATCH($C53, $C$8:$C$57, 0), (COLUMNS($DC53:DR53)-1)*5 + 1) = INDEX($E$5:$CE$5, 1, (COLUMNS($DC53:DR53)-1)*5 + 1), INDEX($E$8:$CE$57, MATCH($C53, $C$8:$C$57, 0), (COLUMNS($DC53:DR53)-1)*5 + 4) = "F"), INDEX($CZ$8:$CZ$23, COLUMNS($DC53:DR53)), "0"), "")</f>
        <v/>
      </c>
      <c r="DT53" s="605">
        <f>BASE01[[#This Row],[COD]]</f>
        <v/>
      </c>
      <c r="DU53" s="395">
        <f t="array" ref="DU53">IFERROR(IF(AND(INDEX($E$8:$CE$57, MATCH($C53, $C$8:$C$57, 0), (COLUMNS($DU53:DU53)-1)*5 + 1) = INDEX($E$5:$CE$5, 1, (COLUMNS($DU53:DU53)-1)*5 + 1), INDEX($E$8:$CE$57, MATCH($C53, $C$8:$C$57, 0), (COLUMNS($DU53:DU53)-1)*5 + 4) = "SF"), INDEX($CZ$8:$CZ$23, COLUMNS($DU53:DU53)), "0"), "")</f>
        <v/>
      </c>
      <c r="DV53" s="395">
        <f t="array" ref="DV53">IFERROR(IF(AND(INDEX($E$8:$CE$57, MATCH($C53, $C$8:$C$57, 0), (COLUMNS($DU53:DV53)-1)*5 + 1) = INDEX($E$5:$CE$5, 1, (COLUMNS($DU53:DV53)-1)*5 + 1), INDEX($E$8:$CE$57, MATCH($C53, $C$8:$C$57, 0), (COLUMNS($DU53:DV53)-1)*5 + 4) = "SF"), INDEX($CZ$8:$CZ$23, COLUMNS($DU53:DV53)), "0"), "")</f>
        <v/>
      </c>
      <c r="DW53" s="395">
        <f t="array" ref="DW53">IFERROR(IF(AND(INDEX($E$8:$CE$57, MATCH($C53, $C$8:$C$57, 0), (COLUMNS($DU53:DW53)-1)*5 + 1) = INDEX($E$5:$CE$5, 1, (COLUMNS($DU53:DW53)-1)*5 + 1), INDEX($E$8:$CE$57, MATCH($C53, $C$8:$C$57, 0), (COLUMNS($DU53:DW53)-1)*5 + 4) = "SF"), INDEX($CZ$8:$CZ$23, COLUMNS($DU53:DW53)), "0"), "")</f>
        <v/>
      </c>
      <c r="DX53" s="395">
        <f t="array" ref="DX53">IFERROR(IF(AND(INDEX($E$8:$CE$57, MATCH($C53, $C$8:$C$57, 0), (COLUMNS($DU53:DX53)-1)*5 + 1) = INDEX($E$5:$CE$5, 1, (COLUMNS($DU53:DX53)-1)*5 + 1), INDEX($E$8:$CE$57, MATCH($C53, $C$8:$C$57, 0), (COLUMNS($DU53:DX53)-1)*5 + 4) = "SF"), INDEX($CZ$8:$CZ$23, COLUMNS($DU53:DX53)), "0"), "")</f>
        <v/>
      </c>
      <c r="DY53" s="395">
        <f t="array" ref="DY53">IFERROR(IF(AND(INDEX($E$8:$CE$57, MATCH($C53, $C$8:$C$57, 0), (COLUMNS($DU53:DY53)-1)*5 + 1) = INDEX($E$5:$CE$5, 1, (COLUMNS($DU53:DY53)-1)*5 + 1), INDEX($E$8:$CE$57, MATCH($C53, $C$8:$C$57, 0), (COLUMNS($DU53:DY53)-1)*5 + 4) = "SF"), INDEX($CZ$8:$CZ$23, COLUMNS($DU53:DY53)), "0"), "")</f>
        <v/>
      </c>
      <c r="DZ53" s="395">
        <f t="array" ref="DZ53">IFERROR(IF(AND(INDEX($E$8:$CE$57, MATCH($C53, $C$8:$C$57, 0), (COLUMNS($DU53:DZ53)-1)*5 + 1) = INDEX($E$5:$CE$5, 1, (COLUMNS($DU53:DZ53)-1)*5 + 1), INDEX($E$8:$CE$57, MATCH($C53, $C$8:$C$57, 0), (COLUMNS($DU53:DZ53)-1)*5 + 4) = "SF"), INDEX($CZ$8:$CZ$23, COLUMNS($DU53:DZ53)), "0"), "")</f>
        <v/>
      </c>
      <c r="EA53" s="395">
        <f t="array" ref="EA53">IFERROR(IF(AND(INDEX($E$8:$CE$57, MATCH($C53, $C$8:$C$57, 0), (COLUMNS($DU53:EA53)-1)*5 + 1) = INDEX($E$5:$CE$5, 1, (COLUMNS($DU53:EA53)-1)*5 + 1), INDEX($E$8:$CE$57, MATCH($C53, $C$8:$C$57, 0), (COLUMNS($DU53:EA53)-1)*5 + 4) = "SF"), INDEX($CZ$8:$CZ$23, COLUMNS($DU53:EA53)), "0"), "")</f>
        <v/>
      </c>
      <c r="EB53" s="395">
        <f t="array" ref="EB53">IFERROR(IF(AND(INDEX($E$8:$CE$57, MATCH($C53, $C$8:$C$57, 0), (COLUMNS($DU53:EB53)-1)*5 + 1) = INDEX($E$5:$CE$5, 1, (COLUMNS($DU53:EB53)-1)*5 + 1), INDEX($E$8:$CE$57, MATCH($C53, $C$8:$C$57, 0), (COLUMNS($DU53:EB53)-1)*5 + 4) = "SF"), INDEX($CZ$8:$CZ$23, COLUMNS($DU53:EB53)), "0"), "")</f>
        <v/>
      </c>
      <c r="EC53" s="395">
        <f t="array" ref="EC53">IFERROR(IF(AND(INDEX($E$8:$CE$57, MATCH($C53, $C$8:$C$57, 0), (COLUMNS($DU53:EC53)-1)*5 + 1) = INDEX($E$5:$CE$5, 1, (COLUMNS($DU53:EC53)-1)*5 + 1), INDEX($E$8:$CE$57, MATCH($C53, $C$8:$C$57, 0), (COLUMNS($DU53:EC53)-1)*5 + 4) = "SF"), INDEX($CZ$8:$CZ$23, COLUMNS($DU53:EC53)), "0"), "")</f>
        <v/>
      </c>
      <c r="ED53" s="395">
        <f t="array" ref="ED53">IFERROR(IF(AND(INDEX($E$8:$CE$57, MATCH($C53, $C$8:$C$57, 0), (COLUMNS($DU53:ED53)-1)*5 + 1) = INDEX($E$5:$CE$5, 1, (COLUMNS($DU53:ED53)-1)*5 + 1), INDEX($E$8:$CE$57, MATCH($C53, $C$8:$C$57, 0), (COLUMNS($DU53:ED53)-1)*5 + 4) = "SF"), INDEX($CZ$8:$CZ$23, COLUMNS($DU53:ED53)), "0"), "")</f>
        <v/>
      </c>
      <c r="EE53" s="395">
        <f t="array" ref="EE53">IFERROR(IF(AND(INDEX($E$8:$CE$57, MATCH($C53, $C$8:$C$57, 0), (COLUMNS($DU53:EE53)-1)*5 + 1) = INDEX($E$5:$CE$5, 1, (COLUMNS($DU53:EE53)-1)*5 + 1), INDEX($E$8:$CE$57, MATCH($C53, $C$8:$C$57, 0), (COLUMNS($DU53:EE53)-1)*5 + 4) = "SF"), INDEX($CZ$8:$CZ$23, COLUMNS($DU53:EE53)), "0"), "")</f>
        <v/>
      </c>
      <c r="EF53" s="395">
        <f t="array" ref="EF53">IFERROR(IF(AND(INDEX($E$8:$CE$57, MATCH($C53, $C$8:$C$57, 0), (COLUMNS($DU53:EF53)-1)*5 + 1) = INDEX($E$5:$CE$5, 1, (COLUMNS($DU53:EF53)-1)*5 + 1), INDEX($E$8:$CE$57, MATCH($C53, $C$8:$C$57, 0), (COLUMNS($DU53:EF53)-1)*5 + 4) = "SF"), INDEX($CZ$8:$CZ$23, COLUMNS($DU53:EF53)), "0"), "")</f>
        <v/>
      </c>
      <c r="EG53" s="395">
        <f t="array" ref="EG53">IFERROR(IF(AND(INDEX($E$8:$CE$57, MATCH($C53, $C$8:$C$57, 0), (COLUMNS($DU53:EG53)-1)*5 + 1) = INDEX($E$5:$CE$5, 1, (COLUMNS($DU53:EG53)-1)*5 + 1), INDEX($E$8:$CE$57, MATCH($C53, $C$8:$C$57, 0), (COLUMNS($DU53:EG53)-1)*5 + 4) = "SF"), INDEX($CZ$8:$CZ$23, COLUMNS($DU53:EG53)), "0"), "")</f>
        <v/>
      </c>
      <c r="EH53" s="395">
        <f t="array" ref="EH53">IFERROR(IF(AND(INDEX($E$8:$CE$57, MATCH($C53, $C$8:$C$57, 0), (COLUMNS($DU53:EH53)-1)*5 + 1) = INDEX($E$5:$CE$5, 1, (COLUMNS($DU53:EH53)-1)*5 + 1), INDEX($E$8:$CE$57, MATCH($C53, $C$8:$C$57, 0), (COLUMNS($DU53:EH53)-1)*5 + 4) = "SF"), INDEX($CZ$8:$CZ$23, COLUMNS($DU53:EH53)), "0"), "")</f>
        <v/>
      </c>
      <c r="EI53" s="395">
        <f t="array" ref="EI53">IFERROR(IF(AND(INDEX($E$8:$CE$57, MATCH($C53, $C$8:$C$57, 0), (COLUMNS($DU53:EI53)-1)*5 + 1) = INDEX($E$5:$CE$5, 1, (COLUMNS($DU53:EI53)-1)*5 + 1), INDEX($E$8:$CE$57, MATCH($C53, $C$8:$C$57, 0), (COLUMNS($DU53:EI53)-1)*5 + 4) = "SF"), INDEX($CZ$8:$CZ$23, COLUMNS($DU53:EI53)), "0"), "")</f>
        <v/>
      </c>
      <c r="EJ53" s="395">
        <f t="array" ref="EJ53">IFERROR(IF(AND(INDEX($E$8:$CE$57, MATCH($C53, $C$8:$C$57, 0), (COLUMNS($DU53:EJ53)-1)*5 + 1) = INDEX($E$5:$CE$5, 1, (COLUMNS($DU53:EJ53)-1)*5 + 1), INDEX($E$8:$CE$57, MATCH($C53, $C$8:$C$57, 0), (COLUMNS($DU53:EJ53)-1)*5 + 4) = "SF"), INDEX($CZ$8:$CZ$23, COLUMNS($DU53:EJ53)), "0"), "")</f>
        <v/>
      </c>
    </row>
    <row r="54" outlineLevel="1" ht="20.1" customHeight="1" s="568">
      <c r="A54" s="576" t="n"/>
      <c r="B54" s="92">
        <f>IF(BASE01[[#This Row],[COD]]&lt;&gt;"",B53+1,"")</f>
        <v/>
      </c>
      <c r="C54" s="601" t="inlineStr">
        <is>
          <t>COD 47</t>
        </is>
      </c>
      <c r="D54" s="93">
        <f t="array" ref="D54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4" s="145" t="n"/>
      <c r="F54" s="146" t="n"/>
      <c r="G54" s="146" t="n"/>
      <c r="H54" s="146" t="n"/>
      <c r="I54" s="602">
        <f>SUM(IF(E54=E$5,4,0),IF(E54&amp;F54=E$5&amp;F$5,1,0),
IF(AND(E54=E$5,F$6&gt;=$D$115),1,0),
IF(AND(F54=E$5,F$6&gt;=$D$115),1,0),
IF(AND(G54=E$5,F$6&gt;=$D$115),1,0),
IF(E54&amp;H54=I$5,1,0),
IF(F54=E$5,2,0),
IF(G54=E$5,1,0),
IF(OR(E54&amp;F54&amp;G54=E$5&amp;F$5&amp;G$5,E54&amp;F54&amp;G54=E$5&amp;G$5&amp;F$5,E54&amp;F54&amp;G54=F$5&amp;E$5&amp;G$5,E54&amp;F54&amp;G54=F$5&amp;G$5&amp;E$5,E54&amp;F54&amp;G54=G$5&amp;E$5&amp;F$5,E54&amp;F54&amp;G54=G$5&amp;F$5&amp;E$5),2,0),IF(AND(E54=E$5,F$6&gt;=$D$129),1,0),IF(AND(F54=E$5,F$6&gt;=$D$129),1,0),IF(AND(G54=E$5,F$6&gt;=$D$129),1,0),IF(E54&amp;H54=H$5,4,0),IF(AND(E54=E$5,F$6&lt;=$D$104),-0.5,0),IF(AND(F54=E$5,F$6&lt;=$D$104),-0.5,0),IF(AND(G54=E$5,F$6&lt;=$D$104),-0.5,0))</f>
        <v/>
      </c>
      <c r="J54" s="145" t="n"/>
      <c r="K54" s="146" t="n"/>
      <c r="L54" s="146" t="n"/>
      <c r="M54" s="146" t="n"/>
      <c r="N54" s="602">
        <f>SUM(IF(J54=J$5,4,0),IF(J54&amp;K54=J$5&amp;K$5,1,0),
IF(AND(J54=J$5,K$6&gt;=$D$115),1,0),
IF(AND(K54=J$5,K$6&gt;=$D$115),1,0),
IF(AND(L54=J$5,K$6&gt;=$D$115),1,0),
IF(J54&amp;M54=N$5,1,0),
IF(K54=J$5,2,0),
IF(L54=J$5,1,0),
IF(OR(J54&amp;K54&amp;L54=J$5&amp;K$5&amp;L$5,J54&amp;K54&amp;L54=J$5&amp;L$5&amp;K$5,J54&amp;K54&amp;L54=K$5&amp;J$5&amp;L$5,J54&amp;K54&amp;L54=K$5&amp;L$5&amp;J$5,J54&amp;K54&amp;L54=L$5&amp;J$5&amp;K$5,J54&amp;K54&amp;L54=L$5&amp;K$5&amp;J$5),2,0),IF(AND(J54=J$5,K$6&gt;=$D$129),1,0),IF(AND(K54=J$5,K$6&gt;=$D$129),1,0),IF(AND(L54=J$5,K$6&gt;=$D$129),1,0),IF(J54&amp;M54=M$5,4,0),IF(AND(J54=J$5,K$6&lt;=$D$104),-0.5,0),IF(AND(K54=J$5,K$6&lt;=$D$104),-0.5,0),IF(AND(L54=J$5,K$6&lt;=$D$104),-0.5,0))</f>
        <v/>
      </c>
      <c r="O54" s="145" t="n"/>
      <c r="P54" s="146" t="n"/>
      <c r="Q54" s="146" t="n"/>
      <c r="R54" s="146" t="n"/>
      <c r="S54" s="602">
        <f>SUM(IF(O54=O$5,4,0),IF(O54&amp;P54=O$5&amp;P$5,1,0),
IF(AND(O54=O$5,P$6&gt;=$D$115),1,0),
IF(AND(P54=O$5,P$6&gt;=$D$115),1,0),
IF(AND(Q54=O$5,P$6&gt;=$D$115),1,0),
IF(O54&amp;R54=S$5,1,0),
IF(P54=O$5,2,0),
IF(Q54=O$5,1,0),
IF(OR(O54&amp;P54&amp;Q54=O$5&amp;P$5&amp;Q$5,O54&amp;P54&amp;Q54=O$5&amp;Q$5&amp;P$5,O54&amp;P54&amp;Q54=P$5&amp;O$5&amp;Q$5,O54&amp;P54&amp;Q54=P$5&amp;Q$5&amp;O$5,O54&amp;P54&amp;Q54=Q$5&amp;O$5&amp;P$5,O54&amp;P54&amp;Q54=Q$5&amp;P$5&amp;O$5),2,0),IF(AND(O54=O$5,P$6&gt;=$D$129),1,0),IF(AND(P54=O$5,P$6&gt;=$D$129),1,0),IF(AND(Q54=O$5,P$6&gt;=$D$129),1,0),IF(O54&amp;R54=R$5,4,0),IF(AND(O54=O$5,P$6&lt;=$D$104),-0.5,0),IF(AND(P54=O$5,P$6&lt;=$D$104),-0.5,0),IF(AND(Q54=O$5,P$6&lt;=$D$104),-0.5,0))</f>
        <v/>
      </c>
      <c r="T54" s="145" t="n"/>
      <c r="U54" s="146" t="n"/>
      <c r="V54" s="146" t="n"/>
      <c r="W54" s="146" t="n"/>
      <c r="X54" s="602">
        <f>SUM(IF(T54=T$5,4,0),IF(T54&amp;U54=T$5&amp;U$5,1,0),
IF(AND(T54=T$5,U$6&gt;=$D$115),1,0),
IF(AND(U54=T$5,U$6&gt;=$D$115),1,0),
IF(AND(V54=T$5,U$6&gt;=$D$115),1,0),
IF(T54&amp;W54=X$5,1,0),
IF(U54=T$5,2,0),
IF(V54=T$5,1,0),
IF(OR(T54&amp;U54&amp;V54=T$5&amp;U$5&amp;V$5,T54&amp;U54&amp;V54=T$5&amp;V$5&amp;U$5,T54&amp;U54&amp;V54=U$5&amp;T$5&amp;V$5,T54&amp;U54&amp;V54=U$5&amp;V$5&amp;T$5,T54&amp;U54&amp;V54=V$5&amp;T$5&amp;U$5,T54&amp;U54&amp;V54=V$5&amp;U$5&amp;T$5),2,0),IF(AND(T54=T$5,U$6&gt;=$D$129),1,0),IF(AND(U54=T$5,U$6&gt;=$D$129),1,0),IF(AND(V54=T$5,U$6&gt;=$D$129),1,0),IF(T54&amp;W54=W$5,4,0),IF(AND(T54=T$5,U$6&lt;=$D$104),-0.5,0),IF(AND(U54=T$5,U$6&lt;=$D$104),-0.5,0),IF(AND(V54=T$5,U$6&lt;=$D$104),-0.5,0))</f>
        <v/>
      </c>
      <c r="Y54" s="145" t="n"/>
      <c r="Z54" s="146" t="n"/>
      <c r="AA54" s="146" t="n"/>
      <c r="AB54" s="146" t="n"/>
      <c r="AC54" s="602">
        <f>SUM(IF(Y54=Y$5,4,0),IF(Y54&amp;Z54=Y$5&amp;Z$5,1,0),
IF(AND(Y54=Y$5,Z$6&gt;=$D$115),1,0),
IF(AND(Z54=Y$5,Z$6&gt;=$D$115),1,0),
IF(AND(AA54=Y$5,Z$6&gt;=$D$115),1,0),
IF(Y54&amp;AB54=AC$5,1,0),
IF(Z54=Y$5,2,0),
IF(AA54=Y$5,1,0),
IF(OR(Y54&amp;Z54&amp;AA54=Y$5&amp;Z$5&amp;AA$5,Y54&amp;Z54&amp;AA54=Y$5&amp;AA$5&amp;Z$5,Y54&amp;Z54&amp;AA54=Z$5&amp;Y$5&amp;AA$5,Y54&amp;Z54&amp;AA54=Z$5&amp;AA$5&amp;Y$5,Y54&amp;Z54&amp;AA54=AA$5&amp;Y$5&amp;Z$5,Y54&amp;Z54&amp;AA54=AA$5&amp;Z$5&amp;Y$5),2,0),IF(AND(Y54=Y$5,Z$6&gt;=$D$129),1,0),IF(AND(Z54=Y$5,Z$6&gt;=$D$129),1,0),IF(AND(AA54=Y$5,Z$6&gt;=$D$129),1,0),IF(Y54&amp;AB54=AB$5,4,0),IF(AND(Y54=Y$5,Z$6&lt;=$D$104),-0.5,0),IF(AND(Z54=Y$5,Z$6&lt;=$D$104),-0.5,0),IF(AND(AA54=Y$5,Z$6&lt;=$D$104),-0.5,0))</f>
        <v/>
      </c>
      <c r="AD54" s="145" t="n"/>
      <c r="AE54" s="146" t="n"/>
      <c r="AF54" s="146" t="n"/>
      <c r="AG54" s="146" t="n"/>
      <c r="AH54" s="602">
        <f>SUM(IF(AD54=AD$5,4,0),IF(AD54&amp;AE54=AD$5&amp;AE$5,1,0),
IF(AND(AD54=AD$5,AE$6&gt;=$D$115),1,0),
IF(AND(AE54=AD$5,AE$6&gt;=$D$115),1,0),
IF(AND(AF54=AD$5,AE$6&gt;=$D$115),1,0),
IF(AD54&amp;AG54=AH$5,1,0),
IF(AE54=AD$5,2,0),
IF(AF54=AD$5,1,0),
IF(OR(AD54&amp;AE54&amp;AF54=AD$5&amp;AE$5&amp;AF$5,AD54&amp;AE54&amp;AF54=AD$5&amp;AF$5&amp;AE$5,AD54&amp;AE54&amp;AF54=AE$5&amp;AD$5&amp;AF$5,AD54&amp;AE54&amp;AF54=AE$5&amp;AF$5&amp;AD$5,AD54&amp;AE54&amp;AF54=AF$5&amp;AD$5&amp;AE$5,AD54&amp;AE54&amp;AF54=AF$5&amp;AE$5&amp;AD$5),2,0),IF(AND(AD54=AD$5,AE$6&gt;=$D$129),1,0),IF(AND(AE54=AD$5,AE$6&gt;=$D$129),1,0),IF(AND(AF54=AD$5,AE$6&gt;=$D$129),1,0),IF(AD54&amp;AG54=AG$5,4,0),IF(AND(AD54=AD$5,AE$6&lt;=$D$104),-0.5,0),IF(AND(AE54=AD$5,AE$6&lt;=$D$104),-0.5,0),IF(AND(AF54=AD$5,AE$6&lt;=$D$104),-0.5,0))</f>
        <v/>
      </c>
      <c r="AI54" s="145" t="n"/>
      <c r="AJ54" s="146" t="n"/>
      <c r="AK54" s="146" t="n"/>
      <c r="AL54" s="146" t="n"/>
      <c r="AM54" s="602">
        <f>SUM(IF(AI54=AI$5,4,0),IF(AI54&amp;AJ54=AI$5&amp;AJ$5,1,0),
IF(AND(AI54=AI$5,AJ$6&gt;=$D$115),1,0),
IF(AND(AJ54=AI$5,AJ$6&gt;=$D$115),1,0),
IF(AND(AK54=AI$5,AJ$6&gt;=$D$115),1,0),
IF(AI54&amp;AL54=AM$5,1,0),
IF(AJ54=AI$5,2,0),
IF(AK54=AI$5,1,0),
IF(OR(AI54&amp;AJ54&amp;AK54=AI$5&amp;AJ$5&amp;AK$5,AI54&amp;AJ54&amp;AK54=AI$5&amp;AK$5&amp;AJ$5,AI54&amp;AJ54&amp;AK54=AJ$5&amp;AI$5&amp;AK$5,AI54&amp;AJ54&amp;AK54=AJ$5&amp;AK$5&amp;AI$5,AI54&amp;AJ54&amp;AK54=AK$5&amp;AI$5&amp;AJ$5,AI54&amp;AJ54&amp;AK54=AK$5&amp;AJ$5&amp;AI$5),2,0),IF(AND(AI54=AI$5,AJ$6&gt;=$D$129),1,0),IF(AND(AJ54=AI$5,AJ$6&gt;=$D$129),1,0),IF(AND(AK54=AI$5,AJ$6&gt;=$D$129),1,0),IF(AI54&amp;AL54=AL$5,4,0),IF(AND(AI54=AI$5,AJ$6&lt;=$D$104),-0.5,0),IF(AND(AJ54=AI$5,AJ$6&lt;=$D$104),-0.5,0),IF(AND(AK54=AI$5,AJ$6&lt;=$D$104),-0.5,0))</f>
        <v/>
      </c>
      <c r="AN54" s="145" t="n"/>
      <c r="AO54" s="146" t="n"/>
      <c r="AP54" s="146" t="n"/>
      <c r="AQ54" s="146" t="n"/>
      <c r="AR54" s="602">
        <f>SUM(IF(AN54=AN$5,4,0),IF(AN54&amp;AO54=AN$5&amp;AO$5,1,0),
IF(AND(AN54=AN$5,AO$6&gt;=$D$115),1,0),
IF(AND(AO54=AN$5,AO$6&gt;=$D$115),1,0),
IF(AND(AP54=AN$5,AO$6&gt;=$D$115),1,0),
IF(AN54&amp;AQ54=AR$5,1,0),
IF(AO54=AN$5,2,0),
IF(AP54=AN$5,1,0),
IF(OR(AN54&amp;AO54&amp;AP54=AN$5&amp;AO$5&amp;AP$5,AN54&amp;AO54&amp;AP54=AN$5&amp;AP$5&amp;AO$5,AN54&amp;AO54&amp;AP54=AO$5&amp;AN$5&amp;AP$5,AN54&amp;AO54&amp;AP54=AO$5&amp;AP$5&amp;AN$5,AN54&amp;AO54&amp;AP54=AP$5&amp;AN$5&amp;AO$5,AN54&amp;AO54&amp;AP54=AP$5&amp;AO$5&amp;AN$5),2,0),IF(AND(AN54=AN$5,AO$6&gt;=$D$129),1,0),IF(AND(AO54=AN$5,AO$6&gt;=$D$129),1,0),IF(AND(AP54=AN$5,AO$6&gt;=$D$129),1,0),IF(AN54&amp;AQ54=AQ$5,4,0),IF(AND(AN54=AN$5,AO$6&lt;=$D$104),-0.5,0),IF(AND(AO54=AN$5,AO$6&lt;=$D$104),-0.5,0),IF(AND(AP54=AN$5,AO$6&lt;=$D$104),-0.5,0))</f>
        <v/>
      </c>
      <c r="AS54" s="145" t="n"/>
      <c r="AT54" s="146" t="n"/>
      <c r="AU54" s="146" t="n"/>
      <c r="AV54" s="146" t="n"/>
      <c r="AW54" s="602">
        <f>SUM(IF(AS54=AS$5,4,0),IF(AS54&amp;AT54=AS$5&amp;AT$5,1,0),
IF(AND(AS54=AS$5,AT$6&gt;=$D$115),1,0),
IF(AND(AT54=AS$5,AT$6&gt;=$D$115),1,0),
IF(AND(AU54=AS$5,AT$6&gt;=$D$115),1,0),
IF(AS54&amp;AV54=AW$5,1,0),
IF(AT54=AS$5,2,0),
IF(AU54=AS$5,1,0),
IF(OR(AS54&amp;AT54&amp;AU54=AS$5&amp;AT$5&amp;AU$5,AS54&amp;AT54&amp;AU54=AS$5&amp;AU$5&amp;AT$5,AS54&amp;AT54&amp;AU54=AT$5&amp;AS$5&amp;AU$5,AS54&amp;AT54&amp;AU54=AT$5&amp;AU$5&amp;AS$5,AS54&amp;AT54&amp;AU54=AU$5&amp;AS$5&amp;AT$5,AS54&amp;AT54&amp;AU54=AU$5&amp;AT$5&amp;AS$5),2,0),IF(AND(AS54=AS$5,AT$6&gt;=$D$129),1,0),IF(AND(AT54=AS$5,AT$6&gt;=$D$129),1,0),IF(AND(AU54=AS$5,AT$6&gt;=$D$129),1,0),IF(AS54&amp;AV54=AV$5,4,0),IF(AND(AS54=AS$5,AT$6&lt;=$D$104),-0.5,0),IF(AND(AT54=AS$5,AT$6&lt;=$D$104),-0.5,0),IF(AND(AU54=AS$5,AT$6&lt;=$D$104),-0.5,0))</f>
        <v/>
      </c>
      <c r="AX54" s="145" t="n"/>
      <c r="AY54" s="146" t="n"/>
      <c r="AZ54" s="146" t="n"/>
      <c r="BA54" s="146" t="n"/>
      <c r="BB54" s="602">
        <f>SUM(IF(AX54=AX$5,4,0),IF(AX54&amp;AY54=AX$5&amp;AY$5,1,0),
IF(AND(AX54=AX$5,AY$6&gt;=$D$115),1,0),
IF(AND(AY54=AX$5,AY$6&gt;=$D$115),1,0),
IF(AND(AZ54=AX$5,AY$6&gt;=$D$115),1,0),
IF(AX54&amp;BA54=BB$5,1,0),
IF(AY54=AX$5,2,0),
IF(AZ54=AX$5,1,0),
IF(OR(AX54&amp;AY54&amp;AZ54=AX$5&amp;AY$5&amp;AZ$5,AX54&amp;AY54&amp;AZ54=AX$5&amp;AZ$5&amp;AY$5,AX54&amp;AY54&amp;AZ54=AY$5&amp;AX$5&amp;AZ$5,AX54&amp;AY54&amp;AZ54=AY$5&amp;AZ$5&amp;AX$5,AX54&amp;AY54&amp;AZ54=AZ$5&amp;AX$5&amp;AY$5,AX54&amp;AY54&amp;AZ54=AZ$5&amp;AY$5&amp;AX$5),2,0),IF(AND(AX54=AX$5,AY$6&gt;=$D$129),1,0),IF(AND(AY54=AX$5,AY$6&gt;=$D$129),1,0),IF(AND(AZ54=AX$5,AY$6&gt;=$D$129),1,0),IF(AX54&amp;BA54=BA$5,4,0),IF(AND(AX54=AX$5,AY$6&lt;=$D$104),-0.5,0),IF(AND(AY54=AX$5,AY$6&lt;=$D$104),-0.5,0),IF(AND(AZ54=AX$5,AY$6&lt;=$D$104),-0.5,0))</f>
        <v/>
      </c>
      <c r="BC54" s="145" t="n"/>
      <c r="BD54" s="146" t="n"/>
      <c r="BE54" s="146" t="n"/>
      <c r="BF54" s="146" t="n"/>
      <c r="BG54" s="602">
        <f>SUM(IF(BC54=BC$5,4,0),IF(BC54&amp;BD54=BC$5&amp;BD$5,1,0),
IF(AND(BC54=BC$5,BD$6&gt;=$D$115),1,0),
IF(AND(BD54=BC$5,BD$6&gt;=$D$115),1,0),
IF(AND(BE54=BC$5,BD$6&gt;=$D$115),1,0),
IF(BC54&amp;BF54=BG$5,1,0),
IF(BD54=BC$5,2,0),
IF(BE54=BC$5,1,0),
IF(OR(BC54&amp;BD54&amp;BE54=BC$5&amp;BD$5&amp;BE$5,BC54&amp;BD54&amp;BE54=BC$5&amp;BE$5&amp;BD$5,BC54&amp;BD54&amp;BE54=BD$5&amp;BC$5&amp;BE$5,BC54&amp;BD54&amp;BE54=BD$5&amp;BE$5&amp;BC$5,BC54&amp;BD54&amp;BE54=BE$5&amp;BC$5&amp;BD$5,BC54&amp;BD54&amp;BE54=BE$5&amp;BD$5&amp;BC$5),2,0),IF(AND(BC54=BC$5,BD$6&gt;=$D$129),1,0),IF(AND(BD54=BC$5,BD$6&gt;=$D$129),1,0),IF(AND(BE54=BC$5,BD$6&gt;=$D$129),1,0),IF(BC54&amp;BF54=BF$5,4,0),IF(AND(BC54=BC$5,BD$6&lt;=$D$104),-0.5,0),IF(AND(BD54=BC$5,BD$6&lt;=$D$104),-0.5,0),IF(AND(BE54=BC$5,BD$6&lt;=$D$104),-0.5,0))</f>
        <v/>
      </c>
      <c r="BH54" s="145" t="n"/>
      <c r="BI54" s="146" t="n"/>
      <c r="BJ54" s="146" t="n"/>
      <c r="BK54" s="146" t="n"/>
      <c r="BL54" s="602">
        <f>SUM(IF(BH54=BH$5,4,0),IF(BH54&amp;BI54=BH$5&amp;BI$5,1,0),
IF(AND(BH54=BH$5,BI$6&gt;=$D$115),1,0),
IF(AND(BI54=BH$5,BI$6&gt;=$D$115),1,0),
IF(AND(BJ54=BH$5,BI$6&gt;=$D$115),1,0),
IF(BH54&amp;BK54=BL$5,1,0),
IF(BI54=BH$5,2,0),
IF(BJ54=BH$5,1,0),
IF(OR(BH54&amp;BI54&amp;BJ54=BH$5&amp;BI$5&amp;BJ$5,BH54&amp;BI54&amp;BJ54=BH$5&amp;BJ$5&amp;BI$5,BH54&amp;BI54&amp;BJ54=BI$5&amp;BH$5&amp;BJ$5,BH54&amp;BI54&amp;BJ54=BI$5&amp;BJ$5&amp;BH$5,BH54&amp;BI54&amp;BJ54=BJ$5&amp;BH$5&amp;BI$5,BH54&amp;BI54&amp;BJ54=BJ$5&amp;BI$5&amp;BH$5),2,0),IF(AND(BH54=BH$5,BI$6&gt;=$D$129),1,0),IF(AND(BI54=BH$5,BI$6&gt;=$D$129),1,0),IF(AND(BJ54=BH$5,BI$6&gt;=$D$129),1,0),IF(BH54&amp;BK54=BK$5,4,0),IF(AND(BH54=BH$5,BI$6&lt;=$D$104),-0.5,0),IF(AND(BI54=BH$5,BI$6&lt;=$D$104),-0.5,0),IF(AND(BJ54=BH$5,BI$6&lt;=$D$104),-0.5,0))</f>
        <v/>
      </c>
      <c r="BM54" s="145" t="n"/>
      <c r="BN54" s="146" t="n"/>
      <c r="BO54" s="146" t="n"/>
      <c r="BP54" s="146" t="n"/>
      <c r="BQ54" s="602">
        <f>SUM(IF(BM54=BM$5,4,0),IF(BM54&amp;BN54=BM$5&amp;BN$5,1,0),
IF(AND(BM54=BM$5,BN$6&gt;=$D$115),1,0),
IF(AND(BN54=BM$5,BN$6&gt;=$D$115),1,0),
IF(AND(BO54=BM$5,BN$6&gt;=$D$115),1,0),
IF(BM54&amp;BP54=BQ$5,1,0),
IF(BN54=BM$5,2,0),
IF(BO54=BM$5,1,0),
IF(OR(BM54&amp;BN54&amp;BO54=BM$5&amp;BN$5&amp;BO$5,BM54&amp;BN54&amp;BO54=BM$5&amp;BO$5&amp;BN$5,BM54&amp;BN54&amp;BO54=BN$5&amp;BM$5&amp;BO$5,BM54&amp;BN54&amp;BO54=BN$5&amp;BO$5&amp;BM$5,BM54&amp;BN54&amp;BO54=BO$5&amp;BM$5&amp;BN$5,BM54&amp;BN54&amp;BO54=BO$5&amp;BN$5&amp;BM$5),2,0),IF(AND(BM54=BM$5,BN$6&gt;=$D$129),1,0),IF(AND(BN54=BM$5,BN$6&gt;=$D$129),1,0),IF(AND(BO54=BM$5,BN$6&gt;=$D$129),1,0),IF(BM54&amp;BP54=BP$5,4,0),IF(AND(BM54=BM$5,BN$6&lt;=$D$104),-0.5,0),IF(AND(BN54=BM$5,BN$6&lt;=$D$104),-0.5,0),IF(AND(BO54=BM$5,BN$6&lt;=$D$104),-0.5,0))</f>
        <v/>
      </c>
      <c r="BR54" s="145" t="n"/>
      <c r="BS54" s="146" t="n"/>
      <c r="BT54" s="146" t="n"/>
      <c r="BU54" s="146" t="n"/>
      <c r="BV54" s="602">
        <f>SUM(IF(BR54=BR$5,4,0),IF(BR54&amp;BS54=BR$5&amp;BS$5,1,0),
IF(AND(BR54=BR$5,BS$6&gt;=$D$115),1,0),
IF(AND(BS54=BR$5,BS$6&gt;=$D$115),1,0),
IF(AND(BT54=BR$5,BS$6&gt;=$D$115),1,0),
IF(BR54&amp;BU54=BV$5,1,0),
IF(BS54=BR$5,2,0),
IF(BT54=BR$5,1,0),
IF(OR(BR54&amp;BS54&amp;BT54=BR$5&amp;BS$5&amp;BT$5,BR54&amp;BS54&amp;BT54=BR$5&amp;BT$5&amp;BS$5,BR54&amp;BS54&amp;BT54=BS$5&amp;BR$5&amp;BT$5,BR54&amp;BS54&amp;BT54=BS$5&amp;BT$5&amp;BR$5,BR54&amp;BS54&amp;BT54=BT$5&amp;BR$5&amp;BS$5,BR54&amp;BS54&amp;BT54=BT$5&amp;BS$5&amp;BR$5),2,0),IF(AND(BR54=BR$5,BS$6&gt;=$D$129),1,0),IF(AND(BS54=BR$5,BS$6&gt;=$D$129),1,0),IF(AND(BT54=BR$5,BS$6&gt;=$D$129),1,0),IF(BR54&amp;BU54=BU$5,4,0),IF(AND(BR54=BR$5,BS$6&lt;=$D$104),-0.5,0),IF(AND(BS54=BR$5,BS$6&lt;=$D$104),-0.5,0),IF(AND(BT54=BR$5,BS$6&lt;=$D$104),-0.5,0))</f>
        <v/>
      </c>
      <c r="BW54" s="145" t="n"/>
      <c r="BX54" s="146" t="n"/>
      <c r="BY54" s="146" t="n"/>
      <c r="BZ54" s="146" t="n"/>
      <c r="CA54" s="602">
        <f>SUM(IF(BW54=BW$5,4,0),IF(BW54&amp;BX54=BW$5&amp;BX$5,1,0),
IF(AND(BW54=BW$5,BX$6&gt;=$D$115),1,0),
IF(AND(BX54=BW$5,BX$6&gt;=$D$115),1,0),
IF(AND(BY54=BW$5,BX$6&gt;=$D$115),1,0),
IF(BW54&amp;BZ54=CA$5,1,0),
IF(BX54=BW$5,2,0),
IF(BY54=BW$5,1,0),
IF(OR(BW54&amp;BX54&amp;BY54=BW$5&amp;BX$5&amp;BY$5,BW54&amp;BX54&amp;BY54=BW$5&amp;BY$5&amp;BX$5,BW54&amp;BX54&amp;BY54=BX$5&amp;BW$5&amp;BY$5,BW54&amp;BX54&amp;BY54=BX$5&amp;BY$5&amp;BW$5,BW54&amp;BX54&amp;BY54=BY$5&amp;BW$5&amp;BX$5,BW54&amp;BX54&amp;BY54=BY$5&amp;BX$5&amp;BW$5),2,0),IF(AND(BW54=BW$5,BX$6&gt;=$D$129),1,0),IF(AND(BX54=BW$5,BX$6&gt;=$D$129),1,0),IF(AND(BY54=BW$5,BX$6&gt;=$D$129),1,0),IF(BW54&amp;BZ54=BZ$5,4,0),IF(AND(BW54=BW$5,BX$6&lt;=$D$104),-0.5,0),IF(AND(BX54=BW$5,BX$6&lt;=$D$104),-0.5,0),IF(AND(BY54=BW$5,BX$6&lt;=$D$104),-0.5,0))</f>
        <v/>
      </c>
      <c r="CB54" s="145" t="n"/>
      <c r="CC54" s="146" t="n"/>
      <c r="CD54" s="146" t="n"/>
      <c r="CE54" s="146" t="n"/>
      <c r="CF54" s="602">
        <f>SUM(IF(CB54=CB$5,4,0),IF(CB54&amp;CC54=CB$5&amp;CC$5,1,0),
IF(AND(CB54=CB$5,CC$6&gt;=$D$115),1,0),
IF(AND(CC54=CB$5,CC$6&gt;=$D$115),1,0),
IF(AND(CD54=CB$5,CC$6&gt;=$D$115),1,0),
IF(CB54&amp;CE54=CF$5,1,0),
IF(CC54=CB$5,2,0),
IF(CD54=CB$5,1,0),
IF(OR(CB54&amp;CC54&amp;CD54=CB$5&amp;CC$5&amp;CD$5,CB54&amp;CC54&amp;CD54=CB$5&amp;CD$5&amp;CC$5,CB54&amp;CC54&amp;CD54=CC$5&amp;CB$5&amp;CD$5,CB54&amp;CC54&amp;CD54=CC$5&amp;CD$5&amp;CB$5,CB54&amp;CC54&amp;CD54=CD$5&amp;CB$5&amp;CC$5,CB54&amp;CC54&amp;CD54=CD$5&amp;CC$5&amp;CB$5),2,0),IF(AND(CB54=CB$5,CC$6&gt;=$D$129),1,0),IF(AND(CC54=CB$5,CC$6&gt;=$D$129),1,0),IF(AND(CD54=CB$5,CC$6&gt;=$D$129),1,0),IF(CB54&amp;CE54=CE$5,4,0),IF(AND(CB54=CB$5,CC$6&lt;=$D$104),-0.5,0),IF(AND(CC54=CB$5,CC$6&lt;=$D$104),-0.5,0),IF(AND(CD54=CB$5,CC$6&lt;=$D$104),-0.5,0))</f>
        <v/>
      </c>
      <c r="CG54" s="164">
        <f>IF(BASE01[[#This Row],[1]]="",0,$B$4)</f>
        <v/>
      </c>
      <c r="CH54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4" s="189">
        <f>IF(BASE01[[#This Row],[Columna14]]=0,0,(CH54/CG54))</f>
        <v/>
      </c>
      <c r="CJ54" s="165">
        <f>IF(BASE01[[#This Row],[1]]="",0,$B$4)</f>
        <v/>
      </c>
      <c r="CK54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4" s="189">
        <f>IF(BASE01[[#This Row],[Columna14]]=0,0,(CK54/CJ54))</f>
        <v/>
      </c>
      <c r="CM54" s="164">
        <f>IF(BASE01[[#This Row],[1]]="",0,$B$4)</f>
        <v/>
      </c>
      <c r="CN54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4" s="189">
        <f>IF(BASE01[[#This Row],[Columna14]]=0,0,(CN54/CM54))</f>
        <v/>
      </c>
      <c r="CP54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4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Row],[Columna25]],$AX$5,BA54,"SF")+COUNTIFS(BASE01[[#This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4" s="189">
        <f>IF(BASE01[[#This Row],[Columna14]]=0,0,(CQ54/CP54))</f>
        <v/>
      </c>
      <c r="CS54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4" s="95" t="n"/>
      <c r="CU54" s="604">
        <f>SUM(CS54,CT54)</f>
        <v/>
      </c>
      <c r="CV54" s="96">
        <f>IF(BASE01[[#This Row],[TIPO]]="PREMIO",$O$3,"0,00")</f>
        <v/>
      </c>
      <c r="CW54" s="576" t="n"/>
      <c r="CY54" s="606">
        <f>IF(CZ54="","",$CZ$25)</f>
        <v/>
      </c>
      <c r="CZ54" s="392" t="n"/>
      <c r="DA54" s="392">
        <f t="array" ref="DA54">IF(CZ54="", "", IF((INDEX(E$8:CE$57, MATCH(CZ54, C$8:C$57, 0), ($CZ$25-1)*5 + 1) &amp; "") = (INDEX(E$5:CE$5, 1, ($CZ$25-1)*5 + 1) &amp; ""), 1, IF((INDEX(E$8:CE$57, MATCH(CZ54, C$8:C$57, 0), ($CZ$25-1)*5 + 2) &amp; "") = (INDEX(E$5:CE$5, 1, ($CZ$25-1)*5 + 1) &amp; ""), 2, IF((INDEX(E$8:CE$57, MATCH(CZ54, C$8:C$57, 0), ($CZ$25-1)*5 + 3) &amp; "") = (INDEX(E$5:CE$5, 1, ($CZ$25-1)*5 + 1) &amp; ""), 3, ""))))</f>
        <v/>
      </c>
      <c r="DB54" s="605">
        <f>BASE01[[#This Row],[COD]]</f>
        <v/>
      </c>
      <c r="DC54" s="395">
        <f t="array" ref="DC54">IFERROR(IF(AND(INDEX($E$8:$CE$57, MATCH($C54, $C$8:$C$57, 0), (COLUMNS($DC54:DC54)-1)*5 + 1) = INDEX($E$5:$CE$5, 1, (COLUMNS($DC54:DC54)-1)*5 + 1), INDEX($E$8:$CE$57, MATCH($C54, $C$8:$C$57, 0), (COLUMNS($DC54:DC54)-1)*5 + 4) = "F"), INDEX($CZ$8:$CZ$23, COLUMNS($DC54:DC54)), "0"), "")</f>
        <v/>
      </c>
      <c r="DD54" s="395">
        <f t="array" ref="DD54">IFERROR(IF(AND(INDEX($E$8:$CE$57, MATCH($C54, $C$8:$C$57, 0), (COLUMNS($DC54:DD54)-1)*5 + 1) = INDEX($E$5:$CE$5, 1, (COLUMNS($DC54:DD54)-1)*5 + 1), INDEX($E$8:$CE$57, MATCH($C54, $C$8:$C$57, 0), (COLUMNS($DC54:DD54)-1)*5 + 4) = "F"), INDEX($CZ$8:$CZ$23, COLUMNS($DC54:DD54)), "0"), "")</f>
        <v/>
      </c>
      <c r="DE54" s="395">
        <f t="array" ref="DE54">IFERROR(IF(AND(INDEX($E$8:$CE$57, MATCH($C54, $C$8:$C$57, 0), (COLUMNS($DC54:DE54)-1)*5 + 1) = INDEX($E$5:$CE$5, 1, (COLUMNS($DC54:DE54)-1)*5 + 1), INDEX($E$8:$CE$57, MATCH($C54, $C$8:$C$57, 0), (COLUMNS($DC54:DE54)-1)*5 + 4) = "F"), INDEX($CZ$8:$CZ$23, COLUMNS($DC54:DE54)), "0"), "")</f>
        <v/>
      </c>
      <c r="DF54" s="395">
        <f t="array" ref="DF54">IFERROR(IF(AND(INDEX($E$8:$CE$57, MATCH($C54, $C$8:$C$57, 0), (COLUMNS($DC54:DF54)-1)*5 + 1) = INDEX($E$5:$CE$5, 1, (COLUMNS($DC54:DF54)-1)*5 + 1), INDEX($E$8:$CE$57, MATCH($C54, $C$8:$C$57, 0), (COLUMNS($DC54:DF54)-1)*5 + 4) = "F"), INDEX($CZ$8:$CZ$23, COLUMNS($DC54:DF54)), "0"), "")</f>
        <v/>
      </c>
      <c r="DG54" s="395">
        <f t="array" ref="DG54">IFERROR(IF(AND(INDEX($E$8:$CE$57, MATCH($C54, $C$8:$C$57, 0), (COLUMNS($DC54:DG54)-1)*5 + 1) = INDEX($E$5:$CE$5, 1, (COLUMNS($DC54:DG54)-1)*5 + 1), INDEX($E$8:$CE$57, MATCH($C54, $C$8:$C$57, 0), (COLUMNS($DC54:DG54)-1)*5 + 4) = "F"), INDEX($CZ$8:$CZ$23, COLUMNS($DC54:DG54)), "0"), "")</f>
        <v/>
      </c>
      <c r="DH54" s="395">
        <f t="array" ref="DH54">IFERROR(IF(AND(INDEX($E$8:$CE$57, MATCH($C54, $C$8:$C$57, 0), (COLUMNS($DC54:DH54)-1)*5 + 1) = INDEX($E$5:$CE$5, 1, (COLUMNS($DC54:DH54)-1)*5 + 1), INDEX($E$8:$CE$57, MATCH($C54, $C$8:$C$57, 0), (COLUMNS($DC54:DH54)-1)*5 + 4) = "F"), INDEX($CZ$8:$CZ$23, COLUMNS($DC54:DH54)), "0"), "")</f>
        <v/>
      </c>
      <c r="DI54" s="395">
        <f t="array" ref="DI54">IFERROR(IF(AND(INDEX($E$8:$CE$57, MATCH($C54, $C$8:$C$57, 0), (COLUMNS($DC54:DI54)-1)*5 + 1) = INDEX($E$5:$CE$5, 1, (COLUMNS($DC54:DI54)-1)*5 + 1), INDEX($E$8:$CE$57, MATCH($C54, $C$8:$C$57, 0), (COLUMNS($DC54:DI54)-1)*5 + 4) = "F"), INDEX($CZ$8:$CZ$23, COLUMNS($DC54:DI54)), "0"), "")</f>
        <v/>
      </c>
      <c r="DJ54" s="395">
        <f t="array" ref="DJ54">IFERROR(IF(AND(INDEX($E$8:$CE$57, MATCH($C54, $C$8:$C$57, 0), (COLUMNS($DC54:DJ54)-1)*5 + 1) = INDEX($E$5:$CE$5, 1, (COLUMNS($DC54:DJ54)-1)*5 + 1), INDEX($E$8:$CE$57, MATCH($C54, $C$8:$C$57, 0), (COLUMNS($DC54:DJ54)-1)*5 + 4) = "F"), INDEX($CZ$8:$CZ$23, COLUMNS($DC54:DJ54)), "0"), "")</f>
        <v/>
      </c>
      <c r="DK54" s="395">
        <f t="array" ref="DK54">IFERROR(IF(AND(INDEX($E$8:$CE$57, MATCH($C54, $C$8:$C$57, 0), (COLUMNS($DC54:DK54)-1)*5 + 1) = INDEX($E$5:$CE$5, 1, (COLUMNS($DC54:DK54)-1)*5 + 1), INDEX($E$8:$CE$57, MATCH($C54, $C$8:$C$57, 0), (COLUMNS($DC54:DK54)-1)*5 + 4) = "F"), INDEX($CZ$8:$CZ$23, COLUMNS($DC54:DK54)), "0"), "")</f>
        <v/>
      </c>
      <c r="DL54" s="395">
        <f t="array" ref="DL54">IFERROR(IF(AND(INDEX($E$8:$CE$57, MATCH($C54, $C$8:$C$57, 0), (COLUMNS($DC54:DL54)-1)*5 + 1) = INDEX($E$5:$CE$5, 1, (COLUMNS($DC54:DL54)-1)*5 + 1), INDEX($E$8:$CE$57, MATCH($C54, $C$8:$C$57, 0), (COLUMNS($DC54:DL54)-1)*5 + 4) = "F"), INDEX($CZ$8:$CZ$23, COLUMNS($DC54:DL54)), "0"), "")</f>
        <v/>
      </c>
      <c r="DM54" s="395">
        <f t="array" ref="DM54">IFERROR(IF(AND(INDEX($E$8:$CE$57, MATCH($C54, $C$8:$C$57, 0), (COLUMNS($DC54:DM54)-1)*5 + 1) = INDEX($E$5:$CE$5, 1, (COLUMNS($DC54:DM54)-1)*5 + 1), INDEX($E$8:$CE$57, MATCH($C54, $C$8:$C$57, 0), (COLUMNS($DC54:DM54)-1)*5 + 4) = "F"), INDEX($CZ$8:$CZ$23, COLUMNS($DC54:DM54)), "0"), "")</f>
        <v/>
      </c>
      <c r="DN54" s="395">
        <f t="array" ref="DN54">IFERROR(IF(AND(INDEX($E$8:$CE$57, MATCH($C54, $C$8:$C$57, 0), (COLUMNS($DC54:DN54)-1)*5 + 1) = INDEX($E$5:$CE$5, 1, (COLUMNS($DC54:DN54)-1)*5 + 1), INDEX($E$8:$CE$57, MATCH($C54, $C$8:$C$57, 0), (COLUMNS($DC54:DN54)-1)*5 + 4) = "F"), INDEX($CZ$8:$CZ$23, COLUMNS($DC54:DN54)), "0"), "")</f>
        <v/>
      </c>
      <c r="DO54" s="395">
        <f t="array" ref="DO54">IFERROR(IF(AND(INDEX($E$8:$CE$57, MATCH($C54, $C$8:$C$57, 0), (COLUMNS($DC54:DO54)-1)*5 + 1) = INDEX($E$5:$CE$5, 1, (COLUMNS($DC54:DO54)-1)*5 + 1), INDEX($E$8:$CE$57, MATCH($C54, $C$8:$C$57, 0), (COLUMNS($DC54:DO54)-1)*5 + 4) = "F"), INDEX($CZ$8:$CZ$23, COLUMNS($DC54:DO54)), "0"), "")</f>
        <v/>
      </c>
      <c r="DP54" s="395">
        <f t="array" ref="DP54">IFERROR(IF(AND(INDEX($E$8:$CE$57, MATCH($C54, $C$8:$C$57, 0), (COLUMNS($DC54:DP54)-1)*5 + 1) = INDEX($E$5:$CE$5, 1, (COLUMNS($DC54:DP54)-1)*5 + 1), INDEX($E$8:$CE$57, MATCH($C54, $C$8:$C$57, 0), (COLUMNS($DC54:DP54)-1)*5 + 4) = "F"), INDEX($CZ$8:$CZ$23, COLUMNS($DC54:DP54)), "0"), "")</f>
        <v/>
      </c>
      <c r="DQ54" s="395">
        <f t="array" ref="DQ54">IFERROR(IF(AND(INDEX($E$8:$CE$57, MATCH($C54, $C$8:$C$57, 0), (COLUMNS($DC54:DQ54)-1)*5 + 1) = INDEX($E$5:$CE$5, 1, (COLUMNS($DC54:DQ54)-1)*5 + 1), INDEX($E$8:$CE$57, MATCH($C54, $C$8:$C$57, 0), (COLUMNS($DC54:DQ54)-1)*5 + 4) = "F"), INDEX($CZ$8:$CZ$23, COLUMNS($DC54:DQ54)), "0"), "")</f>
        <v/>
      </c>
      <c r="DR54" s="395">
        <f t="array" ref="DR54">IFERROR(IF(AND(INDEX($E$8:$CE$57, MATCH($C54, $C$8:$C$57, 0), (COLUMNS($DC54:DR54)-1)*5 + 1) = INDEX($E$5:$CE$5, 1, (COLUMNS($DC54:DR54)-1)*5 + 1), INDEX($E$8:$CE$57, MATCH($C54, $C$8:$C$57, 0), (COLUMNS($DC54:DR54)-1)*5 + 4) = "F"), INDEX($CZ$8:$CZ$23, COLUMNS($DC54:DR54)), "0"), "")</f>
        <v/>
      </c>
      <c r="DT54" s="605">
        <f>BASE01[[#This Row],[COD]]</f>
        <v/>
      </c>
      <c r="DU54" s="395">
        <f t="array" ref="DU54">IFERROR(IF(AND(INDEX($E$8:$CE$57, MATCH($C54, $C$8:$C$57, 0), (COLUMNS($DU54:DU54)-1)*5 + 1) = INDEX($E$5:$CE$5, 1, (COLUMNS($DU54:DU54)-1)*5 + 1), INDEX($E$8:$CE$57, MATCH($C54, $C$8:$C$57, 0), (COLUMNS($DU54:DU54)-1)*5 + 4) = "SF"), INDEX($CZ$8:$CZ$23, COLUMNS($DU54:DU54)), "0"), "")</f>
        <v/>
      </c>
      <c r="DV54" s="395">
        <f t="array" ref="DV54">IFERROR(IF(AND(INDEX($E$8:$CE$57, MATCH($C54, $C$8:$C$57, 0), (COLUMNS($DU54:DV54)-1)*5 + 1) = INDEX($E$5:$CE$5, 1, (COLUMNS($DU54:DV54)-1)*5 + 1), INDEX($E$8:$CE$57, MATCH($C54, $C$8:$C$57, 0), (COLUMNS($DU54:DV54)-1)*5 + 4) = "SF"), INDEX($CZ$8:$CZ$23, COLUMNS($DU54:DV54)), "0"), "")</f>
        <v/>
      </c>
      <c r="DW54" s="395">
        <f t="array" ref="DW54">IFERROR(IF(AND(INDEX($E$8:$CE$57, MATCH($C54, $C$8:$C$57, 0), (COLUMNS($DU54:DW54)-1)*5 + 1) = INDEX($E$5:$CE$5, 1, (COLUMNS($DU54:DW54)-1)*5 + 1), INDEX($E$8:$CE$57, MATCH($C54, $C$8:$C$57, 0), (COLUMNS($DU54:DW54)-1)*5 + 4) = "SF"), INDEX($CZ$8:$CZ$23, COLUMNS($DU54:DW54)), "0"), "")</f>
        <v/>
      </c>
      <c r="DX54" s="395">
        <f t="array" ref="DX54">IFERROR(IF(AND(INDEX($E$8:$CE$57, MATCH($C54, $C$8:$C$57, 0), (COLUMNS($DU54:DX54)-1)*5 + 1) = INDEX($E$5:$CE$5, 1, (COLUMNS($DU54:DX54)-1)*5 + 1), INDEX($E$8:$CE$57, MATCH($C54, $C$8:$C$57, 0), (COLUMNS($DU54:DX54)-1)*5 + 4) = "SF"), INDEX($CZ$8:$CZ$23, COLUMNS($DU54:DX54)), "0"), "")</f>
        <v/>
      </c>
      <c r="DY54" s="395">
        <f t="array" ref="DY54">IFERROR(IF(AND(INDEX($E$8:$CE$57, MATCH($C54, $C$8:$C$57, 0), (COLUMNS($DU54:DY54)-1)*5 + 1) = INDEX($E$5:$CE$5, 1, (COLUMNS($DU54:DY54)-1)*5 + 1), INDEX($E$8:$CE$57, MATCH($C54, $C$8:$C$57, 0), (COLUMNS($DU54:DY54)-1)*5 + 4) = "SF"), INDEX($CZ$8:$CZ$23, COLUMNS($DU54:DY54)), "0"), "")</f>
        <v/>
      </c>
      <c r="DZ54" s="395">
        <f t="array" ref="DZ54">IFERROR(IF(AND(INDEX($E$8:$CE$57, MATCH($C54, $C$8:$C$57, 0), (COLUMNS($DU54:DZ54)-1)*5 + 1) = INDEX($E$5:$CE$5, 1, (COLUMNS($DU54:DZ54)-1)*5 + 1), INDEX($E$8:$CE$57, MATCH($C54, $C$8:$C$57, 0), (COLUMNS($DU54:DZ54)-1)*5 + 4) = "SF"), INDEX($CZ$8:$CZ$23, COLUMNS($DU54:DZ54)), "0"), "")</f>
        <v/>
      </c>
      <c r="EA54" s="395">
        <f t="array" ref="EA54">IFERROR(IF(AND(INDEX($E$8:$CE$57, MATCH($C54, $C$8:$C$57, 0), (COLUMNS($DU54:EA54)-1)*5 + 1) = INDEX($E$5:$CE$5, 1, (COLUMNS($DU54:EA54)-1)*5 + 1), INDEX($E$8:$CE$57, MATCH($C54, $C$8:$C$57, 0), (COLUMNS($DU54:EA54)-1)*5 + 4) = "SF"), INDEX($CZ$8:$CZ$23, COLUMNS($DU54:EA54)), "0"), "")</f>
        <v/>
      </c>
      <c r="EB54" s="395">
        <f t="array" ref="EB54">IFERROR(IF(AND(INDEX($E$8:$CE$57, MATCH($C54, $C$8:$C$57, 0), (COLUMNS($DU54:EB54)-1)*5 + 1) = INDEX($E$5:$CE$5, 1, (COLUMNS($DU54:EB54)-1)*5 + 1), INDEX($E$8:$CE$57, MATCH($C54, $C$8:$C$57, 0), (COLUMNS($DU54:EB54)-1)*5 + 4) = "SF"), INDEX($CZ$8:$CZ$23, COLUMNS($DU54:EB54)), "0"), "")</f>
        <v/>
      </c>
      <c r="EC54" s="395">
        <f t="array" ref="EC54">IFERROR(IF(AND(INDEX($E$8:$CE$57, MATCH($C54, $C$8:$C$57, 0), (COLUMNS($DU54:EC54)-1)*5 + 1) = INDEX($E$5:$CE$5, 1, (COLUMNS($DU54:EC54)-1)*5 + 1), INDEX($E$8:$CE$57, MATCH($C54, $C$8:$C$57, 0), (COLUMNS($DU54:EC54)-1)*5 + 4) = "SF"), INDEX($CZ$8:$CZ$23, COLUMNS($DU54:EC54)), "0"), "")</f>
        <v/>
      </c>
      <c r="ED54" s="395">
        <f t="array" ref="ED54">IFERROR(IF(AND(INDEX($E$8:$CE$57, MATCH($C54, $C$8:$C$57, 0), (COLUMNS($DU54:ED54)-1)*5 + 1) = INDEX($E$5:$CE$5, 1, (COLUMNS($DU54:ED54)-1)*5 + 1), INDEX($E$8:$CE$57, MATCH($C54, $C$8:$C$57, 0), (COLUMNS($DU54:ED54)-1)*5 + 4) = "SF"), INDEX($CZ$8:$CZ$23, COLUMNS($DU54:ED54)), "0"), "")</f>
        <v/>
      </c>
      <c r="EE54" s="395">
        <f t="array" ref="EE54">IFERROR(IF(AND(INDEX($E$8:$CE$57, MATCH($C54, $C$8:$C$57, 0), (COLUMNS($DU54:EE54)-1)*5 + 1) = INDEX($E$5:$CE$5, 1, (COLUMNS($DU54:EE54)-1)*5 + 1), INDEX($E$8:$CE$57, MATCH($C54, $C$8:$C$57, 0), (COLUMNS($DU54:EE54)-1)*5 + 4) = "SF"), INDEX($CZ$8:$CZ$23, COLUMNS($DU54:EE54)), "0"), "")</f>
        <v/>
      </c>
      <c r="EF54" s="395">
        <f t="array" ref="EF54">IFERROR(IF(AND(INDEX($E$8:$CE$57, MATCH($C54, $C$8:$C$57, 0), (COLUMNS($DU54:EF54)-1)*5 + 1) = INDEX($E$5:$CE$5, 1, (COLUMNS($DU54:EF54)-1)*5 + 1), INDEX($E$8:$CE$57, MATCH($C54, $C$8:$C$57, 0), (COLUMNS($DU54:EF54)-1)*5 + 4) = "SF"), INDEX($CZ$8:$CZ$23, COLUMNS($DU54:EF54)), "0"), "")</f>
        <v/>
      </c>
      <c r="EG54" s="395">
        <f t="array" ref="EG54">IFERROR(IF(AND(INDEX($E$8:$CE$57, MATCH($C54, $C$8:$C$57, 0), (COLUMNS($DU54:EG54)-1)*5 + 1) = INDEX($E$5:$CE$5, 1, (COLUMNS($DU54:EG54)-1)*5 + 1), INDEX($E$8:$CE$57, MATCH($C54, $C$8:$C$57, 0), (COLUMNS($DU54:EG54)-1)*5 + 4) = "SF"), INDEX($CZ$8:$CZ$23, COLUMNS($DU54:EG54)), "0"), "")</f>
        <v/>
      </c>
      <c r="EH54" s="395">
        <f t="array" ref="EH54">IFERROR(IF(AND(INDEX($E$8:$CE$57, MATCH($C54, $C$8:$C$57, 0), (COLUMNS($DU54:EH54)-1)*5 + 1) = INDEX($E$5:$CE$5, 1, (COLUMNS($DU54:EH54)-1)*5 + 1), INDEX($E$8:$CE$57, MATCH($C54, $C$8:$C$57, 0), (COLUMNS($DU54:EH54)-1)*5 + 4) = "SF"), INDEX($CZ$8:$CZ$23, COLUMNS($DU54:EH54)), "0"), "")</f>
        <v/>
      </c>
      <c r="EI54" s="395">
        <f t="array" ref="EI54">IFERROR(IF(AND(INDEX($E$8:$CE$57, MATCH($C54, $C$8:$C$57, 0), (COLUMNS($DU54:EI54)-1)*5 + 1) = INDEX($E$5:$CE$5, 1, (COLUMNS($DU54:EI54)-1)*5 + 1), INDEX($E$8:$CE$57, MATCH($C54, $C$8:$C$57, 0), (COLUMNS($DU54:EI54)-1)*5 + 4) = "SF"), INDEX($CZ$8:$CZ$23, COLUMNS($DU54:EI54)), "0"), "")</f>
        <v/>
      </c>
      <c r="EJ54" s="395">
        <f t="array" ref="EJ54">IFERROR(IF(AND(INDEX($E$8:$CE$57, MATCH($C54, $C$8:$C$57, 0), (COLUMNS($DU54:EJ54)-1)*5 + 1) = INDEX($E$5:$CE$5, 1, (COLUMNS($DU54:EJ54)-1)*5 + 1), INDEX($E$8:$CE$57, MATCH($C54, $C$8:$C$57, 0), (COLUMNS($DU54:EJ54)-1)*5 + 4) = "SF"), INDEX($CZ$8:$CZ$23, COLUMNS($DU54:EJ54)), "0"), "")</f>
        <v/>
      </c>
    </row>
    <row r="55" outlineLevel="1" ht="20.1" customHeight="1" s="568">
      <c r="A55" s="576" t="n"/>
      <c r="B55" s="92">
        <f>IF(BASE01[[#This Row],[COD]]&lt;&gt;"",B54+1,"")</f>
        <v/>
      </c>
      <c r="C55" s="601" t="inlineStr">
        <is>
          <t>COD 48</t>
        </is>
      </c>
      <c r="D55" s="93">
        <f t="array" ref="D55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5" s="145" t="n"/>
      <c r="F55" s="146" t="n"/>
      <c r="G55" s="146" t="n"/>
      <c r="H55" s="146" t="n"/>
      <c r="I55" s="602">
        <f>SUM(IF(E55=E$5,4,0),IF(E55&amp;F55=E$5&amp;F$5,1,0),
IF(AND(E55=E$5,F$6&gt;=$D$115),1,0),
IF(AND(F55=E$5,F$6&gt;=$D$115),1,0),
IF(AND(G55=E$5,F$6&gt;=$D$115),1,0),
IF(E55&amp;H55=I$5,1,0),
IF(F55=E$5,2,0),
IF(G55=E$5,1,0),
IF(OR(E55&amp;F55&amp;G55=E$5&amp;F$5&amp;G$5,E55&amp;F55&amp;G55=E$5&amp;G$5&amp;F$5,E55&amp;F55&amp;G55=F$5&amp;E$5&amp;G$5,E55&amp;F55&amp;G55=F$5&amp;G$5&amp;E$5,E55&amp;F55&amp;G55=G$5&amp;E$5&amp;F$5,E55&amp;F55&amp;G55=G$5&amp;F$5&amp;E$5),2,0),IF(AND(E55=E$5,F$6&gt;=$D$129),1,0),IF(AND(F55=E$5,F$6&gt;=$D$129),1,0),IF(AND(G55=E$5,F$6&gt;=$D$129),1,0),IF(E55&amp;H55=H$5,4,0),IF(AND(E55=E$5,F$6&lt;=$D$104),-0.5,0),IF(AND(F55=E$5,F$6&lt;=$D$104),-0.5,0),IF(AND(G55=E$5,F$6&lt;=$D$104),-0.5,0))</f>
        <v/>
      </c>
      <c r="J55" s="145" t="n"/>
      <c r="K55" s="146" t="n"/>
      <c r="L55" s="146" t="n"/>
      <c r="M55" s="146" t="n"/>
      <c r="N55" s="602">
        <f>SUM(IF(J55=J$5,4,0),IF(J55&amp;K55=J$5&amp;K$5,1,0),
IF(AND(J55=J$5,K$6&gt;=$D$115),1,0),
IF(AND(K55=J$5,K$6&gt;=$D$115),1,0),
IF(AND(L55=J$5,K$6&gt;=$D$115),1,0),
IF(J55&amp;M55=N$5,1,0),
IF(K55=J$5,2,0),
IF(L55=J$5,1,0),
IF(OR(J55&amp;K55&amp;L55=J$5&amp;K$5&amp;L$5,J55&amp;K55&amp;L55=J$5&amp;L$5&amp;K$5,J55&amp;K55&amp;L55=K$5&amp;J$5&amp;L$5,J55&amp;K55&amp;L55=K$5&amp;L$5&amp;J$5,J55&amp;K55&amp;L55=L$5&amp;J$5&amp;K$5,J55&amp;K55&amp;L55=L$5&amp;K$5&amp;J$5),2,0),IF(AND(J55=J$5,K$6&gt;=$D$129),1,0),IF(AND(K55=J$5,K$6&gt;=$D$129),1,0),IF(AND(L55=J$5,K$6&gt;=$D$129),1,0),IF(J55&amp;M55=M$5,4,0),IF(AND(J55=J$5,K$6&lt;=$D$104),-0.5,0),IF(AND(K55=J$5,K$6&lt;=$D$104),-0.5,0),IF(AND(L55=J$5,K$6&lt;=$D$104),-0.5,0))</f>
        <v/>
      </c>
      <c r="O55" s="145" t="n"/>
      <c r="P55" s="146" t="n"/>
      <c r="Q55" s="146" t="n"/>
      <c r="R55" s="146" t="n"/>
      <c r="S55" s="602">
        <f>SUM(IF(O55=O$5,4,0),IF(O55&amp;P55=O$5&amp;P$5,1,0),
IF(AND(O55=O$5,P$6&gt;=$D$115),1,0),
IF(AND(P55=O$5,P$6&gt;=$D$115),1,0),
IF(AND(Q55=O$5,P$6&gt;=$D$115),1,0),
IF(O55&amp;R55=S$5,1,0),
IF(P55=O$5,2,0),
IF(Q55=O$5,1,0),
IF(OR(O55&amp;P55&amp;Q55=O$5&amp;P$5&amp;Q$5,O55&amp;P55&amp;Q55=O$5&amp;Q$5&amp;P$5,O55&amp;P55&amp;Q55=P$5&amp;O$5&amp;Q$5,O55&amp;P55&amp;Q55=P$5&amp;Q$5&amp;O$5,O55&amp;P55&amp;Q55=Q$5&amp;O$5&amp;P$5,O55&amp;P55&amp;Q55=Q$5&amp;P$5&amp;O$5),2,0),IF(AND(O55=O$5,P$6&gt;=$D$129),1,0),IF(AND(P55=O$5,P$6&gt;=$D$129),1,0),IF(AND(Q55=O$5,P$6&gt;=$D$129),1,0),IF(O55&amp;R55=R$5,4,0),IF(AND(O55=O$5,P$6&lt;=$D$104),-0.5,0),IF(AND(P55=O$5,P$6&lt;=$D$104),-0.5,0),IF(AND(Q55=O$5,P$6&lt;=$D$104),-0.5,0))</f>
        <v/>
      </c>
      <c r="T55" s="145" t="n"/>
      <c r="U55" s="146" t="n"/>
      <c r="V55" s="146" t="n"/>
      <c r="W55" s="146" t="n"/>
      <c r="X55" s="602">
        <f>SUM(IF(T55=T$5,4,0),IF(T55&amp;U55=T$5&amp;U$5,1,0),
IF(AND(T55=T$5,U$6&gt;=$D$115),1,0),
IF(AND(U55=T$5,U$6&gt;=$D$115),1,0),
IF(AND(V55=T$5,U$6&gt;=$D$115),1,0),
IF(T55&amp;W55=X$5,1,0),
IF(U55=T$5,2,0),
IF(V55=T$5,1,0),
IF(OR(T55&amp;U55&amp;V55=T$5&amp;U$5&amp;V$5,T55&amp;U55&amp;V55=T$5&amp;V$5&amp;U$5,T55&amp;U55&amp;V55=U$5&amp;T$5&amp;V$5,T55&amp;U55&amp;V55=U$5&amp;V$5&amp;T$5,T55&amp;U55&amp;V55=V$5&amp;T$5&amp;U$5,T55&amp;U55&amp;V55=V$5&amp;U$5&amp;T$5),2,0),IF(AND(T55=T$5,U$6&gt;=$D$129),1,0),IF(AND(U55=T$5,U$6&gt;=$D$129),1,0),IF(AND(V55=T$5,U$6&gt;=$D$129),1,0),IF(T55&amp;W55=W$5,4,0),IF(AND(T55=T$5,U$6&lt;=$D$104),-0.5,0),IF(AND(U55=T$5,U$6&lt;=$D$104),-0.5,0),IF(AND(V55=T$5,U$6&lt;=$D$104),-0.5,0))</f>
        <v/>
      </c>
      <c r="Y55" s="145" t="n"/>
      <c r="Z55" s="146" t="n"/>
      <c r="AA55" s="146" t="n"/>
      <c r="AB55" s="146" t="n"/>
      <c r="AC55" s="602">
        <f>SUM(IF(Y55=Y$5,4,0),IF(Y55&amp;Z55=Y$5&amp;Z$5,1,0),
IF(AND(Y55=Y$5,Z$6&gt;=$D$115),1,0),
IF(AND(Z55=Y$5,Z$6&gt;=$D$115),1,0),
IF(AND(AA55=Y$5,Z$6&gt;=$D$115),1,0),
IF(Y55&amp;AB55=AC$5,1,0),
IF(Z55=Y$5,2,0),
IF(AA55=Y$5,1,0),
IF(OR(Y55&amp;Z55&amp;AA55=Y$5&amp;Z$5&amp;AA$5,Y55&amp;Z55&amp;AA55=Y$5&amp;AA$5&amp;Z$5,Y55&amp;Z55&amp;AA55=Z$5&amp;Y$5&amp;AA$5,Y55&amp;Z55&amp;AA55=Z$5&amp;AA$5&amp;Y$5,Y55&amp;Z55&amp;AA55=AA$5&amp;Y$5&amp;Z$5,Y55&amp;Z55&amp;AA55=AA$5&amp;Z$5&amp;Y$5),2,0),IF(AND(Y55=Y$5,Z$6&gt;=$D$129),1,0),IF(AND(Z55=Y$5,Z$6&gt;=$D$129),1,0),IF(AND(AA55=Y$5,Z$6&gt;=$D$129),1,0),IF(Y55&amp;AB55=AB$5,4,0),IF(AND(Y55=Y$5,Z$6&lt;=$D$104),-0.5,0),IF(AND(Z55=Y$5,Z$6&lt;=$D$104),-0.5,0),IF(AND(AA55=Y$5,Z$6&lt;=$D$104),-0.5,0))</f>
        <v/>
      </c>
      <c r="AD55" s="145" t="n"/>
      <c r="AE55" s="146" t="n"/>
      <c r="AF55" s="146" t="n"/>
      <c r="AG55" s="146" t="n"/>
      <c r="AH55" s="602">
        <f>SUM(IF(AD55=AD$5,4,0),IF(AD55&amp;AE55=AD$5&amp;AE$5,1,0),
IF(AND(AD55=AD$5,AE$6&gt;=$D$115),1,0),
IF(AND(AE55=AD$5,AE$6&gt;=$D$115),1,0),
IF(AND(AF55=AD$5,AE$6&gt;=$D$115),1,0),
IF(AD55&amp;AG55=AH$5,1,0),
IF(AE55=AD$5,2,0),
IF(AF55=AD$5,1,0),
IF(OR(AD55&amp;AE55&amp;AF55=AD$5&amp;AE$5&amp;AF$5,AD55&amp;AE55&amp;AF55=AD$5&amp;AF$5&amp;AE$5,AD55&amp;AE55&amp;AF55=AE$5&amp;AD$5&amp;AF$5,AD55&amp;AE55&amp;AF55=AE$5&amp;AF$5&amp;AD$5,AD55&amp;AE55&amp;AF55=AF$5&amp;AD$5&amp;AE$5,AD55&amp;AE55&amp;AF55=AF$5&amp;AE$5&amp;AD$5),2,0),IF(AND(AD55=AD$5,AE$6&gt;=$D$129),1,0),IF(AND(AE55=AD$5,AE$6&gt;=$D$129),1,0),IF(AND(AF55=AD$5,AE$6&gt;=$D$129),1,0),IF(AD55&amp;AG55=AG$5,4,0),IF(AND(AD55=AD$5,AE$6&lt;=$D$104),-0.5,0),IF(AND(AE55=AD$5,AE$6&lt;=$D$104),-0.5,0),IF(AND(AF55=AD$5,AE$6&lt;=$D$104),-0.5,0))</f>
        <v/>
      </c>
      <c r="AI55" s="145" t="n"/>
      <c r="AJ55" s="146" t="n"/>
      <c r="AK55" s="146" t="n"/>
      <c r="AL55" s="146" t="n"/>
      <c r="AM55" s="602">
        <f>SUM(IF(AI55=AI$5,4,0),IF(AI55&amp;AJ55=AI$5&amp;AJ$5,1,0),
IF(AND(AI55=AI$5,AJ$6&gt;=$D$115),1,0),
IF(AND(AJ55=AI$5,AJ$6&gt;=$D$115),1,0),
IF(AND(AK55=AI$5,AJ$6&gt;=$D$115),1,0),
IF(AI55&amp;AL55=AM$5,1,0),
IF(AJ55=AI$5,2,0),
IF(AK55=AI$5,1,0),
IF(OR(AI55&amp;AJ55&amp;AK55=AI$5&amp;AJ$5&amp;AK$5,AI55&amp;AJ55&amp;AK55=AI$5&amp;AK$5&amp;AJ$5,AI55&amp;AJ55&amp;AK55=AJ$5&amp;AI$5&amp;AK$5,AI55&amp;AJ55&amp;AK55=AJ$5&amp;AK$5&amp;AI$5,AI55&amp;AJ55&amp;AK55=AK$5&amp;AI$5&amp;AJ$5,AI55&amp;AJ55&amp;AK55=AK$5&amp;AJ$5&amp;AI$5),2,0),IF(AND(AI55=AI$5,AJ$6&gt;=$D$129),1,0),IF(AND(AJ55=AI$5,AJ$6&gt;=$D$129),1,0),IF(AND(AK55=AI$5,AJ$6&gt;=$D$129),1,0),IF(AI55&amp;AL55=AL$5,4,0),IF(AND(AI55=AI$5,AJ$6&lt;=$D$104),-0.5,0),IF(AND(AJ55=AI$5,AJ$6&lt;=$D$104),-0.5,0),IF(AND(AK55=AI$5,AJ$6&lt;=$D$104),-0.5,0))</f>
        <v/>
      </c>
      <c r="AN55" s="145" t="n"/>
      <c r="AO55" s="146" t="n"/>
      <c r="AP55" s="146" t="n"/>
      <c r="AQ55" s="146" t="n"/>
      <c r="AR55" s="602">
        <f>SUM(IF(AN55=AN$5,4,0),IF(AN55&amp;AO55=AN$5&amp;AO$5,1,0),
IF(AND(AN55=AN$5,AO$6&gt;=$D$115),1,0),
IF(AND(AO55=AN$5,AO$6&gt;=$D$115),1,0),
IF(AND(AP55=AN$5,AO$6&gt;=$D$115),1,0),
IF(AN55&amp;AQ55=AR$5,1,0),
IF(AO55=AN$5,2,0),
IF(AP55=AN$5,1,0),
IF(OR(AN55&amp;AO55&amp;AP55=AN$5&amp;AO$5&amp;AP$5,AN55&amp;AO55&amp;AP55=AN$5&amp;AP$5&amp;AO$5,AN55&amp;AO55&amp;AP55=AO$5&amp;AN$5&amp;AP$5,AN55&amp;AO55&amp;AP55=AO$5&amp;AP$5&amp;AN$5,AN55&amp;AO55&amp;AP55=AP$5&amp;AN$5&amp;AO$5,AN55&amp;AO55&amp;AP55=AP$5&amp;AO$5&amp;AN$5),2,0),IF(AND(AN55=AN$5,AO$6&gt;=$D$129),1,0),IF(AND(AO55=AN$5,AO$6&gt;=$D$129),1,0),IF(AND(AP55=AN$5,AO$6&gt;=$D$129),1,0),IF(AN55&amp;AQ55=AQ$5,4,0),IF(AND(AN55=AN$5,AO$6&lt;=$D$104),-0.5,0),IF(AND(AO55=AN$5,AO$6&lt;=$D$104),-0.5,0),IF(AND(AP55=AN$5,AO$6&lt;=$D$104),-0.5,0))</f>
        <v/>
      </c>
      <c r="AS55" s="145" t="n"/>
      <c r="AT55" s="146" t="n"/>
      <c r="AU55" s="146" t="n"/>
      <c r="AV55" s="146" t="n"/>
      <c r="AW55" s="602">
        <f>SUM(IF(AS55=AS$5,4,0),IF(AS55&amp;AT55=AS$5&amp;AT$5,1,0),
IF(AND(AS55=AS$5,AT$6&gt;=$D$115),1,0),
IF(AND(AT55=AS$5,AT$6&gt;=$D$115),1,0),
IF(AND(AU55=AS$5,AT$6&gt;=$D$115),1,0),
IF(AS55&amp;AV55=AW$5,1,0),
IF(AT55=AS$5,2,0),
IF(AU55=AS$5,1,0),
IF(OR(AS55&amp;AT55&amp;AU55=AS$5&amp;AT$5&amp;AU$5,AS55&amp;AT55&amp;AU55=AS$5&amp;AU$5&amp;AT$5,AS55&amp;AT55&amp;AU55=AT$5&amp;AS$5&amp;AU$5,AS55&amp;AT55&amp;AU55=AT$5&amp;AU$5&amp;AS$5,AS55&amp;AT55&amp;AU55=AU$5&amp;AS$5&amp;AT$5,AS55&amp;AT55&amp;AU55=AU$5&amp;AT$5&amp;AS$5),2,0),IF(AND(AS55=AS$5,AT$6&gt;=$D$129),1,0),IF(AND(AT55=AS$5,AT$6&gt;=$D$129),1,0),IF(AND(AU55=AS$5,AT$6&gt;=$D$129),1,0),IF(AS55&amp;AV55=AV$5,4,0),IF(AND(AS55=AS$5,AT$6&lt;=$D$104),-0.5,0),IF(AND(AT55=AS$5,AT$6&lt;=$D$104),-0.5,0),IF(AND(AU55=AS$5,AT$6&lt;=$D$104),-0.5,0))</f>
        <v/>
      </c>
      <c r="AX55" s="145" t="n"/>
      <c r="AY55" s="146" t="n"/>
      <c r="AZ55" s="146" t="n"/>
      <c r="BA55" s="146" t="n"/>
      <c r="BB55" s="602">
        <f>SUM(IF(AX55=AX$5,4,0),IF(AX55&amp;AY55=AX$5&amp;AY$5,1,0),
IF(AND(AX55=AX$5,AY$6&gt;=$D$115),1,0),
IF(AND(AY55=AX$5,AY$6&gt;=$D$115),1,0),
IF(AND(AZ55=AX$5,AY$6&gt;=$D$115),1,0),
IF(AX55&amp;BA55=BB$5,1,0),
IF(AY55=AX$5,2,0),
IF(AZ55=AX$5,1,0),
IF(OR(AX55&amp;AY55&amp;AZ55=AX$5&amp;AY$5&amp;AZ$5,AX55&amp;AY55&amp;AZ55=AX$5&amp;AZ$5&amp;AY$5,AX55&amp;AY55&amp;AZ55=AY$5&amp;AX$5&amp;AZ$5,AX55&amp;AY55&amp;AZ55=AY$5&amp;AZ$5&amp;AX$5,AX55&amp;AY55&amp;AZ55=AZ$5&amp;AX$5&amp;AY$5,AX55&amp;AY55&amp;AZ55=AZ$5&amp;AY$5&amp;AX$5),2,0),IF(AND(AX55=AX$5,AY$6&gt;=$D$129),1,0),IF(AND(AY55=AX$5,AY$6&gt;=$D$129),1,0),IF(AND(AZ55=AX$5,AY$6&gt;=$D$129),1,0),IF(AX55&amp;BA55=BA$5,4,0),IF(AND(AX55=AX$5,AY$6&lt;=$D$104),-0.5,0),IF(AND(AY55=AX$5,AY$6&lt;=$D$104),-0.5,0),IF(AND(AZ55=AX$5,AY$6&lt;=$D$104),-0.5,0))</f>
        <v/>
      </c>
      <c r="BC55" s="145" t="n"/>
      <c r="BD55" s="146" t="n"/>
      <c r="BE55" s="146" t="n"/>
      <c r="BF55" s="146" t="n"/>
      <c r="BG55" s="602">
        <f>SUM(IF(BC55=BC$5,4,0),IF(BC55&amp;BD55=BC$5&amp;BD$5,1,0),
IF(AND(BC55=BC$5,BD$6&gt;=$D$115),1,0),
IF(AND(BD55=BC$5,BD$6&gt;=$D$115),1,0),
IF(AND(BE55=BC$5,BD$6&gt;=$D$115),1,0),
IF(BC55&amp;BF55=BG$5,1,0),
IF(BD55=BC$5,2,0),
IF(BE55=BC$5,1,0),
IF(OR(BC55&amp;BD55&amp;BE55=BC$5&amp;BD$5&amp;BE$5,BC55&amp;BD55&amp;BE55=BC$5&amp;BE$5&amp;BD$5,BC55&amp;BD55&amp;BE55=BD$5&amp;BC$5&amp;BE$5,BC55&amp;BD55&amp;BE55=BD$5&amp;BE$5&amp;BC$5,BC55&amp;BD55&amp;BE55=BE$5&amp;BC$5&amp;BD$5,BC55&amp;BD55&amp;BE55=BE$5&amp;BD$5&amp;BC$5),2,0),IF(AND(BC55=BC$5,BD$6&gt;=$D$129),1,0),IF(AND(BD55=BC$5,BD$6&gt;=$D$129),1,0),IF(AND(BE55=BC$5,BD$6&gt;=$D$129),1,0),IF(BC55&amp;BF55=BF$5,4,0),IF(AND(BC55=BC$5,BD$6&lt;=$D$104),-0.5,0),IF(AND(BD55=BC$5,BD$6&lt;=$D$104),-0.5,0),IF(AND(BE55=BC$5,BD$6&lt;=$D$104),-0.5,0))</f>
        <v/>
      </c>
      <c r="BH55" s="145" t="n"/>
      <c r="BI55" s="146" t="n"/>
      <c r="BJ55" s="146" t="n"/>
      <c r="BK55" s="146" t="n"/>
      <c r="BL55" s="602">
        <f>SUM(IF(BH55=BH$5,4,0),IF(BH55&amp;BI55=BH$5&amp;BI$5,1,0),
IF(AND(BH55=BH$5,BI$6&gt;=$D$115),1,0),
IF(AND(BI55=BH$5,BI$6&gt;=$D$115),1,0),
IF(AND(BJ55=BH$5,BI$6&gt;=$D$115),1,0),
IF(BH55&amp;BK55=BL$5,1,0),
IF(BI55=BH$5,2,0),
IF(BJ55=BH$5,1,0),
IF(OR(BH55&amp;BI55&amp;BJ55=BH$5&amp;BI$5&amp;BJ$5,BH55&amp;BI55&amp;BJ55=BH$5&amp;BJ$5&amp;BI$5,BH55&amp;BI55&amp;BJ55=BI$5&amp;BH$5&amp;BJ$5,BH55&amp;BI55&amp;BJ55=BI$5&amp;BJ$5&amp;BH$5,BH55&amp;BI55&amp;BJ55=BJ$5&amp;BH$5&amp;BI$5,BH55&amp;BI55&amp;BJ55=BJ$5&amp;BI$5&amp;BH$5),2,0),IF(AND(BH55=BH$5,BI$6&gt;=$D$129),1,0),IF(AND(BI55=BH$5,BI$6&gt;=$D$129),1,0),IF(AND(BJ55=BH$5,BI$6&gt;=$D$129),1,0),IF(BH55&amp;BK55=BK$5,4,0),IF(AND(BH55=BH$5,BI$6&lt;=$D$104),-0.5,0),IF(AND(BI55=BH$5,BI$6&lt;=$D$104),-0.5,0),IF(AND(BJ55=BH$5,BI$6&lt;=$D$104),-0.5,0))</f>
        <v/>
      </c>
      <c r="BM55" s="145" t="n"/>
      <c r="BN55" s="146" t="n"/>
      <c r="BO55" s="146" t="n"/>
      <c r="BP55" s="146" t="n"/>
      <c r="BQ55" s="602">
        <f>SUM(IF(BM55=BM$5,4,0),IF(BM55&amp;BN55=BM$5&amp;BN$5,1,0),
IF(AND(BM55=BM$5,BN$6&gt;=$D$115),1,0),
IF(AND(BN55=BM$5,BN$6&gt;=$D$115),1,0),
IF(AND(BO55=BM$5,BN$6&gt;=$D$115),1,0),
IF(BM55&amp;BP55=BQ$5,1,0),
IF(BN55=BM$5,2,0),
IF(BO55=BM$5,1,0),
IF(OR(BM55&amp;BN55&amp;BO55=BM$5&amp;BN$5&amp;BO$5,BM55&amp;BN55&amp;BO55=BM$5&amp;BO$5&amp;BN$5,BM55&amp;BN55&amp;BO55=BN$5&amp;BM$5&amp;BO$5,BM55&amp;BN55&amp;BO55=BN$5&amp;BO$5&amp;BM$5,BM55&amp;BN55&amp;BO55=BO$5&amp;BM$5&amp;BN$5,BM55&amp;BN55&amp;BO55=BO$5&amp;BN$5&amp;BM$5),2,0),IF(AND(BM55=BM$5,BN$6&gt;=$D$129),1,0),IF(AND(BN55=BM$5,BN$6&gt;=$D$129),1,0),IF(AND(BO55=BM$5,BN$6&gt;=$D$129),1,0),IF(BM55&amp;BP55=BP$5,4,0),IF(AND(BM55=BM$5,BN$6&lt;=$D$104),-0.5,0),IF(AND(BN55=BM$5,BN$6&lt;=$D$104),-0.5,0),IF(AND(BO55=BM$5,BN$6&lt;=$D$104),-0.5,0))</f>
        <v/>
      </c>
      <c r="BR55" s="145" t="n"/>
      <c r="BS55" s="146" t="n"/>
      <c r="BT55" s="146" t="n"/>
      <c r="BU55" s="146" t="n"/>
      <c r="BV55" s="602">
        <f>SUM(IF(BR55=BR$5,4,0),IF(BR55&amp;BS55=BR$5&amp;BS$5,1,0),
IF(AND(BR55=BR$5,BS$6&gt;=$D$115),1,0),
IF(AND(BS55=BR$5,BS$6&gt;=$D$115),1,0),
IF(AND(BT55=BR$5,BS$6&gt;=$D$115),1,0),
IF(BR55&amp;BU55=BV$5,1,0),
IF(BS55=BR$5,2,0),
IF(BT55=BR$5,1,0),
IF(OR(BR55&amp;BS55&amp;BT55=BR$5&amp;BS$5&amp;BT$5,BR55&amp;BS55&amp;BT55=BR$5&amp;BT$5&amp;BS$5,BR55&amp;BS55&amp;BT55=BS$5&amp;BR$5&amp;BT$5,BR55&amp;BS55&amp;BT55=BS$5&amp;BT$5&amp;BR$5,BR55&amp;BS55&amp;BT55=BT$5&amp;BR$5&amp;BS$5,BR55&amp;BS55&amp;BT55=BT$5&amp;BS$5&amp;BR$5),2,0),IF(AND(BR55=BR$5,BS$6&gt;=$D$129),1,0),IF(AND(BS55=BR$5,BS$6&gt;=$D$129),1,0),IF(AND(BT55=BR$5,BS$6&gt;=$D$129),1,0),IF(BR55&amp;BU55=BU$5,4,0),IF(AND(BR55=BR$5,BS$6&lt;=$D$104),-0.5,0),IF(AND(BS55=BR$5,BS$6&lt;=$D$104),-0.5,0),IF(AND(BT55=BR$5,BS$6&lt;=$D$104),-0.5,0))</f>
        <v/>
      </c>
      <c r="BW55" s="145" t="n"/>
      <c r="BX55" s="146" t="n"/>
      <c r="BY55" s="146" t="n"/>
      <c r="BZ55" s="146" t="n"/>
      <c r="CA55" s="602">
        <f>SUM(IF(BW55=BW$5,4,0),IF(BW55&amp;BX55=BW$5&amp;BX$5,1,0),
IF(AND(BW55=BW$5,BX$6&gt;=$D$115),1,0),
IF(AND(BX55=BW$5,BX$6&gt;=$D$115),1,0),
IF(AND(BY55=BW$5,BX$6&gt;=$D$115),1,0),
IF(BW55&amp;BZ55=CA$5,1,0),
IF(BX55=BW$5,2,0),
IF(BY55=BW$5,1,0),
IF(OR(BW55&amp;BX55&amp;BY55=BW$5&amp;BX$5&amp;BY$5,BW55&amp;BX55&amp;BY55=BW$5&amp;BY$5&amp;BX$5,BW55&amp;BX55&amp;BY55=BX$5&amp;BW$5&amp;BY$5,BW55&amp;BX55&amp;BY55=BX$5&amp;BY$5&amp;BW$5,BW55&amp;BX55&amp;BY55=BY$5&amp;BW$5&amp;BX$5,BW55&amp;BX55&amp;BY55=BY$5&amp;BX$5&amp;BW$5),2,0),IF(AND(BW55=BW$5,BX$6&gt;=$D$129),1,0),IF(AND(BX55=BW$5,BX$6&gt;=$D$129),1,0),IF(AND(BY55=BW$5,BX$6&gt;=$D$129),1,0),IF(BW55&amp;BZ55=BZ$5,4,0),IF(AND(BW55=BW$5,BX$6&lt;=$D$104),-0.5,0),IF(AND(BX55=BW$5,BX$6&lt;=$D$104),-0.5,0),IF(AND(BY55=BW$5,BX$6&lt;=$D$104),-0.5,0))</f>
        <v/>
      </c>
      <c r="CB55" s="145" t="n"/>
      <c r="CC55" s="146" t="n"/>
      <c r="CD55" s="146" t="n"/>
      <c r="CE55" s="146" t="n"/>
      <c r="CF55" s="602">
        <f>SUM(IF(CB55=CB$5,4,0),IF(CB55&amp;CC55=CB$5&amp;CC$5,1,0),
IF(AND(CB55=CB$5,CC$6&gt;=$D$115),1,0),
IF(AND(CC55=CB$5,CC$6&gt;=$D$115),1,0),
IF(AND(CD55=CB$5,CC$6&gt;=$D$115),1,0),
IF(CB55&amp;CE55=CF$5,1,0),
IF(CC55=CB$5,2,0),
IF(CD55=CB$5,1,0),
IF(OR(CB55&amp;CC55&amp;CD55=CB$5&amp;CC$5&amp;CD$5,CB55&amp;CC55&amp;CD55=CB$5&amp;CD$5&amp;CC$5,CB55&amp;CC55&amp;CD55=CC$5&amp;CB$5&amp;CD$5,CB55&amp;CC55&amp;CD55=CC$5&amp;CD$5&amp;CB$5,CB55&amp;CC55&amp;CD55=CD$5&amp;CB$5&amp;CC$5,CB55&amp;CC55&amp;CD55=CD$5&amp;CC$5&amp;CB$5),2,0),IF(AND(CB55=CB$5,CC$6&gt;=$D$129),1,0),IF(AND(CC55=CB$5,CC$6&gt;=$D$129),1,0),IF(AND(CD55=CB$5,CC$6&gt;=$D$129),1,0),IF(CB55&amp;CE55=CE$5,4,0),IF(AND(CB55=CB$5,CC$6&lt;=$D$104),-0.5,0),IF(AND(CC55=CB$5,CC$6&lt;=$D$104),-0.5,0),IF(AND(CD55=CB$5,CC$6&lt;=$D$104),-0.5,0))</f>
        <v/>
      </c>
      <c r="CG55" s="164">
        <f>IF(BASE01[[#This Row],[1]]="",0,$B$4)</f>
        <v/>
      </c>
      <c r="CH55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5" s="189">
        <f>IF(BASE01[[#This Row],[Columna14]]=0,0,(CH55/CG55))</f>
        <v/>
      </c>
      <c r="CJ55" s="165">
        <f>IF(BASE01[[#This Row],[1]]="",0,$B$4)</f>
        <v/>
      </c>
      <c r="CK55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5" s="189">
        <f>IF(BASE01[[#This Row],[Columna14]]=0,0,(CK55/CJ55))</f>
        <v/>
      </c>
      <c r="CM55" s="164">
        <f>IF(BASE01[[#This Row],[1]]="",0,$B$4)</f>
        <v/>
      </c>
      <c r="CN55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5" s="189">
        <f>IF(BASE01[[#This Row],[Columna14]]=0,0,(CN55/CM55))</f>
        <v/>
      </c>
      <c r="CP55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5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Row],[Columna25]],$AX$5,BA55,"SF")+COUNTIFS(BASE01[[#This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5" s="189">
        <f>IF(BASE01[[#This Row],[Columna14]]=0,0,(CQ55/CP55))</f>
        <v/>
      </c>
      <c r="CS55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5" s="95" t="n"/>
      <c r="CU55" s="604">
        <f>SUM(CS55,CT55)</f>
        <v/>
      </c>
      <c r="CV55" s="96">
        <f>IF(BASE01[[#This Row],[TIPO]]="PREMIO",$O$3,"0,00")</f>
        <v/>
      </c>
      <c r="CW55" s="576" t="n"/>
      <c r="CY55" s="606">
        <f>IF(CZ55="","",$CZ$25)</f>
        <v/>
      </c>
      <c r="CZ55" s="392" t="n"/>
      <c r="DA55" s="392">
        <f t="array" ref="DA55">IF(CZ55="", "", IF((INDEX(E$8:CE$57, MATCH(CZ55, C$8:C$57, 0), ($CZ$25-1)*5 + 1) &amp; "") = (INDEX(E$5:CE$5, 1, ($CZ$25-1)*5 + 1) &amp; ""), 1, IF((INDEX(E$8:CE$57, MATCH(CZ55, C$8:C$57, 0), ($CZ$25-1)*5 + 2) &amp; "") = (INDEX(E$5:CE$5, 1, ($CZ$25-1)*5 + 1) &amp; ""), 2, IF((INDEX(E$8:CE$57, MATCH(CZ55, C$8:C$57, 0), ($CZ$25-1)*5 + 3) &amp; "") = (INDEX(E$5:CE$5, 1, ($CZ$25-1)*5 + 1) &amp; ""), 3, ""))))</f>
        <v/>
      </c>
      <c r="DB55" s="605">
        <f>BASE01[[#This Row],[COD]]</f>
        <v/>
      </c>
      <c r="DC55" s="395">
        <f t="array" ref="DC55">IFERROR(IF(AND(INDEX($E$8:$CE$57, MATCH($C55, $C$8:$C$57, 0), (COLUMNS($DC55:DC55)-1)*5 + 1) = INDEX($E$5:$CE$5, 1, (COLUMNS($DC55:DC55)-1)*5 + 1), INDEX($E$8:$CE$57, MATCH($C55, $C$8:$C$57, 0), (COLUMNS($DC55:DC55)-1)*5 + 4) = "F"), INDEX($CZ$8:$CZ$23, COLUMNS($DC55:DC55)), "0"), "")</f>
        <v/>
      </c>
      <c r="DD55" s="395">
        <f t="array" ref="DD55">IFERROR(IF(AND(INDEX($E$8:$CE$57, MATCH($C55, $C$8:$C$57, 0), (COLUMNS($DC55:DD55)-1)*5 + 1) = INDEX($E$5:$CE$5, 1, (COLUMNS($DC55:DD55)-1)*5 + 1), INDEX($E$8:$CE$57, MATCH($C55, $C$8:$C$57, 0), (COLUMNS($DC55:DD55)-1)*5 + 4) = "F"), INDEX($CZ$8:$CZ$23, COLUMNS($DC55:DD55)), "0"), "")</f>
        <v/>
      </c>
      <c r="DE55" s="395">
        <f t="array" ref="DE55">IFERROR(IF(AND(INDEX($E$8:$CE$57, MATCH($C55, $C$8:$C$57, 0), (COLUMNS($DC55:DE55)-1)*5 + 1) = INDEX($E$5:$CE$5, 1, (COLUMNS($DC55:DE55)-1)*5 + 1), INDEX($E$8:$CE$57, MATCH($C55, $C$8:$C$57, 0), (COLUMNS($DC55:DE55)-1)*5 + 4) = "F"), INDEX($CZ$8:$CZ$23, COLUMNS($DC55:DE55)), "0"), "")</f>
        <v/>
      </c>
      <c r="DF55" s="395">
        <f t="array" ref="DF55">IFERROR(IF(AND(INDEX($E$8:$CE$57, MATCH($C55, $C$8:$C$57, 0), (COLUMNS($DC55:DF55)-1)*5 + 1) = INDEX($E$5:$CE$5, 1, (COLUMNS($DC55:DF55)-1)*5 + 1), INDEX($E$8:$CE$57, MATCH($C55, $C$8:$C$57, 0), (COLUMNS($DC55:DF55)-1)*5 + 4) = "F"), INDEX($CZ$8:$CZ$23, COLUMNS($DC55:DF55)), "0"), "")</f>
        <v/>
      </c>
      <c r="DG55" s="395">
        <f t="array" ref="DG55">IFERROR(IF(AND(INDEX($E$8:$CE$57, MATCH($C55, $C$8:$C$57, 0), (COLUMNS($DC55:DG55)-1)*5 + 1) = INDEX($E$5:$CE$5, 1, (COLUMNS($DC55:DG55)-1)*5 + 1), INDEX($E$8:$CE$57, MATCH($C55, $C$8:$C$57, 0), (COLUMNS($DC55:DG55)-1)*5 + 4) = "F"), INDEX($CZ$8:$CZ$23, COLUMNS($DC55:DG55)), "0"), "")</f>
        <v/>
      </c>
      <c r="DH55" s="395">
        <f t="array" ref="DH55">IFERROR(IF(AND(INDEX($E$8:$CE$57, MATCH($C55, $C$8:$C$57, 0), (COLUMNS($DC55:DH55)-1)*5 + 1) = INDEX($E$5:$CE$5, 1, (COLUMNS($DC55:DH55)-1)*5 + 1), INDEX($E$8:$CE$57, MATCH($C55, $C$8:$C$57, 0), (COLUMNS($DC55:DH55)-1)*5 + 4) = "F"), INDEX($CZ$8:$CZ$23, COLUMNS($DC55:DH55)), "0"), "")</f>
        <v/>
      </c>
      <c r="DI55" s="395">
        <f t="array" ref="DI55">IFERROR(IF(AND(INDEX($E$8:$CE$57, MATCH($C55, $C$8:$C$57, 0), (COLUMNS($DC55:DI55)-1)*5 + 1) = INDEX($E$5:$CE$5, 1, (COLUMNS($DC55:DI55)-1)*5 + 1), INDEX($E$8:$CE$57, MATCH($C55, $C$8:$C$57, 0), (COLUMNS($DC55:DI55)-1)*5 + 4) = "F"), INDEX($CZ$8:$CZ$23, COLUMNS($DC55:DI55)), "0"), "")</f>
        <v/>
      </c>
      <c r="DJ55" s="395">
        <f t="array" ref="DJ55">IFERROR(IF(AND(INDEX($E$8:$CE$57, MATCH($C55, $C$8:$C$57, 0), (COLUMNS($DC55:DJ55)-1)*5 + 1) = INDEX($E$5:$CE$5, 1, (COLUMNS($DC55:DJ55)-1)*5 + 1), INDEX($E$8:$CE$57, MATCH($C55, $C$8:$C$57, 0), (COLUMNS($DC55:DJ55)-1)*5 + 4) = "F"), INDEX($CZ$8:$CZ$23, COLUMNS($DC55:DJ55)), "0"), "")</f>
        <v/>
      </c>
      <c r="DK55" s="395">
        <f t="array" ref="DK55">IFERROR(IF(AND(INDEX($E$8:$CE$57, MATCH($C55, $C$8:$C$57, 0), (COLUMNS($DC55:DK55)-1)*5 + 1) = INDEX($E$5:$CE$5, 1, (COLUMNS($DC55:DK55)-1)*5 + 1), INDEX($E$8:$CE$57, MATCH($C55, $C$8:$C$57, 0), (COLUMNS($DC55:DK55)-1)*5 + 4) = "F"), INDEX($CZ$8:$CZ$23, COLUMNS($DC55:DK55)), "0"), "")</f>
        <v/>
      </c>
      <c r="DL55" s="395">
        <f t="array" ref="DL55">IFERROR(IF(AND(INDEX($E$8:$CE$57, MATCH($C55, $C$8:$C$57, 0), (COLUMNS($DC55:DL55)-1)*5 + 1) = INDEX($E$5:$CE$5, 1, (COLUMNS($DC55:DL55)-1)*5 + 1), INDEX($E$8:$CE$57, MATCH($C55, $C$8:$C$57, 0), (COLUMNS($DC55:DL55)-1)*5 + 4) = "F"), INDEX($CZ$8:$CZ$23, COLUMNS($DC55:DL55)), "0"), "")</f>
        <v/>
      </c>
      <c r="DM55" s="395">
        <f t="array" ref="DM55">IFERROR(IF(AND(INDEX($E$8:$CE$57, MATCH($C55, $C$8:$C$57, 0), (COLUMNS($DC55:DM55)-1)*5 + 1) = INDEX($E$5:$CE$5, 1, (COLUMNS($DC55:DM55)-1)*5 + 1), INDEX($E$8:$CE$57, MATCH($C55, $C$8:$C$57, 0), (COLUMNS($DC55:DM55)-1)*5 + 4) = "F"), INDEX($CZ$8:$CZ$23, COLUMNS($DC55:DM55)), "0"), "")</f>
        <v/>
      </c>
      <c r="DN55" s="395">
        <f t="array" ref="DN55">IFERROR(IF(AND(INDEX($E$8:$CE$57, MATCH($C55, $C$8:$C$57, 0), (COLUMNS($DC55:DN55)-1)*5 + 1) = INDEX($E$5:$CE$5, 1, (COLUMNS($DC55:DN55)-1)*5 + 1), INDEX($E$8:$CE$57, MATCH($C55, $C$8:$C$57, 0), (COLUMNS($DC55:DN55)-1)*5 + 4) = "F"), INDEX($CZ$8:$CZ$23, COLUMNS($DC55:DN55)), "0"), "")</f>
        <v/>
      </c>
      <c r="DO55" s="395">
        <f t="array" ref="DO55">IFERROR(IF(AND(INDEX($E$8:$CE$57, MATCH($C55, $C$8:$C$57, 0), (COLUMNS($DC55:DO55)-1)*5 + 1) = INDEX($E$5:$CE$5, 1, (COLUMNS($DC55:DO55)-1)*5 + 1), INDEX($E$8:$CE$57, MATCH($C55, $C$8:$C$57, 0), (COLUMNS($DC55:DO55)-1)*5 + 4) = "F"), INDEX($CZ$8:$CZ$23, COLUMNS($DC55:DO55)), "0"), "")</f>
        <v/>
      </c>
      <c r="DP55" s="395">
        <f t="array" ref="DP55">IFERROR(IF(AND(INDEX($E$8:$CE$57, MATCH($C55, $C$8:$C$57, 0), (COLUMNS($DC55:DP55)-1)*5 + 1) = INDEX($E$5:$CE$5, 1, (COLUMNS($DC55:DP55)-1)*5 + 1), INDEX($E$8:$CE$57, MATCH($C55, $C$8:$C$57, 0), (COLUMNS($DC55:DP55)-1)*5 + 4) = "F"), INDEX($CZ$8:$CZ$23, COLUMNS($DC55:DP55)), "0"), "")</f>
        <v/>
      </c>
      <c r="DQ55" s="395">
        <f t="array" ref="DQ55">IFERROR(IF(AND(INDEX($E$8:$CE$57, MATCH($C55, $C$8:$C$57, 0), (COLUMNS($DC55:DQ55)-1)*5 + 1) = INDEX($E$5:$CE$5, 1, (COLUMNS($DC55:DQ55)-1)*5 + 1), INDEX($E$8:$CE$57, MATCH($C55, $C$8:$C$57, 0), (COLUMNS($DC55:DQ55)-1)*5 + 4) = "F"), INDEX($CZ$8:$CZ$23, COLUMNS($DC55:DQ55)), "0"), "")</f>
        <v/>
      </c>
      <c r="DR55" s="395">
        <f t="array" ref="DR55">IFERROR(IF(AND(INDEX($E$8:$CE$57, MATCH($C55, $C$8:$C$57, 0), (COLUMNS($DC55:DR55)-1)*5 + 1) = INDEX($E$5:$CE$5, 1, (COLUMNS($DC55:DR55)-1)*5 + 1), INDEX($E$8:$CE$57, MATCH($C55, $C$8:$C$57, 0), (COLUMNS($DC55:DR55)-1)*5 + 4) = "F"), INDEX($CZ$8:$CZ$23, COLUMNS($DC55:DR55)), "0"), "")</f>
        <v/>
      </c>
      <c r="DT55" s="605">
        <f>BASE01[[#This Row],[COD]]</f>
        <v/>
      </c>
      <c r="DU55" s="395">
        <f t="array" ref="DU55">IFERROR(IF(AND(INDEX($E$8:$CE$57, MATCH($C55, $C$8:$C$57, 0), (COLUMNS($DU55:DU55)-1)*5 + 1) = INDEX($E$5:$CE$5, 1, (COLUMNS($DU55:DU55)-1)*5 + 1), INDEX($E$8:$CE$57, MATCH($C55, $C$8:$C$57, 0), (COLUMNS($DU55:DU55)-1)*5 + 4) = "SF"), INDEX($CZ$8:$CZ$23, COLUMNS($DU55:DU55)), "0"), "")</f>
        <v/>
      </c>
      <c r="DV55" s="395">
        <f t="array" ref="DV55">IFERROR(IF(AND(INDEX($E$8:$CE$57, MATCH($C55, $C$8:$C$57, 0), (COLUMNS($DU55:DV55)-1)*5 + 1) = INDEX($E$5:$CE$5, 1, (COLUMNS($DU55:DV55)-1)*5 + 1), INDEX($E$8:$CE$57, MATCH($C55, $C$8:$C$57, 0), (COLUMNS($DU55:DV55)-1)*5 + 4) = "SF"), INDEX($CZ$8:$CZ$23, COLUMNS($DU55:DV55)), "0"), "")</f>
        <v/>
      </c>
      <c r="DW55" s="395">
        <f t="array" ref="DW55">IFERROR(IF(AND(INDEX($E$8:$CE$57, MATCH($C55, $C$8:$C$57, 0), (COLUMNS($DU55:DW55)-1)*5 + 1) = INDEX($E$5:$CE$5, 1, (COLUMNS($DU55:DW55)-1)*5 + 1), INDEX($E$8:$CE$57, MATCH($C55, $C$8:$C$57, 0), (COLUMNS($DU55:DW55)-1)*5 + 4) = "SF"), INDEX($CZ$8:$CZ$23, COLUMNS($DU55:DW55)), "0"), "")</f>
        <v/>
      </c>
      <c r="DX55" s="395">
        <f t="array" ref="DX55">IFERROR(IF(AND(INDEX($E$8:$CE$57, MATCH($C55, $C$8:$C$57, 0), (COLUMNS($DU55:DX55)-1)*5 + 1) = INDEX($E$5:$CE$5, 1, (COLUMNS($DU55:DX55)-1)*5 + 1), INDEX($E$8:$CE$57, MATCH($C55, $C$8:$C$57, 0), (COLUMNS($DU55:DX55)-1)*5 + 4) = "SF"), INDEX($CZ$8:$CZ$23, COLUMNS($DU55:DX55)), "0"), "")</f>
        <v/>
      </c>
      <c r="DY55" s="395">
        <f t="array" ref="DY55">IFERROR(IF(AND(INDEX($E$8:$CE$57, MATCH($C55, $C$8:$C$57, 0), (COLUMNS($DU55:DY55)-1)*5 + 1) = INDEX($E$5:$CE$5, 1, (COLUMNS($DU55:DY55)-1)*5 + 1), INDEX($E$8:$CE$57, MATCH($C55, $C$8:$C$57, 0), (COLUMNS($DU55:DY55)-1)*5 + 4) = "SF"), INDEX($CZ$8:$CZ$23, COLUMNS($DU55:DY55)), "0"), "")</f>
        <v/>
      </c>
      <c r="DZ55" s="395">
        <f t="array" ref="DZ55">IFERROR(IF(AND(INDEX($E$8:$CE$57, MATCH($C55, $C$8:$C$57, 0), (COLUMNS($DU55:DZ55)-1)*5 + 1) = INDEX($E$5:$CE$5, 1, (COLUMNS($DU55:DZ55)-1)*5 + 1), INDEX($E$8:$CE$57, MATCH($C55, $C$8:$C$57, 0), (COLUMNS($DU55:DZ55)-1)*5 + 4) = "SF"), INDEX($CZ$8:$CZ$23, COLUMNS($DU55:DZ55)), "0"), "")</f>
        <v/>
      </c>
      <c r="EA55" s="395">
        <f t="array" ref="EA55">IFERROR(IF(AND(INDEX($E$8:$CE$57, MATCH($C55, $C$8:$C$57, 0), (COLUMNS($DU55:EA55)-1)*5 + 1) = INDEX($E$5:$CE$5, 1, (COLUMNS($DU55:EA55)-1)*5 + 1), INDEX($E$8:$CE$57, MATCH($C55, $C$8:$C$57, 0), (COLUMNS($DU55:EA55)-1)*5 + 4) = "SF"), INDEX($CZ$8:$CZ$23, COLUMNS($DU55:EA55)), "0"), "")</f>
        <v/>
      </c>
      <c r="EB55" s="395">
        <f t="array" ref="EB55">IFERROR(IF(AND(INDEX($E$8:$CE$57, MATCH($C55, $C$8:$C$57, 0), (COLUMNS($DU55:EB55)-1)*5 + 1) = INDEX($E$5:$CE$5, 1, (COLUMNS($DU55:EB55)-1)*5 + 1), INDEX($E$8:$CE$57, MATCH($C55, $C$8:$C$57, 0), (COLUMNS($DU55:EB55)-1)*5 + 4) = "SF"), INDEX($CZ$8:$CZ$23, COLUMNS($DU55:EB55)), "0"), "")</f>
        <v/>
      </c>
      <c r="EC55" s="395">
        <f t="array" ref="EC55">IFERROR(IF(AND(INDEX($E$8:$CE$57, MATCH($C55, $C$8:$C$57, 0), (COLUMNS($DU55:EC55)-1)*5 + 1) = INDEX($E$5:$CE$5, 1, (COLUMNS($DU55:EC55)-1)*5 + 1), INDEX($E$8:$CE$57, MATCH($C55, $C$8:$C$57, 0), (COLUMNS($DU55:EC55)-1)*5 + 4) = "SF"), INDEX($CZ$8:$CZ$23, COLUMNS($DU55:EC55)), "0"), "")</f>
        <v/>
      </c>
      <c r="ED55" s="395">
        <f t="array" ref="ED55">IFERROR(IF(AND(INDEX($E$8:$CE$57, MATCH($C55, $C$8:$C$57, 0), (COLUMNS($DU55:ED55)-1)*5 + 1) = INDEX($E$5:$CE$5, 1, (COLUMNS($DU55:ED55)-1)*5 + 1), INDEX($E$8:$CE$57, MATCH($C55, $C$8:$C$57, 0), (COLUMNS($DU55:ED55)-1)*5 + 4) = "SF"), INDEX($CZ$8:$CZ$23, COLUMNS($DU55:ED55)), "0"), "")</f>
        <v/>
      </c>
      <c r="EE55" s="395">
        <f t="array" ref="EE55">IFERROR(IF(AND(INDEX($E$8:$CE$57, MATCH($C55, $C$8:$C$57, 0), (COLUMNS($DU55:EE55)-1)*5 + 1) = INDEX($E$5:$CE$5, 1, (COLUMNS($DU55:EE55)-1)*5 + 1), INDEX($E$8:$CE$57, MATCH($C55, $C$8:$C$57, 0), (COLUMNS($DU55:EE55)-1)*5 + 4) = "SF"), INDEX($CZ$8:$CZ$23, COLUMNS($DU55:EE55)), "0"), "")</f>
        <v/>
      </c>
      <c r="EF55" s="395">
        <f t="array" ref="EF55">IFERROR(IF(AND(INDEX($E$8:$CE$57, MATCH($C55, $C$8:$C$57, 0), (COLUMNS($DU55:EF55)-1)*5 + 1) = INDEX($E$5:$CE$5, 1, (COLUMNS($DU55:EF55)-1)*5 + 1), INDEX($E$8:$CE$57, MATCH($C55, $C$8:$C$57, 0), (COLUMNS($DU55:EF55)-1)*5 + 4) = "SF"), INDEX($CZ$8:$CZ$23, COLUMNS($DU55:EF55)), "0"), "")</f>
        <v/>
      </c>
      <c r="EG55" s="395">
        <f t="array" ref="EG55">IFERROR(IF(AND(INDEX($E$8:$CE$57, MATCH($C55, $C$8:$C$57, 0), (COLUMNS($DU55:EG55)-1)*5 + 1) = INDEX($E$5:$CE$5, 1, (COLUMNS($DU55:EG55)-1)*5 + 1), INDEX($E$8:$CE$57, MATCH($C55, $C$8:$C$57, 0), (COLUMNS($DU55:EG55)-1)*5 + 4) = "SF"), INDEX($CZ$8:$CZ$23, COLUMNS($DU55:EG55)), "0"), "")</f>
        <v/>
      </c>
      <c r="EH55" s="395">
        <f t="array" ref="EH55">IFERROR(IF(AND(INDEX($E$8:$CE$57, MATCH($C55, $C$8:$C$57, 0), (COLUMNS($DU55:EH55)-1)*5 + 1) = INDEX($E$5:$CE$5, 1, (COLUMNS($DU55:EH55)-1)*5 + 1), INDEX($E$8:$CE$57, MATCH($C55, $C$8:$C$57, 0), (COLUMNS($DU55:EH55)-1)*5 + 4) = "SF"), INDEX($CZ$8:$CZ$23, COLUMNS($DU55:EH55)), "0"), "")</f>
        <v/>
      </c>
      <c r="EI55" s="395">
        <f t="array" ref="EI55">IFERROR(IF(AND(INDEX($E$8:$CE$57, MATCH($C55, $C$8:$C$57, 0), (COLUMNS($DU55:EI55)-1)*5 + 1) = INDEX($E$5:$CE$5, 1, (COLUMNS($DU55:EI55)-1)*5 + 1), INDEX($E$8:$CE$57, MATCH($C55, $C$8:$C$57, 0), (COLUMNS($DU55:EI55)-1)*5 + 4) = "SF"), INDEX($CZ$8:$CZ$23, COLUMNS($DU55:EI55)), "0"), "")</f>
        <v/>
      </c>
      <c r="EJ55" s="395">
        <f t="array" ref="EJ55">IFERROR(IF(AND(INDEX($E$8:$CE$57, MATCH($C55, $C$8:$C$57, 0), (COLUMNS($DU55:EJ55)-1)*5 + 1) = INDEX($E$5:$CE$5, 1, (COLUMNS($DU55:EJ55)-1)*5 + 1), INDEX($E$8:$CE$57, MATCH($C55, $C$8:$C$57, 0), (COLUMNS($DU55:EJ55)-1)*5 + 4) = "SF"), INDEX($CZ$8:$CZ$23, COLUMNS($DU55:EJ55)), "0"), "")</f>
        <v/>
      </c>
    </row>
    <row r="56" outlineLevel="1" ht="20.1" customHeight="1" s="568">
      <c r="A56" s="576" t="n"/>
      <c r="B56" s="92">
        <f>IF(BASE01[[#This Row],[COD]]&lt;&gt;"",B55+1,"")</f>
        <v/>
      </c>
      <c r="C56" s="601" t="inlineStr">
        <is>
          <t>COD 49</t>
        </is>
      </c>
      <c r="D56" s="93">
        <f t="array" ref="D56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6" s="145" t="n"/>
      <c r="F56" s="146" t="n"/>
      <c r="G56" s="146" t="n"/>
      <c r="H56" s="146" t="n"/>
      <c r="I56" s="602">
        <f>SUM(IF(E56=E$5,4,0),IF(E56&amp;F56=E$5&amp;F$5,1,0),
IF(AND(E56=E$5,F$6&gt;=$D$115),1,0),
IF(AND(F56=E$5,F$6&gt;=$D$115),1,0),
IF(AND(G56=E$5,F$6&gt;=$D$115),1,0),
IF(E56&amp;H56=I$5,1,0),
IF(F56=E$5,2,0),
IF(G56=E$5,1,0),
IF(OR(E56&amp;F56&amp;G56=E$5&amp;F$5&amp;G$5,E56&amp;F56&amp;G56=E$5&amp;G$5&amp;F$5,E56&amp;F56&amp;G56=F$5&amp;E$5&amp;G$5,E56&amp;F56&amp;G56=F$5&amp;G$5&amp;E$5,E56&amp;F56&amp;G56=G$5&amp;E$5&amp;F$5,E56&amp;F56&amp;G56=G$5&amp;F$5&amp;E$5),2,0),IF(AND(E56=E$5,F$6&gt;=$D$129),1,0),IF(AND(F56=E$5,F$6&gt;=$D$129),1,0),IF(AND(G56=E$5,F$6&gt;=$D$129),1,0),IF(E56&amp;H56=H$5,4,0),IF(AND(E56=E$5,F$6&lt;=$D$104),-0.5,0),IF(AND(F56=E$5,F$6&lt;=$D$104),-0.5,0),IF(AND(G56=E$5,F$6&lt;=$D$104),-0.5,0))</f>
        <v/>
      </c>
      <c r="J56" s="145" t="n"/>
      <c r="K56" s="146" t="n"/>
      <c r="L56" s="146" t="n"/>
      <c r="M56" s="146" t="n"/>
      <c r="N56" s="602">
        <f>SUM(IF(J56=J$5,4,0),IF(J56&amp;K56=J$5&amp;K$5,1,0),
IF(AND(J56=J$5,K$6&gt;=$D$115),1,0),
IF(AND(K56=J$5,K$6&gt;=$D$115),1,0),
IF(AND(L56=J$5,K$6&gt;=$D$115),1,0),
IF(J56&amp;M56=N$5,1,0),
IF(K56=J$5,2,0),
IF(L56=J$5,1,0),
IF(OR(J56&amp;K56&amp;L56=J$5&amp;K$5&amp;L$5,J56&amp;K56&amp;L56=J$5&amp;L$5&amp;K$5,J56&amp;K56&amp;L56=K$5&amp;J$5&amp;L$5,J56&amp;K56&amp;L56=K$5&amp;L$5&amp;J$5,J56&amp;K56&amp;L56=L$5&amp;J$5&amp;K$5,J56&amp;K56&amp;L56=L$5&amp;K$5&amp;J$5),2,0),IF(AND(J56=J$5,K$6&gt;=$D$129),1,0),IF(AND(K56=J$5,K$6&gt;=$D$129),1,0),IF(AND(L56=J$5,K$6&gt;=$D$129),1,0),IF(J56&amp;M56=M$5,4,0),IF(AND(J56=J$5,K$6&lt;=$D$104),-0.5,0),IF(AND(K56=J$5,K$6&lt;=$D$104),-0.5,0),IF(AND(L56=J$5,K$6&lt;=$D$104),-0.5,0))</f>
        <v/>
      </c>
      <c r="O56" s="145" t="n"/>
      <c r="P56" s="146" t="n"/>
      <c r="Q56" s="146" t="n"/>
      <c r="R56" s="146" t="n"/>
      <c r="S56" s="602">
        <f>SUM(IF(O56=O$5,4,0),IF(O56&amp;P56=O$5&amp;P$5,1,0),
IF(AND(O56=O$5,P$6&gt;=$D$115),1,0),
IF(AND(P56=O$5,P$6&gt;=$D$115),1,0),
IF(AND(Q56=O$5,P$6&gt;=$D$115),1,0),
IF(O56&amp;R56=S$5,1,0),
IF(P56=O$5,2,0),
IF(Q56=O$5,1,0),
IF(OR(O56&amp;P56&amp;Q56=O$5&amp;P$5&amp;Q$5,O56&amp;P56&amp;Q56=O$5&amp;Q$5&amp;P$5,O56&amp;P56&amp;Q56=P$5&amp;O$5&amp;Q$5,O56&amp;P56&amp;Q56=P$5&amp;Q$5&amp;O$5,O56&amp;P56&amp;Q56=Q$5&amp;O$5&amp;P$5,O56&amp;P56&amp;Q56=Q$5&amp;P$5&amp;O$5),2,0),IF(AND(O56=O$5,P$6&gt;=$D$129),1,0),IF(AND(P56=O$5,P$6&gt;=$D$129),1,0),IF(AND(Q56=O$5,P$6&gt;=$D$129),1,0),IF(O56&amp;R56=R$5,4,0),IF(AND(O56=O$5,P$6&lt;=$D$104),-0.5,0),IF(AND(P56=O$5,P$6&lt;=$D$104),-0.5,0),IF(AND(Q56=O$5,P$6&lt;=$D$104),-0.5,0))</f>
        <v/>
      </c>
      <c r="T56" s="145" t="n"/>
      <c r="U56" s="146" t="n"/>
      <c r="V56" s="146" t="n"/>
      <c r="W56" s="146" t="n"/>
      <c r="X56" s="602">
        <f>SUM(IF(T56=T$5,4,0),IF(T56&amp;U56=T$5&amp;U$5,1,0),
IF(AND(T56=T$5,U$6&gt;=$D$115),1,0),
IF(AND(U56=T$5,U$6&gt;=$D$115),1,0),
IF(AND(V56=T$5,U$6&gt;=$D$115),1,0),
IF(T56&amp;W56=X$5,1,0),
IF(U56=T$5,2,0),
IF(V56=T$5,1,0),
IF(OR(T56&amp;U56&amp;V56=T$5&amp;U$5&amp;V$5,T56&amp;U56&amp;V56=T$5&amp;V$5&amp;U$5,T56&amp;U56&amp;V56=U$5&amp;T$5&amp;V$5,T56&amp;U56&amp;V56=U$5&amp;V$5&amp;T$5,T56&amp;U56&amp;V56=V$5&amp;T$5&amp;U$5,T56&amp;U56&amp;V56=V$5&amp;U$5&amp;T$5),2,0),IF(AND(T56=T$5,U$6&gt;=$D$129),1,0),IF(AND(U56=T$5,U$6&gt;=$D$129),1,0),IF(AND(V56=T$5,U$6&gt;=$D$129),1,0),IF(T56&amp;W56=W$5,4,0),IF(AND(T56=T$5,U$6&lt;=$D$104),-0.5,0),IF(AND(U56=T$5,U$6&lt;=$D$104),-0.5,0),IF(AND(V56=T$5,U$6&lt;=$D$104),-0.5,0))</f>
        <v/>
      </c>
      <c r="Y56" s="145" t="n"/>
      <c r="Z56" s="146" t="n"/>
      <c r="AA56" s="146" t="n"/>
      <c r="AB56" s="146" t="n"/>
      <c r="AC56" s="602">
        <f>SUM(IF(Y56=Y$5,4,0),IF(Y56&amp;Z56=Y$5&amp;Z$5,1,0),
IF(AND(Y56=Y$5,Z$6&gt;=$D$115),1,0),
IF(AND(Z56=Y$5,Z$6&gt;=$D$115),1,0),
IF(AND(AA56=Y$5,Z$6&gt;=$D$115),1,0),
IF(Y56&amp;AB56=AC$5,1,0),
IF(Z56=Y$5,2,0),
IF(AA56=Y$5,1,0),
IF(OR(Y56&amp;Z56&amp;AA56=Y$5&amp;Z$5&amp;AA$5,Y56&amp;Z56&amp;AA56=Y$5&amp;AA$5&amp;Z$5,Y56&amp;Z56&amp;AA56=Z$5&amp;Y$5&amp;AA$5,Y56&amp;Z56&amp;AA56=Z$5&amp;AA$5&amp;Y$5,Y56&amp;Z56&amp;AA56=AA$5&amp;Y$5&amp;Z$5,Y56&amp;Z56&amp;AA56=AA$5&amp;Z$5&amp;Y$5),2,0),IF(AND(Y56=Y$5,Z$6&gt;=$D$129),1,0),IF(AND(Z56=Y$5,Z$6&gt;=$D$129),1,0),IF(AND(AA56=Y$5,Z$6&gt;=$D$129),1,0),IF(Y56&amp;AB56=AB$5,4,0),IF(AND(Y56=Y$5,Z$6&lt;=$D$104),-0.5,0),IF(AND(Z56=Y$5,Z$6&lt;=$D$104),-0.5,0),IF(AND(AA56=Y$5,Z$6&lt;=$D$104),-0.5,0))</f>
        <v/>
      </c>
      <c r="AD56" s="145" t="n"/>
      <c r="AE56" s="146" t="n"/>
      <c r="AF56" s="146" t="n"/>
      <c r="AG56" s="146" t="n"/>
      <c r="AH56" s="602">
        <f>SUM(IF(AD56=AD$5,4,0),IF(AD56&amp;AE56=AD$5&amp;AE$5,1,0),
IF(AND(AD56=AD$5,AE$6&gt;=$D$115),1,0),
IF(AND(AE56=AD$5,AE$6&gt;=$D$115),1,0),
IF(AND(AF56=AD$5,AE$6&gt;=$D$115),1,0),
IF(AD56&amp;AG56=AH$5,1,0),
IF(AE56=AD$5,2,0),
IF(AF56=AD$5,1,0),
IF(OR(AD56&amp;AE56&amp;AF56=AD$5&amp;AE$5&amp;AF$5,AD56&amp;AE56&amp;AF56=AD$5&amp;AF$5&amp;AE$5,AD56&amp;AE56&amp;AF56=AE$5&amp;AD$5&amp;AF$5,AD56&amp;AE56&amp;AF56=AE$5&amp;AF$5&amp;AD$5,AD56&amp;AE56&amp;AF56=AF$5&amp;AD$5&amp;AE$5,AD56&amp;AE56&amp;AF56=AF$5&amp;AE$5&amp;AD$5),2,0),IF(AND(AD56=AD$5,AE$6&gt;=$D$129),1,0),IF(AND(AE56=AD$5,AE$6&gt;=$D$129),1,0),IF(AND(AF56=AD$5,AE$6&gt;=$D$129),1,0),IF(AD56&amp;AG56=AG$5,4,0),IF(AND(AD56=AD$5,AE$6&lt;=$D$104),-0.5,0),IF(AND(AE56=AD$5,AE$6&lt;=$D$104),-0.5,0),IF(AND(AF56=AD$5,AE$6&lt;=$D$104),-0.5,0))</f>
        <v/>
      </c>
      <c r="AI56" s="145" t="n"/>
      <c r="AJ56" s="146" t="n"/>
      <c r="AK56" s="146" t="n"/>
      <c r="AL56" s="146" t="n"/>
      <c r="AM56" s="602">
        <f>SUM(IF(AI56=AI$5,4,0),IF(AI56&amp;AJ56=AI$5&amp;AJ$5,1,0),
IF(AND(AI56=AI$5,AJ$6&gt;=$D$115),1,0),
IF(AND(AJ56=AI$5,AJ$6&gt;=$D$115),1,0),
IF(AND(AK56=AI$5,AJ$6&gt;=$D$115),1,0),
IF(AI56&amp;AL56=AM$5,1,0),
IF(AJ56=AI$5,2,0),
IF(AK56=AI$5,1,0),
IF(OR(AI56&amp;AJ56&amp;AK56=AI$5&amp;AJ$5&amp;AK$5,AI56&amp;AJ56&amp;AK56=AI$5&amp;AK$5&amp;AJ$5,AI56&amp;AJ56&amp;AK56=AJ$5&amp;AI$5&amp;AK$5,AI56&amp;AJ56&amp;AK56=AJ$5&amp;AK$5&amp;AI$5,AI56&amp;AJ56&amp;AK56=AK$5&amp;AI$5&amp;AJ$5,AI56&amp;AJ56&amp;AK56=AK$5&amp;AJ$5&amp;AI$5),2,0),IF(AND(AI56=AI$5,AJ$6&gt;=$D$129),1,0),IF(AND(AJ56=AI$5,AJ$6&gt;=$D$129),1,0),IF(AND(AK56=AI$5,AJ$6&gt;=$D$129),1,0),IF(AI56&amp;AL56=AL$5,4,0),IF(AND(AI56=AI$5,AJ$6&lt;=$D$104),-0.5,0),IF(AND(AJ56=AI$5,AJ$6&lt;=$D$104),-0.5,0),IF(AND(AK56=AI$5,AJ$6&lt;=$D$104),-0.5,0))</f>
        <v/>
      </c>
      <c r="AN56" s="145" t="n"/>
      <c r="AO56" s="146" t="n"/>
      <c r="AP56" s="146" t="n"/>
      <c r="AQ56" s="146" t="n"/>
      <c r="AR56" s="602">
        <f>SUM(IF(AN56=AN$5,4,0),IF(AN56&amp;AO56=AN$5&amp;AO$5,1,0),
IF(AND(AN56=AN$5,AO$6&gt;=$D$115),1,0),
IF(AND(AO56=AN$5,AO$6&gt;=$D$115),1,0),
IF(AND(AP56=AN$5,AO$6&gt;=$D$115),1,0),
IF(AN56&amp;AQ56=AR$5,1,0),
IF(AO56=AN$5,2,0),
IF(AP56=AN$5,1,0),
IF(OR(AN56&amp;AO56&amp;AP56=AN$5&amp;AO$5&amp;AP$5,AN56&amp;AO56&amp;AP56=AN$5&amp;AP$5&amp;AO$5,AN56&amp;AO56&amp;AP56=AO$5&amp;AN$5&amp;AP$5,AN56&amp;AO56&amp;AP56=AO$5&amp;AP$5&amp;AN$5,AN56&amp;AO56&amp;AP56=AP$5&amp;AN$5&amp;AO$5,AN56&amp;AO56&amp;AP56=AP$5&amp;AO$5&amp;AN$5),2,0),IF(AND(AN56=AN$5,AO$6&gt;=$D$129),1,0),IF(AND(AO56=AN$5,AO$6&gt;=$D$129),1,0),IF(AND(AP56=AN$5,AO$6&gt;=$D$129),1,0),IF(AN56&amp;AQ56=AQ$5,4,0),IF(AND(AN56=AN$5,AO$6&lt;=$D$104),-0.5,0),IF(AND(AO56=AN$5,AO$6&lt;=$D$104),-0.5,0),IF(AND(AP56=AN$5,AO$6&lt;=$D$104),-0.5,0))</f>
        <v/>
      </c>
      <c r="AS56" s="145" t="n"/>
      <c r="AT56" s="146" t="n"/>
      <c r="AU56" s="146" t="n"/>
      <c r="AV56" s="146" t="n"/>
      <c r="AW56" s="602">
        <f>SUM(IF(AS56=AS$5,4,0),IF(AS56&amp;AT56=AS$5&amp;AT$5,1,0),
IF(AND(AS56=AS$5,AT$6&gt;=$D$115),1,0),
IF(AND(AT56=AS$5,AT$6&gt;=$D$115),1,0),
IF(AND(AU56=AS$5,AT$6&gt;=$D$115),1,0),
IF(AS56&amp;AV56=AW$5,1,0),
IF(AT56=AS$5,2,0),
IF(AU56=AS$5,1,0),
IF(OR(AS56&amp;AT56&amp;AU56=AS$5&amp;AT$5&amp;AU$5,AS56&amp;AT56&amp;AU56=AS$5&amp;AU$5&amp;AT$5,AS56&amp;AT56&amp;AU56=AT$5&amp;AS$5&amp;AU$5,AS56&amp;AT56&amp;AU56=AT$5&amp;AU$5&amp;AS$5,AS56&amp;AT56&amp;AU56=AU$5&amp;AS$5&amp;AT$5,AS56&amp;AT56&amp;AU56=AU$5&amp;AT$5&amp;AS$5),2,0),IF(AND(AS56=AS$5,AT$6&gt;=$D$129),1,0),IF(AND(AT56=AS$5,AT$6&gt;=$D$129),1,0),IF(AND(AU56=AS$5,AT$6&gt;=$D$129),1,0),IF(AS56&amp;AV56=AV$5,4,0),IF(AND(AS56=AS$5,AT$6&lt;=$D$104),-0.5,0),IF(AND(AT56=AS$5,AT$6&lt;=$D$104),-0.5,0),IF(AND(AU56=AS$5,AT$6&lt;=$D$104),-0.5,0))</f>
        <v/>
      </c>
      <c r="AX56" s="145" t="n"/>
      <c r="AY56" s="146" t="n"/>
      <c r="AZ56" s="146" t="n"/>
      <c r="BA56" s="146" t="n"/>
      <c r="BB56" s="602">
        <f>SUM(IF(AX56=AX$5,4,0),IF(AX56&amp;AY56=AX$5&amp;AY$5,1,0),
IF(AND(AX56=AX$5,AY$6&gt;=$D$115),1,0),
IF(AND(AY56=AX$5,AY$6&gt;=$D$115),1,0),
IF(AND(AZ56=AX$5,AY$6&gt;=$D$115),1,0),
IF(AX56&amp;BA56=BB$5,1,0),
IF(AY56=AX$5,2,0),
IF(AZ56=AX$5,1,0),
IF(OR(AX56&amp;AY56&amp;AZ56=AX$5&amp;AY$5&amp;AZ$5,AX56&amp;AY56&amp;AZ56=AX$5&amp;AZ$5&amp;AY$5,AX56&amp;AY56&amp;AZ56=AY$5&amp;AX$5&amp;AZ$5,AX56&amp;AY56&amp;AZ56=AY$5&amp;AZ$5&amp;AX$5,AX56&amp;AY56&amp;AZ56=AZ$5&amp;AX$5&amp;AY$5,AX56&amp;AY56&amp;AZ56=AZ$5&amp;AY$5&amp;AX$5),2,0),IF(AND(AX56=AX$5,AY$6&gt;=$D$129),1,0),IF(AND(AY56=AX$5,AY$6&gt;=$D$129),1,0),IF(AND(AZ56=AX$5,AY$6&gt;=$D$129),1,0),IF(AX56&amp;BA56=BA$5,4,0),IF(AND(AX56=AX$5,AY$6&lt;=$D$104),-0.5,0),IF(AND(AY56=AX$5,AY$6&lt;=$D$104),-0.5,0),IF(AND(AZ56=AX$5,AY$6&lt;=$D$104),-0.5,0))</f>
        <v/>
      </c>
      <c r="BC56" s="145" t="n"/>
      <c r="BD56" s="146" t="n"/>
      <c r="BE56" s="146" t="n"/>
      <c r="BF56" s="146" t="n"/>
      <c r="BG56" s="602">
        <f>SUM(IF(BC56=BC$5,4,0),IF(BC56&amp;BD56=BC$5&amp;BD$5,1,0),
IF(AND(BC56=BC$5,BD$6&gt;=$D$115),1,0),
IF(AND(BD56=BC$5,BD$6&gt;=$D$115),1,0),
IF(AND(BE56=BC$5,BD$6&gt;=$D$115),1,0),
IF(BC56&amp;BF56=BG$5,1,0),
IF(BD56=BC$5,2,0),
IF(BE56=BC$5,1,0),
IF(OR(BC56&amp;BD56&amp;BE56=BC$5&amp;BD$5&amp;BE$5,BC56&amp;BD56&amp;BE56=BC$5&amp;BE$5&amp;BD$5,BC56&amp;BD56&amp;BE56=BD$5&amp;BC$5&amp;BE$5,BC56&amp;BD56&amp;BE56=BD$5&amp;BE$5&amp;BC$5,BC56&amp;BD56&amp;BE56=BE$5&amp;BC$5&amp;BD$5,BC56&amp;BD56&amp;BE56=BE$5&amp;BD$5&amp;BC$5),2,0),IF(AND(BC56=BC$5,BD$6&gt;=$D$129),1,0),IF(AND(BD56=BC$5,BD$6&gt;=$D$129),1,0),IF(AND(BE56=BC$5,BD$6&gt;=$D$129),1,0),IF(BC56&amp;BF56=BF$5,4,0),IF(AND(BC56=BC$5,BD$6&lt;=$D$104),-0.5,0),IF(AND(BD56=BC$5,BD$6&lt;=$D$104),-0.5,0),IF(AND(BE56=BC$5,BD$6&lt;=$D$104),-0.5,0))</f>
        <v/>
      </c>
      <c r="BH56" s="145" t="n"/>
      <c r="BI56" s="146" t="n"/>
      <c r="BJ56" s="146" t="n"/>
      <c r="BK56" s="146" t="n"/>
      <c r="BL56" s="602">
        <f>SUM(IF(BH56=BH$5,4,0),IF(BH56&amp;BI56=BH$5&amp;BI$5,1,0),
IF(AND(BH56=BH$5,BI$6&gt;=$D$115),1,0),
IF(AND(BI56=BH$5,BI$6&gt;=$D$115),1,0),
IF(AND(BJ56=BH$5,BI$6&gt;=$D$115),1,0),
IF(BH56&amp;BK56=BL$5,1,0),
IF(BI56=BH$5,2,0),
IF(BJ56=BH$5,1,0),
IF(OR(BH56&amp;BI56&amp;BJ56=BH$5&amp;BI$5&amp;BJ$5,BH56&amp;BI56&amp;BJ56=BH$5&amp;BJ$5&amp;BI$5,BH56&amp;BI56&amp;BJ56=BI$5&amp;BH$5&amp;BJ$5,BH56&amp;BI56&amp;BJ56=BI$5&amp;BJ$5&amp;BH$5,BH56&amp;BI56&amp;BJ56=BJ$5&amp;BH$5&amp;BI$5,BH56&amp;BI56&amp;BJ56=BJ$5&amp;BI$5&amp;BH$5),2,0),IF(AND(BH56=BH$5,BI$6&gt;=$D$129),1,0),IF(AND(BI56=BH$5,BI$6&gt;=$D$129),1,0),IF(AND(BJ56=BH$5,BI$6&gt;=$D$129),1,0),IF(BH56&amp;BK56=BK$5,4,0),IF(AND(BH56=BH$5,BI$6&lt;=$D$104),-0.5,0),IF(AND(BI56=BH$5,BI$6&lt;=$D$104),-0.5,0),IF(AND(BJ56=BH$5,BI$6&lt;=$D$104),-0.5,0))</f>
        <v/>
      </c>
      <c r="BM56" s="145" t="n"/>
      <c r="BN56" s="146" t="n"/>
      <c r="BO56" s="146" t="n"/>
      <c r="BP56" s="146" t="n"/>
      <c r="BQ56" s="602">
        <f>SUM(IF(BM56=BM$5,4,0),IF(BM56&amp;BN56=BM$5&amp;BN$5,1,0),
IF(AND(BM56=BM$5,BN$6&gt;=$D$115),1,0),
IF(AND(BN56=BM$5,BN$6&gt;=$D$115),1,0),
IF(AND(BO56=BM$5,BN$6&gt;=$D$115),1,0),
IF(BM56&amp;BP56=BQ$5,1,0),
IF(BN56=BM$5,2,0),
IF(BO56=BM$5,1,0),
IF(OR(BM56&amp;BN56&amp;BO56=BM$5&amp;BN$5&amp;BO$5,BM56&amp;BN56&amp;BO56=BM$5&amp;BO$5&amp;BN$5,BM56&amp;BN56&amp;BO56=BN$5&amp;BM$5&amp;BO$5,BM56&amp;BN56&amp;BO56=BN$5&amp;BO$5&amp;BM$5,BM56&amp;BN56&amp;BO56=BO$5&amp;BM$5&amp;BN$5,BM56&amp;BN56&amp;BO56=BO$5&amp;BN$5&amp;BM$5),2,0),IF(AND(BM56=BM$5,BN$6&gt;=$D$129),1,0),IF(AND(BN56=BM$5,BN$6&gt;=$D$129),1,0),IF(AND(BO56=BM$5,BN$6&gt;=$D$129),1,0),IF(BM56&amp;BP56=BP$5,4,0),IF(AND(BM56=BM$5,BN$6&lt;=$D$104),-0.5,0),IF(AND(BN56=BM$5,BN$6&lt;=$D$104),-0.5,0),IF(AND(BO56=BM$5,BN$6&lt;=$D$104),-0.5,0))</f>
        <v/>
      </c>
      <c r="BR56" s="145" t="n"/>
      <c r="BS56" s="146" t="n"/>
      <c r="BT56" s="146" t="n"/>
      <c r="BU56" s="146" t="n"/>
      <c r="BV56" s="602">
        <f>SUM(IF(BR56=BR$5,4,0),IF(BR56&amp;BS56=BR$5&amp;BS$5,1,0),
IF(AND(BR56=BR$5,BS$6&gt;=$D$115),1,0),
IF(AND(BS56=BR$5,BS$6&gt;=$D$115),1,0),
IF(AND(BT56=BR$5,BS$6&gt;=$D$115),1,0),
IF(BR56&amp;BU56=BV$5,1,0),
IF(BS56=BR$5,2,0),
IF(BT56=BR$5,1,0),
IF(OR(BR56&amp;BS56&amp;BT56=BR$5&amp;BS$5&amp;BT$5,BR56&amp;BS56&amp;BT56=BR$5&amp;BT$5&amp;BS$5,BR56&amp;BS56&amp;BT56=BS$5&amp;BR$5&amp;BT$5,BR56&amp;BS56&amp;BT56=BS$5&amp;BT$5&amp;BR$5,BR56&amp;BS56&amp;BT56=BT$5&amp;BR$5&amp;BS$5,BR56&amp;BS56&amp;BT56=BT$5&amp;BS$5&amp;BR$5),2,0),IF(AND(BR56=BR$5,BS$6&gt;=$D$129),1,0),IF(AND(BS56=BR$5,BS$6&gt;=$D$129),1,0),IF(AND(BT56=BR$5,BS$6&gt;=$D$129),1,0),IF(BR56&amp;BU56=BU$5,4,0),IF(AND(BR56=BR$5,BS$6&lt;=$D$104),-0.5,0),IF(AND(BS56=BR$5,BS$6&lt;=$D$104),-0.5,0),IF(AND(BT56=BR$5,BS$6&lt;=$D$104),-0.5,0))</f>
        <v/>
      </c>
      <c r="BW56" s="145" t="n"/>
      <c r="BX56" s="146" t="n"/>
      <c r="BY56" s="146" t="n"/>
      <c r="BZ56" s="146" t="n"/>
      <c r="CA56" s="602">
        <f>SUM(IF(BW56=BW$5,4,0),IF(BW56&amp;BX56=BW$5&amp;BX$5,1,0),
IF(AND(BW56=BW$5,BX$6&gt;=$D$115),1,0),
IF(AND(BX56=BW$5,BX$6&gt;=$D$115),1,0),
IF(AND(BY56=BW$5,BX$6&gt;=$D$115),1,0),
IF(BW56&amp;BZ56=CA$5,1,0),
IF(BX56=BW$5,2,0),
IF(BY56=BW$5,1,0),
IF(OR(BW56&amp;BX56&amp;BY56=BW$5&amp;BX$5&amp;BY$5,BW56&amp;BX56&amp;BY56=BW$5&amp;BY$5&amp;BX$5,BW56&amp;BX56&amp;BY56=BX$5&amp;BW$5&amp;BY$5,BW56&amp;BX56&amp;BY56=BX$5&amp;BY$5&amp;BW$5,BW56&amp;BX56&amp;BY56=BY$5&amp;BW$5&amp;BX$5,BW56&amp;BX56&amp;BY56=BY$5&amp;BX$5&amp;BW$5),2,0),IF(AND(BW56=BW$5,BX$6&gt;=$D$129),1,0),IF(AND(BX56=BW$5,BX$6&gt;=$D$129),1,0),IF(AND(BY56=BW$5,BX$6&gt;=$D$129),1,0),IF(BW56&amp;BZ56=BZ$5,4,0),IF(AND(BW56=BW$5,BX$6&lt;=$D$104),-0.5,0),IF(AND(BX56=BW$5,BX$6&lt;=$D$104),-0.5,0),IF(AND(BY56=BW$5,BX$6&lt;=$D$104),-0.5,0))</f>
        <v/>
      </c>
      <c r="CB56" s="145" t="n"/>
      <c r="CC56" s="146" t="n"/>
      <c r="CD56" s="146" t="n"/>
      <c r="CE56" s="146" t="n"/>
      <c r="CF56" s="602">
        <f>SUM(IF(CB56=CB$5,4,0),IF(CB56&amp;CC56=CB$5&amp;CC$5,1,0),
IF(AND(CB56=CB$5,CC$6&gt;=$D$115),1,0),
IF(AND(CC56=CB$5,CC$6&gt;=$D$115),1,0),
IF(AND(CD56=CB$5,CC$6&gt;=$D$115),1,0),
IF(CB56&amp;CE56=CF$5,1,0),
IF(CC56=CB$5,2,0),
IF(CD56=CB$5,1,0),
IF(OR(CB56&amp;CC56&amp;CD56=CB$5&amp;CC$5&amp;CD$5,CB56&amp;CC56&amp;CD56=CB$5&amp;CD$5&amp;CC$5,CB56&amp;CC56&amp;CD56=CC$5&amp;CB$5&amp;CD$5,CB56&amp;CC56&amp;CD56=CC$5&amp;CD$5&amp;CB$5,CB56&amp;CC56&amp;CD56=CD$5&amp;CB$5&amp;CC$5,CB56&amp;CC56&amp;CD56=CD$5&amp;CC$5&amp;CB$5),2,0),IF(AND(CB56=CB$5,CC$6&gt;=$D$129),1,0),IF(AND(CC56=CB$5,CC$6&gt;=$D$129),1,0),IF(AND(CD56=CB$5,CC$6&gt;=$D$129),1,0),IF(CB56&amp;CE56=CE$5,4,0),IF(AND(CB56=CB$5,CC$6&lt;=$D$104),-0.5,0),IF(AND(CC56=CB$5,CC$6&lt;=$D$104),-0.5,0),IF(AND(CD56=CB$5,CC$6&lt;=$D$104),-0.5,0))</f>
        <v/>
      </c>
      <c r="CG56" s="164">
        <f>IF(BASE01[[#This Row],[1]]="",0,$B$4)</f>
        <v/>
      </c>
      <c r="CH56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6" s="189">
        <f>IF(BASE01[[#This Row],[Columna14]]=0,0,(CH56/CG56))</f>
        <v/>
      </c>
      <c r="CJ56" s="165">
        <f>IF(BASE01[[#This Row],[1]]="",0,$B$4)</f>
        <v/>
      </c>
      <c r="CK56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6" s="189">
        <f>IF(BASE01[[#This Row],[Columna14]]=0,0,(CK56/CJ56))</f>
        <v/>
      </c>
      <c r="CM56" s="164">
        <f>IF(BASE01[[#This Row],[1]]="",0,$B$4)</f>
        <v/>
      </c>
      <c r="CN56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6" s="189">
        <f>IF(BASE01[[#This Row],[Columna14]]=0,0,(CN56/CM56))</f>
        <v/>
      </c>
      <c r="CP56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6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Row],[Columna25]],$AX$5,BA56,"SF")+COUNTIFS(BASE01[[#This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6" s="189">
        <f>IF(BASE01[[#This Row],[Columna14]]=0,0,(CQ56/CP56))</f>
        <v/>
      </c>
      <c r="CS56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6" s="95" t="n"/>
      <c r="CU56" s="604">
        <f>SUM(CS56,CT56)</f>
        <v/>
      </c>
      <c r="CV56" s="96">
        <f>IF(BASE01[[#This Row],[TIPO]]="PREMIO",$O$3,"0,00")</f>
        <v/>
      </c>
      <c r="CW56" s="576" t="n"/>
      <c r="CY56" s="606">
        <f>IF(CZ56="","",$CZ$25)</f>
        <v/>
      </c>
      <c r="CZ56" s="392" t="n"/>
      <c r="DA56" s="392">
        <f t="array" ref="DA56">IF(CZ56="", "", IF((INDEX(E$8:CE$57, MATCH(CZ56, C$8:C$57, 0), ($CZ$25-1)*5 + 1) &amp; "") = (INDEX(E$5:CE$5, 1, ($CZ$25-1)*5 + 1) &amp; ""), 1, IF((INDEX(E$8:CE$57, MATCH(CZ56, C$8:C$57, 0), ($CZ$25-1)*5 + 2) &amp; "") = (INDEX(E$5:CE$5, 1, ($CZ$25-1)*5 + 1) &amp; ""), 2, IF((INDEX(E$8:CE$57, MATCH(CZ56, C$8:C$57, 0), ($CZ$25-1)*5 + 3) &amp; "") = (INDEX(E$5:CE$5, 1, ($CZ$25-1)*5 + 1) &amp; ""), 3, ""))))</f>
        <v/>
      </c>
      <c r="DB56" s="605">
        <f>BASE01[[#This Row],[COD]]</f>
        <v/>
      </c>
      <c r="DC56" s="395">
        <f t="array" ref="DC56">IFERROR(IF(AND(INDEX($E$8:$CE$57, MATCH($C56, $C$8:$C$57, 0), (COLUMNS($DC56:DC56)-1)*5 + 1) = INDEX($E$5:$CE$5, 1, (COLUMNS($DC56:DC56)-1)*5 + 1), INDEX($E$8:$CE$57, MATCH($C56, $C$8:$C$57, 0), (COLUMNS($DC56:DC56)-1)*5 + 4) = "F"), INDEX($CZ$8:$CZ$23, COLUMNS($DC56:DC56)), "0"), "")</f>
        <v/>
      </c>
      <c r="DD56" s="395">
        <f t="array" ref="DD56">IFERROR(IF(AND(INDEX($E$8:$CE$57, MATCH($C56, $C$8:$C$57, 0), (COLUMNS($DC56:DD56)-1)*5 + 1) = INDEX($E$5:$CE$5, 1, (COLUMNS($DC56:DD56)-1)*5 + 1), INDEX($E$8:$CE$57, MATCH($C56, $C$8:$C$57, 0), (COLUMNS($DC56:DD56)-1)*5 + 4) = "F"), INDEX($CZ$8:$CZ$23, COLUMNS($DC56:DD56)), "0"), "")</f>
        <v/>
      </c>
      <c r="DE56" s="395">
        <f t="array" ref="DE56">IFERROR(IF(AND(INDEX($E$8:$CE$57, MATCH($C56, $C$8:$C$57, 0), (COLUMNS($DC56:DE56)-1)*5 + 1) = INDEX($E$5:$CE$5, 1, (COLUMNS($DC56:DE56)-1)*5 + 1), INDEX($E$8:$CE$57, MATCH($C56, $C$8:$C$57, 0), (COLUMNS($DC56:DE56)-1)*5 + 4) = "F"), INDEX($CZ$8:$CZ$23, COLUMNS($DC56:DE56)), "0"), "")</f>
        <v/>
      </c>
      <c r="DF56" s="395">
        <f t="array" ref="DF56">IFERROR(IF(AND(INDEX($E$8:$CE$57, MATCH($C56, $C$8:$C$57, 0), (COLUMNS($DC56:DF56)-1)*5 + 1) = INDEX($E$5:$CE$5, 1, (COLUMNS($DC56:DF56)-1)*5 + 1), INDEX($E$8:$CE$57, MATCH($C56, $C$8:$C$57, 0), (COLUMNS($DC56:DF56)-1)*5 + 4) = "F"), INDEX($CZ$8:$CZ$23, COLUMNS($DC56:DF56)), "0"), "")</f>
        <v/>
      </c>
      <c r="DG56" s="395">
        <f t="array" ref="DG56">IFERROR(IF(AND(INDEX($E$8:$CE$57, MATCH($C56, $C$8:$C$57, 0), (COLUMNS($DC56:DG56)-1)*5 + 1) = INDEX($E$5:$CE$5, 1, (COLUMNS($DC56:DG56)-1)*5 + 1), INDEX($E$8:$CE$57, MATCH($C56, $C$8:$C$57, 0), (COLUMNS($DC56:DG56)-1)*5 + 4) = "F"), INDEX($CZ$8:$CZ$23, COLUMNS($DC56:DG56)), "0"), "")</f>
        <v/>
      </c>
      <c r="DH56" s="395">
        <f t="array" ref="DH56">IFERROR(IF(AND(INDEX($E$8:$CE$57, MATCH($C56, $C$8:$C$57, 0), (COLUMNS($DC56:DH56)-1)*5 + 1) = INDEX($E$5:$CE$5, 1, (COLUMNS($DC56:DH56)-1)*5 + 1), INDEX($E$8:$CE$57, MATCH($C56, $C$8:$C$57, 0), (COLUMNS($DC56:DH56)-1)*5 + 4) = "F"), INDEX($CZ$8:$CZ$23, COLUMNS($DC56:DH56)), "0"), "")</f>
        <v/>
      </c>
      <c r="DI56" s="395">
        <f t="array" ref="DI56">IFERROR(IF(AND(INDEX($E$8:$CE$57, MATCH($C56, $C$8:$C$57, 0), (COLUMNS($DC56:DI56)-1)*5 + 1) = INDEX($E$5:$CE$5, 1, (COLUMNS($DC56:DI56)-1)*5 + 1), INDEX($E$8:$CE$57, MATCH($C56, $C$8:$C$57, 0), (COLUMNS($DC56:DI56)-1)*5 + 4) = "F"), INDEX($CZ$8:$CZ$23, COLUMNS($DC56:DI56)), "0"), "")</f>
        <v/>
      </c>
      <c r="DJ56" s="395">
        <f t="array" ref="DJ56">IFERROR(IF(AND(INDEX($E$8:$CE$57, MATCH($C56, $C$8:$C$57, 0), (COLUMNS($DC56:DJ56)-1)*5 + 1) = INDEX($E$5:$CE$5, 1, (COLUMNS($DC56:DJ56)-1)*5 + 1), INDEX($E$8:$CE$57, MATCH($C56, $C$8:$C$57, 0), (COLUMNS($DC56:DJ56)-1)*5 + 4) = "F"), INDEX($CZ$8:$CZ$23, COLUMNS($DC56:DJ56)), "0"), "")</f>
        <v/>
      </c>
      <c r="DK56" s="395">
        <f t="array" ref="DK56">IFERROR(IF(AND(INDEX($E$8:$CE$57, MATCH($C56, $C$8:$C$57, 0), (COLUMNS($DC56:DK56)-1)*5 + 1) = INDEX($E$5:$CE$5, 1, (COLUMNS($DC56:DK56)-1)*5 + 1), INDEX($E$8:$CE$57, MATCH($C56, $C$8:$C$57, 0), (COLUMNS($DC56:DK56)-1)*5 + 4) = "F"), INDEX($CZ$8:$CZ$23, COLUMNS($DC56:DK56)), "0"), "")</f>
        <v/>
      </c>
      <c r="DL56" s="395">
        <f t="array" ref="DL56">IFERROR(IF(AND(INDEX($E$8:$CE$57, MATCH($C56, $C$8:$C$57, 0), (COLUMNS($DC56:DL56)-1)*5 + 1) = INDEX($E$5:$CE$5, 1, (COLUMNS($DC56:DL56)-1)*5 + 1), INDEX($E$8:$CE$57, MATCH($C56, $C$8:$C$57, 0), (COLUMNS($DC56:DL56)-1)*5 + 4) = "F"), INDEX($CZ$8:$CZ$23, COLUMNS($DC56:DL56)), "0"), "")</f>
        <v/>
      </c>
      <c r="DM56" s="395">
        <f t="array" ref="DM56">IFERROR(IF(AND(INDEX($E$8:$CE$57, MATCH($C56, $C$8:$C$57, 0), (COLUMNS($DC56:DM56)-1)*5 + 1) = INDEX($E$5:$CE$5, 1, (COLUMNS($DC56:DM56)-1)*5 + 1), INDEX($E$8:$CE$57, MATCH($C56, $C$8:$C$57, 0), (COLUMNS($DC56:DM56)-1)*5 + 4) = "F"), INDEX($CZ$8:$CZ$23, COLUMNS($DC56:DM56)), "0"), "")</f>
        <v/>
      </c>
      <c r="DN56" s="395">
        <f t="array" ref="DN56">IFERROR(IF(AND(INDEX($E$8:$CE$57, MATCH($C56, $C$8:$C$57, 0), (COLUMNS($DC56:DN56)-1)*5 + 1) = INDEX($E$5:$CE$5, 1, (COLUMNS($DC56:DN56)-1)*5 + 1), INDEX($E$8:$CE$57, MATCH($C56, $C$8:$C$57, 0), (COLUMNS($DC56:DN56)-1)*5 + 4) = "F"), INDEX($CZ$8:$CZ$23, COLUMNS($DC56:DN56)), "0"), "")</f>
        <v/>
      </c>
      <c r="DO56" s="395">
        <f t="array" ref="DO56">IFERROR(IF(AND(INDEX($E$8:$CE$57, MATCH($C56, $C$8:$C$57, 0), (COLUMNS($DC56:DO56)-1)*5 + 1) = INDEX($E$5:$CE$5, 1, (COLUMNS($DC56:DO56)-1)*5 + 1), INDEX($E$8:$CE$57, MATCH($C56, $C$8:$C$57, 0), (COLUMNS($DC56:DO56)-1)*5 + 4) = "F"), INDEX($CZ$8:$CZ$23, COLUMNS($DC56:DO56)), "0"), "")</f>
        <v/>
      </c>
      <c r="DP56" s="395">
        <f t="array" ref="DP56">IFERROR(IF(AND(INDEX($E$8:$CE$57, MATCH($C56, $C$8:$C$57, 0), (COLUMNS($DC56:DP56)-1)*5 + 1) = INDEX($E$5:$CE$5, 1, (COLUMNS($DC56:DP56)-1)*5 + 1), INDEX($E$8:$CE$57, MATCH($C56, $C$8:$C$57, 0), (COLUMNS($DC56:DP56)-1)*5 + 4) = "F"), INDEX($CZ$8:$CZ$23, COLUMNS($DC56:DP56)), "0"), "")</f>
        <v/>
      </c>
      <c r="DQ56" s="395">
        <f t="array" ref="DQ56">IFERROR(IF(AND(INDEX($E$8:$CE$57, MATCH($C56, $C$8:$C$57, 0), (COLUMNS($DC56:DQ56)-1)*5 + 1) = INDEX($E$5:$CE$5, 1, (COLUMNS($DC56:DQ56)-1)*5 + 1), INDEX($E$8:$CE$57, MATCH($C56, $C$8:$C$57, 0), (COLUMNS($DC56:DQ56)-1)*5 + 4) = "F"), INDEX($CZ$8:$CZ$23, COLUMNS($DC56:DQ56)), "0"), "")</f>
        <v/>
      </c>
      <c r="DR56" s="395">
        <f t="array" ref="DR56">IFERROR(IF(AND(INDEX($E$8:$CE$57, MATCH($C56, $C$8:$C$57, 0), (COLUMNS($DC56:DR56)-1)*5 + 1) = INDEX($E$5:$CE$5, 1, (COLUMNS($DC56:DR56)-1)*5 + 1), INDEX($E$8:$CE$57, MATCH($C56, $C$8:$C$57, 0), (COLUMNS($DC56:DR56)-1)*5 + 4) = "F"), INDEX($CZ$8:$CZ$23, COLUMNS($DC56:DR56)), "0"), "")</f>
        <v/>
      </c>
      <c r="DT56" s="605">
        <f>BASE01[[#This Row],[COD]]</f>
        <v/>
      </c>
      <c r="DU56" s="395">
        <f t="array" ref="DU56">IFERROR(IF(AND(INDEX($E$8:$CE$57, MATCH($C56, $C$8:$C$57, 0), (COLUMNS($DU56:DU56)-1)*5 + 1) = INDEX($E$5:$CE$5, 1, (COLUMNS($DU56:DU56)-1)*5 + 1), INDEX($E$8:$CE$57, MATCH($C56, $C$8:$C$57, 0), (COLUMNS($DU56:DU56)-1)*5 + 4) = "SF"), INDEX($CZ$8:$CZ$23, COLUMNS($DU56:DU56)), "0"), "")</f>
        <v/>
      </c>
      <c r="DV56" s="395">
        <f t="array" ref="DV56">IFERROR(IF(AND(INDEX($E$8:$CE$57, MATCH($C56, $C$8:$C$57, 0), (COLUMNS($DU56:DV56)-1)*5 + 1) = INDEX($E$5:$CE$5, 1, (COLUMNS($DU56:DV56)-1)*5 + 1), INDEX($E$8:$CE$57, MATCH($C56, $C$8:$C$57, 0), (COLUMNS($DU56:DV56)-1)*5 + 4) = "SF"), INDEX($CZ$8:$CZ$23, COLUMNS($DU56:DV56)), "0"), "")</f>
        <v/>
      </c>
      <c r="DW56" s="395">
        <f t="array" ref="DW56">IFERROR(IF(AND(INDEX($E$8:$CE$57, MATCH($C56, $C$8:$C$57, 0), (COLUMNS($DU56:DW56)-1)*5 + 1) = INDEX($E$5:$CE$5, 1, (COLUMNS($DU56:DW56)-1)*5 + 1), INDEX($E$8:$CE$57, MATCH($C56, $C$8:$C$57, 0), (COLUMNS($DU56:DW56)-1)*5 + 4) = "SF"), INDEX($CZ$8:$CZ$23, COLUMNS($DU56:DW56)), "0"), "")</f>
        <v/>
      </c>
      <c r="DX56" s="395">
        <f t="array" ref="DX56">IFERROR(IF(AND(INDEX($E$8:$CE$57, MATCH($C56, $C$8:$C$57, 0), (COLUMNS($DU56:DX56)-1)*5 + 1) = INDEX($E$5:$CE$5, 1, (COLUMNS($DU56:DX56)-1)*5 + 1), INDEX($E$8:$CE$57, MATCH($C56, $C$8:$C$57, 0), (COLUMNS($DU56:DX56)-1)*5 + 4) = "SF"), INDEX($CZ$8:$CZ$23, COLUMNS($DU56:DX56)), "0"), "")</f>
        <v/>
      </c>
      <c r="DY56" s="395">
        <f t="array" ref="DY56">IFERROR(IF(AND(INDEX($E$8:$CE$57, MATCH($C56, $C$8:$C$57, 0), (COLUMNS($DU56:DY56)-1)*5 + 1) = INDEX($E$5:$CE$5, 1, (COLUMNS($DU56:DY56)-1)*5 + 1), INDEX($E$8:$CE$57, MATCH($C56, $C$8:$C$57, 0), (COLUMNS($DU56:DY56)-1)*5 + 4) = "SF"), INDEX($CZ$8:$CZ$23, COLUMNS($DU56:DY56)), "0"), "")</f>
        <v/>
      </c>
      <c r="DZ56" s="395">
        <f t="array" ref="DZ56">IFERROR(IF(AND(INDEX($E$8:$CE$57, MATCH($C56, $C$8:$C$57, 0), (COLUMNS($DU56:DZ56)-1)*5 + 1) = INDEX($E$5:$CE$5, 1, (COLUMNS($DU56:DZ56)-1)*5 + 1), INDEX($E$8:$CE$57, MATCH($C56, $C$8:$C$57, 0), (COLUMNS($DU56:DZ56)-1)*5 + 4) = "SF"), INDEX($CZ$8:$CZ$23, COLUMNS($DU56:DZ56)), "0"), "")</f>
        <v/>
      </c>
      <c r="EA56" s="395">
        <f t="array" ref="EA56">IFERROR(IF(AND(INDEX($E$8:$CE$57, MATCH($C56, $C$8:$C$57, 0), (COLUMNS($DU56:EA56)-1)*5 + 1) = INDEX($E$5:$CE$5, 1, (COLUMNS($DU56:EA56)-1)*5 + 1), INDEX($E$8:$CE$57, MATCH($C56, $C$8:$C$57, 0), (COLUMNS($DU56:EA56)-1)*5 + 4) = "SF"), INDEX($CZ$8:$CZ$23, COLUMNS($DU56:EA56)), "0"), "")</f>
        <v/>
      </c>
      <c r="EB56" s="395">
        <f t="array" ref="EB56">IFERROR(IF(AND(INDEX($E$8:$CE$57, MATCH($C56, $C$8:$C$57, 0), (COLUMNS($DU56:EB56)-1)*5 + 1) = INDEX($E$5:$CE$5, 1, (COLUMNS($DU56:EB56)-1)*5 + 1), INDEX($E$8:$CE$57, MATCH($C56, $C$8:$C$57, 0), (COLUMNS($DU56:EB56)-1)*5 + 4) = "SF"), INDEX($CZ$8:$CZ$23, COLUMNS($DU56:EB56)), "0"), "")</f>
        <v/>
      </c>
      <c r="EC56" s="395">
        <f t="array" ref="EC56">IFERROR(IF(AND(INDEX($E$8:$CE$57, MATCH($C56, $C$8:$C$57, 0), (COLUMNS($DU56:EC56)-1)*5 + 1) = INDEX($E$5:$CE$5, 1, (COLUMNS($DU56:EC56)-1)*5 + 1), INDEX($E$8:$CE$57, MATCH($C56, $C$8:$C$57, 0), (COLUMNS($DU56:EC56)-1)*5 + 4) = "SF"), INDEX($CZ$8:$CZ$23, COLUMNS($DU56:EC56)), "0"), "")</f>
        <v/>
      </c>
      <c r="ED56" s="395">
        <f t="array" ref="ED56">IFERROR(IF(AND(INDEX($E$8:$CE$57, MATCH($C56, $C$8:$C$57, 0), (COLUMNS($DU56:ED56)-1)*5 + 1) = INDEX($E$5:$CE$5, 1, (COLUMNS($DU56:ED56)-1)*5 + 1), INDEX($E$8:$CE$57, MATCH($C56, $C$8:$C$57, 0), (COLUMNS($DU56:ED56)-1)*5 + 4) = "SF"), INDEX($CZ$8:$CZ$23, COLUMNS($DU56:ED56)), "0"), "")</f>
        <v/>
      </c>
      <c r="EE56" s="395">
        <f t="array" ref="EE56">IFERROR(IF(AND(INDEX($E$8:$CE$57, MATCH($C56, $C$8:$C$57, 0), (COLUMNS($DU56:EE56)-1)*5 + 1) = INDEX($E$5:$CE$5, 1, (COLUMNS($DU56:EE56)-1)*5 + 1), INDEX($E$8:$CE$57, MATCH($C56, $C$8:$C$57, 0), (COLUMNS($DU56:EE56)-1)*5 + 4) = "SF"), INDEX($CZ$8:$CZ$23, COLUMNS($DU56:EE56)), "0"), "")</f>
        <v/>
      </c>
      <c r="EF56" s="395">
        <f t="array" ref="EF56">IFERROR(IF(AND(INDEX($E$8:$CE$57, MATCH($C56, $C$8:$C$57, 0), (COLUMNS($DU56:EF56)-1)*5 + 1) = INDEX($E$5:$CE$5, 1, (COLUMNS($DU56:EF56)-1)*5 + 1), INDEX($E$8:$CE$57, MATCH($C56, $C$8:$C$57, 0), (COLUMNS($DU56:EF56)-1)*5 + 4) = "SF"), INDEX($CZ$8:$CZ$23, COLUMNS($DU56:EF56)), "0"), "")</f>
        <v/>
      </c>
      <c r="EG56" s="395">
        <f t="array" ref="EG56">IFERROR(IF(AND(INDEX($E$8:$CE$57, MATCH($C56, $C$8:$C$57, 0), (COLUMNS($DU56:EG56)-1)*5 + 1) = INDEX($E$5:$CE$5, 1, (COLUMNS($DU56:EG56)-1)*5 + 1), INDEX($E$8:$CE$57, MATCH($C56, $C$8:$C$57, 0), (COLUMNS($DU56:EG56)-1)*5 + 4) = "SF"), INDEX($CZ$8:$CZ$23, COLUMNS($DU56:EG56)), "0"), "")</f>
        <v/>
      </c>
      <c r="EH56" s="395">
        <f t="array" ref="EH56">IFERROR(IF(AND(INDEX($E$8:$CE$57, MATCH($C56, $C$8:$C$57, 0), (COLUMNS($DU56:EH56)-1)*5 + 1) = INDEX($E$5:$CE$5, 1, (COLUMNS($DU56:EH56)-1)*5 + 1), INDEX($E$8:$CE$57, MATCH($C56, $C$8:$C$57, 0), (COLUMNS($DU56:EH56)-1)*5 + 4) = "SF"), INDEX($CZ$8:$CZ$23, COLUMNS($DU56:EH56)), "0"), "")</f>
        <v/>
      </c>
      <c r="EI56" s="395">
        <f t="array" ref="EI56">IFERROR(IF(AND(INDEX($E$8:$CE$57, MATCH($C56, $C$8:$C$57, 0), (COLUMNS($DU56:EI56)-1)*5 + 1) = INDEX($E$5:$CE$5, 1, (COLUMNS($DU56:EI56)-1)*5 + 1), INDEX($E$8:$CE$57, MATCH($C56, $C$8:$C$57, 0), (COLUMNS($DU56:EI56)-1)*5 + 4) = "SF"), INDEX($CZ$8:$CZ$23, COLUMNS($DU56:EI56)), "0"), "")</f>
        <v/>
      </c>
      <c r="EJ56" s="395">
        <f t="array" ref="EJ56">IFERROR(IF(AND(INDEX($E$8:$CE$57, MATCH($C56, $C$8:$C$57, 0), (COLUMNS($DU56:EJ56)-1)*5 + 1) = INDEX($E$5:$CE$5, 1, (COLUMNS($DU56:EJ56)-1)*5 + 1), INDEX($E$8:$CE$57, MATCH($C56, $C$8:$C$57, 0), (COLUMNS($DU56:EJ56)-1)*5 + 4) = "SF"), INDEX($CZ$8:$CZ$23, COLUMNS($DU56:EJ56)), "0"), "")</f>
        <v/>
      </c>
    </row>
    <row r="57" outlineLevel="1" ht="20.1" customHeight="1" s="568">
      <c r="A57" s="576" t="n"/>
      <c r="B57" s="92">
        <f>IF(BASE01[[#This Row],[COD]]&lt;&gt;"",B56+1,"")</f>
        <v/>
      </c>
      <c r="C57" s="601" t="inlineStr">
        <is>
          <t>COD 50</t>
        </is>
      </c>
      <c r="D57" s="93">
        <f t="array" ref="D57">IF(BASE01[[#This Row],[COD]]="","",_xlfn.IFS(_xlfn.XLOOKUP(BASE01[[#This Row],[COD]],CODIGOS_Y_PAGOS[CODIGO],CODIGOS_Y_PAGOS[06/09/2026],"")="X","PREMIO",_xlfn.XLOOKUP(BASE01[[#This Row],[COD]],CODIGOS_Y_PAGOS[CODIGO],CODIGOS_Y_PAGOS[06/09/2026],"")="","NO ENVIÓ",_xlfn.XLOOKUP(BASE01[[#This Row],[COD]],CODIGOS_Y_PAGOS[CODIGO],CODIGOS_Y_PAGOS[06/09/2026],"")=0,"MEETING",_xlfn.XLOOKUP(BASE01[[#This Row],[COD]],CODIGOS_Y_PAGOS[CODIGO],CODIGOS_Y_PAGOS[06/09/2026],"")="O","PREMIO",_xlfn.XLOOKUP(BASE01[[#This Row],[COD]],CODIGOS_Y_PAGOS[CODIGO],CODIGOS_Y_PAGOS[06/09/2026],"")="-","PAGO PENDIENTE"))</f>
        <v/>
      </c>
      <c r="E57" s="145" t="n"/>
      <c r="F57" s="146" t="n"/>
      <c r="G57" s="146" t="n"/>
      <c r="H57" s="146" t="n"/>
      <c r="I57" s="602">
        <f>SUM(IF(E57=E$5,4,0),IF(E57&amp;F57=E$5&amp;F$5,1,0),
IF(AND(E57=E$5,F$6&gt;=$D$115),1,0),
IF(AND(F57=E$5,F$6&gt;=$D$115),1,0),
IF(AND(G57=E$5,F$6&gt;=$D$115),1,0),
IF(E57&amp;H57=I$5,1,0),
IF(F57=E$5,2,0),
IF(G57=E$5,1,0),
IF(OR(E57&amp;F57&amp;G57=E$5&amp;F$5&amp;G$5,E57&amp;F57&amp;G57=E$5&amp;G$5&amp;F$5,E57&amp;F57&amp;G57=F$5&amp;E$5&amp;G$5,E57&amp;F57&amp;G57=F$5&amp;G$5&amp;E$5,E57&amp;F57&amp;G57=G$5&amp;E$5&amp;F$5,E57&amp;F57&amp;G57=G$5&amp;F$5&amp;E$5),2,0),IF(AND(E57=E$5,F$6&gt;=$D$129),1,0),IF(AND(F57=E$5,F$6&gt;=$D$129),1,0),IF(AND(G57=E$5,F$6&gt;=$D$129),1,0),IF(E57&amp;H57=H$5,4,0),IF(AND(E57=E$5,F$6&lt;=$D$104),-0.5,0),IF(AND(F57=E$5,F$6&lt;=$D$104),-0.5,0),IF(AND(G57=E$5,F$6&lt;=$D$104),-0.5,0))</f>
        <v/>
      </c>
      <c r="J57" s="145" t="n"/>
      <c r="K57" s="146" t="n"/>
      <c r="L57" s="146" t="n"/>
      <c r="M57" s="146" t="n"/>
      <c r="N57" s="602">
        <f>SUM(IF(J57=J$5,4,0),IF(J57&amp;K57=J$5&amp;K$5,1,0),
IF(AND(J57=J$5,K$6&gt;=$D$115),1,0),
IF(AND(K57=J$5,K$6&gt;=$D$115),1,0),
IF(AND(L57=J$5,K$6&gt;=$D$115),1,0),
IF(J57&amp;M57=N$5,1,0),
IF(K57=J$5,2,0),
IF(L57=J$5,1,0),
IF(OR(J57&amp;K57&amp;L57=J$5&amp;K$5&amp;L$5,J57&amp;K57&amp;L57=J$5&amp;L$5&amp;K$5,J57&amp;K57&amp;L57=K$5&amp;J$5&amp;L$5,J57&amp;K57&amp;L57=K$5&amp;L$5&amp;J$5,J57&amp;K57&amp;L57=L$5&amp;J$5&amp;K$5,J57&amp;K57&amp;L57=L$5&amp;K$5&amp;J$5),2,0),IF(AND(J57=J$5,K$6&gt;=$D$129),1,0),IF(AND(K57=J$5,K$6&gt;=$D$129),1,0),IF(AND(L57=J$5,K$6&gt;=$D$129),1,0),IF(J57&amp;M57=M$5,4,0),IF(AND(J57=J$5,K$6&lt;=$D$104),-0.5,0),IF(AND(K57=J$5,K$6&lt;=$D$104),-0.5,0),IF(AND(L57=J$5,K$6&lt;=$D$104),-0.5,0))</f>
        <v/>
      </c>
      <c r="O57" s="145" t="n"/>
      <c r="P57" s="146" t="n"/>
      <c r="Q57" s="146" t="n"/>
      <c r="R57" s="146" t="n"/>
      <c r="S57" s="602">
        <f>SUM(IF(O57=O$5,4,0),IF(O57&amp;P57=O$5&amp;P$5,1,0),
IF(AND(O57=O$5,P$6&gt;=$D$115),1,0),
IF(AND(P57=O$5,P$6&gt;=$D$115),1,0),
IF(AND(Q57=O$5,P$6&gt;=$D$115),1,0),
IF(O57&amp;R57=S$5,1,0),
IF(P57=O$5,2,0),
IF(Q57=O$5,1,0),
IF(OR(O57&amp;P57&amp;Q57=O$5&amp;P$5&amp;Q$5,O57&amp;P57&amp;Q57=O$5&amp;Q$5&amp;P$5,O57&amp;P57&amp;Q57=P$5&amp;O$5&amp;Q$5,O57&amp;P57&amp;Q57=P$5&amp;Q$5&amp;O$5,O57&amp;P57&amp;Q57=Q$5&amp;O$5&amp;P$5,O57&amp;P57&amp;Q57=Q$5&amp;P$5&amp;O$5),2,0),IF(AND(O57=O$5,P$6&gt;=$D$129),1,0),IF(AND(P57=O$5,P$6&gt;=$D$129),1,0),IF(AND(Q57=O$5,P$6&gt;=$D$129),1,0),IF(O57&amp;R57=R$5,4,0),IF(AND(O57=O$5,P$6&lt;=$D$104),-0.5,0),IF(AND(P57=O$5,P$6&lt;=$D$104),-0.5,0),IF(AND(Q57=O$5,P$6&lt;=$D$104),-0.5,0))</f>
        <v/>
      </c>
      <c r="T57" s="145" t="n"/>
      <c r="U57" s="146" t="n"/>
      <c r="V57" s="146" t="n"/>
      <c r="W57" s="146" t="n"/>
      <c r="X57" s="602">
        <f>SUM(IF(T57=T$5,4,0),IF(T57&amp;U57=T$5&amp;U$5,1,0),
IF(AND(T57=T$5,U$6&gt;=$D$115),1,0),
IF(AND(U57=T$5,U$6&gt;=$D$115),1,0),
IF(AND(V57=T$5,U$6&gt;=$D$115),1,0),
IF(T57&amp;W57=X$5,1,0),
IF(U57=T$5,2,0),
IF(V57=T$5,1,0),
IF(OR(T57&amp;U57&amp;V57=T$5&amp;U$5&amp;V$5,T57&amp;U57&amp;V57=T$5&amp;V$5&amp;U$5,T57&amp;U57&amp;V57=U$5&amp;T$5&amp;V$5,T57&amp;U57&amp;V57=U$5&amp;V$5&amp;T$5,T57&amp;U57&amp;V57=V$5&amp;T$5&amp;U$5,T57&amp;U57&amp;V57=V$5&amp;U$5&amp;T$5),2,0),IF(AND(T57=T$5,U$6&gt;=$D$129),1,0),IF(AND(U57=T$5,U$6&gt;=$D$129),1,0),IF(AND(V57=T$5,U$6&gt;=$D$129),1,0),IF(T57&amp;W57=W$5,4,0),IF(AND(T57=T$5,U$6&lt;=$D$104),-0.5,0),IF(AND(U57=T$5,U$6&lt;=$D$104),-0.5,0),IF(AND(V57=T$5,U$6&lt;=$D$104),-0.5,0))</f>
        <v/>
      </c>
      <c r="Y57" s="145" t="n"/>
      <c r="Z57" s="146" t="n"/>
      <c r="AA57" s="146" t="n"/>
      <c r="AB57" s="146" t="n"/>
      <c r="AC57" s="602">
        <f>SUM(IF(Y57=Y$5,4,0),IF(Y57&amp;Z57=Y$5&amp;Z$5,1,0),
IF(AND(Y57=Y$5,Z$6&gt;=$D$115),1,0),
IF(AND(Z57=Y$5,Z$6&gt;=$D$115),1,0),
IF(AND(AA57=Y$5,Z$6&gt;=$D$115),1,0),
IF(Y57&amp;AB57=AC$5,1,0),
IF(Z57=Y$5,2,0),
IF(AA57=Y$5,1,0),
IF(OR(Y57&amp;Z57&amp;AA57=Y$5&amp;Z$5&amp;AA$5,Y57&amp;Z57&amp;AA57=Y$5&amp;AA$5&amp;Z$5,Y57&amp;Z57&amp;AA57=Z$5&amp;Y$5&amp;AA$5,Y57&amp;Z57&amp;AA57=Z$5&amp;AA$5&amp;Y$5,Y57&amp;Z57&amp;AA57=AA$5&amp;Y$5&amp;Z$5,Y57&amp;Z57&amp;AA57=AA$5&amp;Z$5&amp;Y$5),2,0),IF(AND(Y57=Y$5,Z$6&gt;=$D$129),1,0),IF(AND(Z57=Y$5,Z$6&gt;=$D$129),1,0),IF(AND(AA57=Y$5,Z$6&gt;=$D$129),1,0),IF(Y57&amp;AB57=AB$5,4,0),IF(AND(Y57=Y$5,Z$6&lt;=$D$104),-0.5,0),IF(AND(Z57=Y$5,Z$6&lt;=$D$104),-0.5,0),IF(AND(AA57=Y$5,Z$6&lt;=$D$104),-0.5,0))</f>
        <v/>
      </c>
      <c r="AD57" s="145" t="n"/>
      <c r="AE57" s="146" t="n"/>
      <c r="AF57" s="146" t="n"/>
      <c r="AG57" s="146" t="n"/>
      <c r="AH57" s="602">
        <f>SUM(IF(AD57=AD$5,4,0),IF(AD57&amp;AE57=AD$5&amp;AE$5,1,0),
IF(AND(AD57=AD$5,AE$6&gt;=$D$115),1,0),
IF(AND(AE57=AD$5,AE$6&gt;=$D$115),1,0),
IF(AND(AF57=AD$5,AE$6&gt;=$D$115),1,0),
IF(AD57&amp;AG57=AH$5,1,0),
IF(AE57=AD$5,2,0),
IF(AF57=AD$5,1,0),
IF(OR(AD57&amp;AE57&amp;AF57=AD$5&amp;AE$5&amp;AF$5,AD57&amp;AE57&amp;AF57=AD$5&amp;AF$5&amp;AE$5,AD57&amp;AE57&amp;AF57=AE$5&amp;AD$5&amp;AF$5,AD57&amp;AE57&amp;AF57=AE$5&amp;AF$5&amp;AD$5,AD57&amp;AE57&amp;AF57=AF$5&amp;AD$5&amp;AE$5,AD57&amp;AE57&amp;AF57=AF$5&amp;AE$5&amp;AD$5),2,0),IF(AND(AD57=AD$5,AE$6&gt;=$D$129),1,0),IF(AND(AE57=AD$5,AE$6&gt;=$D$129),1,0),IF(AND(AF57=AD$5,AE$6&gt;=$D$129),1,0),IF(AD57&amp;AG57=AG$5,4,0),IF(AND(AD57=AD$5,AE$6&lt;=$D$104),-0.5,0),IF(AND(AE57=AD$5,AE$6&lt;=$D$104),-0.5,0),IF(AND(AF57=AD$5,AE$6&lt;=$D$104),-0.5,0))</f>
        <v/>
      </c>
      <c r="AI57" s="145" t="n"/>
      <c r="AJ57" s="146" t="n"/>
      <c r="AK57" s="146" t="n"/>
      <c r="AL57" s="146" t="n"/>
      <c r="AM57" s="602">
        <f>SUM(IF(AI57=AI$5,4,0),IF(AI57&amp;AJ57=AI$5&amp;AJ$5,1,0),
IF(AND(AI57=AI$5,AJ$6&gt;=$D$115),1,0),
IF(AND(AJ57=AI$5,AJ$6&gt;=$D$115),1,0),
IF(AND(AK57=AI$5,AJ$6&gt;=$D$115),1,0),
IF(AI57&amp;AL57=AM$5,1,0),
IF(AJ57=AI$5,2,0),
IF(AK57=AI$5,1,0),
IF(OR(AI57&amp;AJ57&amp;AK57=AI$5&amp;AJ$5&amp;AK$5,AI57&amp;AJ57&amp;AK57=AI$5&amp;AK$5&amp;AJ$5,AI57&amp;AJ57&amp;AK57=AJ$5&amp;AI$5&amp;AK$5,AI57&amp;AJ57&amp;AK57=AJ$5&amp;AK$5&amp;AI$5,AI57&amp;AJ57&amp;AK57=AK$5&amp;AI$5&amp;AJ$5,AI57&amp;AJ57&amp;AK57=AK$5&amp;AJ$5&amp;AI$5),2,0),IF(AND(AI57=AI$5,AJ$6&gt;=$D$129),1,0),IF(AND(AJ57=AI$5,AJ$6&gt;=$D$129),1,0),IF(AND(AK57=AI$5,AJ$6&gt;=$D$129),1,0),IF(AI57&amp;AL57=AL$5,4,0),IF(AND(AI57=AI$5,AJ$6&lt;=$D$104),-0.5,0),IF(AND(AJ57=AI$5,AJ$6&lt;=$D$104),-0.5,0),IF(AND(AK57=AI$5,AJ$6&lt;=$D$104),-0.5,0))</f>
        <v/>
      </c>
      <c r="AN57" s="145" t="n"/>
      <c r="AO57" s="146" t="n"/>
      <c r="AP57" s="146" t="n"/>
      <c r="AQ57" s="146" t="n"/>
      <c r="AR57" s="602">
        <f>SUM(IF(AN57=AN$5,4,0),IF(AN57&amp;AO57=AN$5&amp;AO$5,1,0),
IF(AND(AN57=AN$5,AO$6&gt;=$D$115),1,0),
IF(AND(AO57=AN$5,AO$6&gt;=$D$115),1,0),
IF(AND(AP57=AN$5,AO$6&gt;=$D$115),1,0),
IF(AN57&amp;AQ57=AR$5,1,0),
IF(AO57=AN$5,2,0),
IF(AP57=AN$5,1,0),
IF(OR(AN57&amp;AO57&amp;AP57=AN$5&amp;AO$5&amp;AP$5,AN57&amp;AO57&amp;AP57=AN$5&amp;AP$5&amp;AO$5,AN57&amp;AO57&amp;AP57=AO$5&amp;AN$5&amp;AP$5,AN57&amp;AO57&amp;AP57=AO$5&amp;AP$5&amp;AN$5,AN57&amp;AO57&amp;AP57=AP$5&amp;AN$5&amp;AO$5,AN57&amp;AO57&amp;AP57=AP$5&amp;AO$5&amp;AN$5),2,0),IF(AND(AN57=AN$5,AO$6&gt;=$D$129),1,0),IF(AND(AO57=AN$5,AO$6&gt;=$D$129),1,0),IF(AND(AP57=AN$5,AO$6&gt;=$D$129),1,0),IF(AN57&amp;AQ57=AQ$5,4,0),IF(AND(AN57=AN$5,AO$6&lt;=$D$104),-0.5,0),IF(AND(AO57=AN$5,AO$6&lt;=$D$104),-0.5,0),IF(AND(AP57=AN$5,AO$6&lt;=$D$104),-0.5,0))</f>
        <v/>
      </c>
      <c r="AS57" s="145" t="n"/>
      <c r="AT57" s="146" t="n"/>
      <c r="AU57" s="146" t="n"/>
      <c r="AV57" s="146" t="n"/>
      <c r="AW57" s="602">
        <f>SUM(IF(AS57=AS$5,4,0),IF(AS57&amp;AT57=AS$5&amp;AT$5,1,0),
IF(AND(AS57=AS$5,AT$6&gt;=$D$115),1,0),
IF(AND(AT57=AS$5,AT$6&gt;=$D$115),1,0),
IF(AND(AU57=AS$5,AT$6&gt;=$D$115),1,0),
IF(AS57&amp;AV57=AW$5,1,0),
IF(AT57=AS$5,2,0),
IF(AU57=AS$5,1,0),
IF(OR(AS57&amp;AT57&amp;AU57=AS$5&amp;AT$5&amp;AU$5,AS57&amp;AT57&amp;AU57=AS$5&amp;AU$5&amp;AT$5,AS57&amp;AT57&amp;AU57=AT$5&amp;AS$5&amp;AU$5,AS57&amp;AT57&amp;AU57=AT$5&amp;AU$5&amp;AS$5,AS57&amp;AT57&amp;AU57=AU$5&amp;AS$5&amp;AT$5,AS57&amp;AT57&amp;AU57=AU$5&amp;AT$5&amp;AS$5),2,0),IF(AND(AS57=AS$5,AT$6&gt;=$D$129),1,0),IF(AND(AT57=AS$5,AT$6&gt;=$D$129),1,0),IF(AND(AU57=AS$5,AT$6&gt;=$D$129),1,0),IF(AS57&amp;AV57=AV$5,4,0),IF(AND(AS57=AS$5,AT$6&lt;=$D$104),-0.5,0),IF(AND(AT57=AS$5,AT$6&lt;=$D$104),-0.5,0),IF(AND(AU57=AS$5,AT$6&lt;=$D$104),-0.5,0))</f>
        <v/>
      </c>
      <c r="AX57" s="145" t="n"/>
      <c r="AY57" s="146" t="n"/>
      <c r="AZ57" s="146" t="n"/>
      <c r="BA57" s="146" t="n"/>
      <c r="BB57" s="602">
        <f>SUM(IF(AX57=AX$5,4,0),IF(AX57&amp;AY57=AX$5&amp;AY$5,1,0),
IF(AND(AX57=AX$5,AY$6&gt;=$D$115),1,0),
IF(AND(AY57=AX$5,AY$6&gt;=$D$115),1,0),
IF(AND(AZ57=AX$5,AY$6&gt;=$D$115),1,0),
IF(AX57&amp;BA57=BB$5,1,0),
IF(AY57=AX$5,2,0),
IF(AZ57=AX$5,1,0),
IF(OR(AX57&amp;AY57&amp;AZ57=AX$5&amp;AY$5&amp;AZ$5,AX57&amp;AY57&amp;AZ57=AX$5&amp;AZ$5&amp;AY$5,AX57&amp;AY57&amp;AZ57=AY$5&amp;AX$5&amp;AZ$5,AX57&amp;AY57&amp;AZ57=AY$5&amp;AZ$5&amp;AX$5,AX57&amp;AY57&amp;AZ57=AZ$5&amp;AX$5&amp;AY$5,AX57&amp;AY57&amp;AZ57=AZ$5&amp;AY$5&amp;AX$5),2,0),IF(AND(AX57=AX$5,AY$6&gt;=$D$129),1,0),IF(AND(AY57=AX$5,AY$6&gt;=$D$129),1,0),IF(AND(AZ57=AX$5,AY$6&gt;=$D$129),1,0),IF(AX57&amp;BA57=BA$5,4,0),IF(AND(AX57=AX$5,AY$6&lt;=$D$104),-0.5,0),IF(AND(AY57=AX$5,AY$6&lt;=$D$104),-0.5,0),IF(AND(AZ57=AX$5,AY$6&lt;=$D$104),-0.5,0))</f>
        <v/>
      </c>
      <c r="BC57" s="145" t="n"/>
      <c r="BD57" s="146" t="n"/>
      <c r="BE57" s="146" t="n"/>
      <c r="BF57" s="146" t="n"/>
      <c r="BG57" s="602">
        <f>SUM(IF(BC57=BC$5,4,0),IF(BC57&amp;BD57=BC$5&amp;BD$5,1,0),
IF(AND(BC57=BC$5,BD$6&gt;=$D$115),1,0),
IF(AND(BD57=BC$5,BD$6&gt;=$D$115),1,0),
IF(AND(BE57=BC$5,BD$6&gt;=$D$115),1,0),
IF(BC57&amp;BF57=BG$5,1,0),
IF(BD57=BC$5,2,0),
IF(BE57=BC$5,1,0),
IF(OR(BC57&amp;BD57&amp;BE57=BC$5&amp;BD$5&amp;BE$5,BC57&amp;BD57&amp;BE57=BC$5&amp;BE$5&amp;BD$5,BC57&amp;BD57&amp;BE57=BD$5&amp;BC$5&amp;BE$5,BC57&amp;BD57&amp;BE57=BD$5&amp;BE$5&amp;BC$5,BC57&amp;BD57&amp;BE57=BE$5&amp;BC$5&amp;BD$5,BC57&amp;BD57&amp;BE57=BE$5&amp;BD$5&amp;BC$5),2,0),IF(AND(BC57=BC$5,BD$6&gt;=$D$129),1,0),IF(AND(BD57=BC$5,BD$6&gt;=$D$129),1,0),IF(AND(BE57=BC$5,BD$6&gt;=$D$129),1,0),IF(BC57&amp;BF57=BF$5,4,0),IF(AND(BC57=BC$5,BD$6&lt;=$D$104),-0.5,0),IF(AND(BD57=BC$5,BD$6&lt;=$D$104),-0.5,0),IF(AND(BE57=BC$5,BD$6&lt;=$D$104),-0.5,0))</f>
        <v/>
      </c>
      <c r="BH57" s="145" t="n"/>
      <c r="BI57" s="146" t="n"/>
      <c r="BJ57" s="146" t="n"/>
      <c r="BK57" s="146" t="n"/>
      <c r="BL57" s="602">
        <f>SUM(IF(BH57=BH$5,4,0),IF(BH57&amp;BI57=BH$5&amp;BI$5,1,0),
IF(AND(BH57=BH$5,BI$6&gt;=$D$115),1,0),
IF(AND(BI57=BH$5,BI$6&gt;=$D$115),1,0),
IF(AND(BJ57=BH$5,BI$6&gt;=$D$115),1,0),
IF(BH57&amp;BK57=BL$5,1,0),
IF(BI57=BH$5,2,0),
IF(BJ57=BH$5,1,0),
IF(OR(BH57&amp;BI57&amp;BJ57=BH$5&amp;BI$5&amp;BJ$5,BH57&amp;BI57&amp;BJ57=BH$5&amp;BJ$5&amp;BI$5,BH57&amp;BI57&amp;BJ57=BI$5&amp;BH$5&amp;BJ$5,BH57&amp;BI57&amp;BJ57=BI$5&amp;BJ$5&amp;BH$5,BH57&amp;BI57&amp;BJ57=BJ$5&amp;BH$5&amp;BI$5,BH57&amp;BI57&amp;BJ57=BJ$5&amp;BI$5&amp;BH$5),2,0),IF(AND(BH57=BH$5,BI$6&gt;=$D$129),1,0),IF(AND(BI57=BH$5,BI$6&gt;=$D$129),1,0),IF(AND(BJ57=BH$5,BI$6&gt;=$D$129),1,0),IF(BH57&amp;BK57=BK$5,4,0),IF(AND(BH57=BH$5,BI$6&lt;=$D$104),-0.5,0),IF(AND(BI57=BH$5,BI$6&lt;=$D$104),-0.5,0),IF(AND(BJ57=BH$5,BI$6&lt;=$D$104),-0.5,0))</f>
        <v/>
      </c>
      <c r="BM57" s="145" t="n"/>
      <c r="BN57" s="146" t="n"/>
      <c r="BO57" s="146" t="n"/>
      <c r="BP57" s="146" t="n"/>
      <c r="BQ57" s="602">
        <f>SUM(IF(BM57=BM$5,4,0),IF(BM57&amp;BN57=BM$5&amp;BN$5,1,0),
IF(AND(BM57=BM$5,BN$6&gt;=$D$115),1,0),
IF(AND(BN57=BM$5,BN$6&gt;=$D$115),1,0),
IF(AND(BO57=BM$5,BN$6&gt;=$D$115),1,0),
IF(BM57&amp;BP57=BQ$5,1,0),
IF(BN57=BM$5,2,0),
IF(BO57=BM$5,1,0),
IF(OR(BM57&amp;BN57&amp;BO57=BM$5&amp;BN$5&amp;BO$5,BM57&amp;BN57&amp;BO57=BM$5&amp;BO$5&amp;BN$5,BM57&amp;BN57&amp;BO57=BN$5&amp;BM$5&amp;BO$5,BM57&amp;BN57&amp;BO57=BN$5&amp;BO$5&amp;BM$5,BM57&amp;BN57&amp;BO57=BO$5&amp;BM$5&amp;BN$5,BM57&amp;BN57&amp;BO57=BO$5&amp;BN$5&amp;BM$5),2,0),IF(AND(BM57=BM$5,BN$6&gt;=$D$129),1,0),IF(AND(BN57=BM$5,BN$6&gt;=$D$129),1,0),IF(AND(BO57=BM$5,BN$6&gt;=$D$129),1,0),IF(BM57&amp;BP57=BP$5,4,0),IF(AND(BM57=BM$5,BN$6&lt;=$D$104),-0.5,0),IF(AND(BN57=BM$5,BN$6&lt;=$D$104),-0.5,0),IF(AND(BO57=BM$5,BN$6&lt;=$D$104),-0.5,0))</f>
        <v/>
      </c>
      <c r="BR57" s="145" t="n"/>
      <c r="BS57" s="146" t="n"/>
      <c r="BT57" s="146" t="n"/>
      <c r="BU57" s="146" t="n"/>
      <c r="BV57" s="602">
        <f>SUM(IF(BR57=BR$5,4,0),IF(BR57&amp;BS57=BR$5&amp;BS$5,1,0),
IF(AND(BR57=BR$5,BS$6&gt;=$D$115),1,0),
IF(AND(BS57=BR$5,BS$6&gt;=$D$115),1,0),
IF(AND(BT57=BR$5,BS$6&gt;=$D$115),1,0),
IF(BR57&amp;BU57=BV$5,1,0),
IF(BS57=BR$5,2,0),
IF(BT57=BR$5,1,0),
IF(OR(BR57&amp;BS57&amp;BT57=BR$5&amp;BS$5&amp;BT$5,BR57&amp;BS57&amp;BT57=BR$5&amp;BT$5&amp;BS$5,BR57&amp;BS57&amp;BT57=BS$5&amp;BR$5&amp;BT$5,BR57&amp;BS57&amp;BT57=BS$5&amp;BT$5&amp;BR$5,BR57&amp;BS57&amp;BT57=BT$5&amp;BR$5&amp;BS$5,BR57&amp;BS57&amp;BT57=BT$5&amp;BS$5&amp;BR$5),2,0),IF(AND(BR57=BR$5,BS$6&gt;=$D$129),1,0),IF(AND(BS57=BR$5,BS$6&gt;=$D$129),1,0),IF(AND(BT57=BR$5,BS$6&gt;=$D$129),1,0),IF(BR57&amp;BU57=BU$5,4,0),IF(AND(BR57=BR$5,BS$6&lt;=$D$104),-0.5,0),IF(AND(BS57=BR$5,BS$6&lt;=$D$104),-0.5,0),IF(AND(BT57=BR$5,BS$6&lt;=$D$104),-0.5,0))</f>
        <v/>
      </c>
      <c r="BW57" s="145" t="n"/>
      <c r="BX57" s="146" t="n"/>
      <c r="BY57" s="146" t="n"/>
      <c r="BZ57" s="146" t="n"/>
      <c r="CA57" s="602">
        <f>SUM(IF(BW57=BW$5,4,0),IF(BW57&amp;BX57=BW$5&amp;BX$5,1,0),
IF(AND(BW57=BW$5,BX$6&gt;=$D$115),1,0),
IF(AND(BX57=BW$5,BX$6&gt;=$D$115),1,0),
IF(AND(BY57=BW$5,BX$6&gt;=$D$115),1,0),
IF(BW57&amp;BZ57=CA$5,1,0),
IF(BX57=BW$5,2,0),
IF(BY57=BW$5,1,0),
IF(OR(BW57&amp;BX57&amp;BY57=BW$5&amp;BX$5&amp;BY$5,BW57&amp;BX57&amp;BY57=BW$5&amp;BY$5&amp;BX$5,BW57&amp;BX57&amp;BY57=BX$5&amp;BW$5&amp;BY$5,BW57&amp;BX57&amp;BY57=BX$5&amp;BY$5&amp;BW$5,BW57&amp;BX57&amp;BY57=BY$5&amp;BW$5&amp;BX$5,BW57&amp;BX57&amp;BY57=BY$5&amp;BX$5&amp;BW$5),2,0),IF(AND(BW57=BW$5,BX$6&gt;=$D$129),1,0),IF(AND(BX57=BW$5,BX$6&gt;=$D$129),1,0),IF(AND(BY57=BW$5,BX$6&gt;=$D$129),1,0),IF(BW57&amp;BZ57=BZ$5,4,0),IF(AND(BW57=BW$5,BX$6&lt;=$D$104),-0.5,0),IF(AND(BX57=BW$5,BX$6&lt;=$D$104),-0.5,0),IF(AND(BY57=BW$5,BX$6&lt;=$D$104),-0.5,0))</f>
        <v/>
      </c>
      <c r="CB57" s="145" t="n"/>
      <c r="CC57" s="146" t="n"/>
      <c r="CD57" s="146" t="n"/>
      <c r="CE57" s="146" t="n"/>
      <c r="CF57" s="602">
        <f>SUM(IF(CB57=CB$5,4,0),IF(CB57&amp;CC57=CB$5&amp;CC$5,1,0),
IF(AND(CB57=CB$5,CC$6&gt;=$D$115),1,0),
IF(AND(CC57=CB$5,CC$6&gt;=$D$115),1,0),
IF(AND(CD57=CB$5,CC$6&gt;=$D$115),1,0),
IF(CB57&amp;CE57=CF$5,1,0),
IF(CC57=CB$5,2,0),
IF(CD57=CB$5,1,0),
IF(OR(CB57&amp;CC57&amp;CD57=CB$5&amp;CC$5&amp;CD$5,CB57&amp;CC57&amp;CD57=CB$5&amp;CD$5&amp;CC$5,CB57&amp;CC57&amp;CD57=CC$5&amp;CB$5&amp;CD$5,CB57&amp;CC57&amp;CD57=CC$5&amp;CD$5&amp;CB$5,CB57&amp;CC57&amp;CD57=CD$5&amp;CB$5&amp;CC$5,CB57&amp;CC57&amp;CD57=CD$5&amp;CC$5&amp;CB$5),2,0),IF(AND(CB57=CB$5,CC$6&gt;=$D$129),1,0),IF(AND(CC57=CB$5,CC$6&gt;=$D$129),1,0),IF(AND(CD57=CB$5,CC$6&gt;=$D$129),1,0),IF(CB57&amp;CE57=CE$5,4,0),IF(AND(CB57=CB$5,CC$6&lt;=$D$104),-0.5,0),IF(AND(CC57=CB$5,CC$6&lt;=$D$104),-0.5,0),IF(AND(CD57=CB$5,CC$6&lt;=$D$104),-0.5,0))</f>
        <v/>
      </c>
      <c r="CG57" s="164">
        <f>IF(BASE01[[#This Row],[1]]="",0,$B$4)</f>
        <v/>
      </c>
      <c r="CH57" s="165">
        <f>COUNTIF(BASE01[[#This Row],[1]],$E$5)+COUNTIF(BASE01[[#This Row],[12]],$J$5)+COUNTIF(BASE01[[#This Row],[Columna4]],$O$5)+COUNTIF(BASE01[[#This Row],[Columna7]],$T$5)+COUNTIF(BASE01[[#This Row],[Columna10]],$Y$5)+COUNTIF(BASE01[[#This Row],[1RA]],$AD$5)+COUNTIF(BASE01[[#This Row],[Columna16]],$AI$5)+COUNTIF(BASE01[[#This Row],[123]],$AN$5)+COUNTIF(BASE01[[#This Row],[AAAA]],$AS$5)+COUNTIF(BASE01[[#This Row],[Columna25]],$AX$5)+COUNTIF(BASE01[[#This Row],[Columna272]],$BC$5)+COUNTIF(BASE01[[#This Row],[Columna276]],$BH$5)+COUNTIF(BASE01[[#This Row],[Columna280]],$BM$5)+COUNTIF(BASE01[[#This Row],[Columna2802]],$BR$5)+COUNTIF(BASE01[[#This Row],[Columna2803]],$BW$5)+COUNTIF(BASE01[[#This Row],[Columna2804]],$CB$5)</f>
        <v/>
      </c>
      <c r="CI57" s="189">
        <f>IF(BASE01[[#This Row],[Columna14]]=0,0,(CH57/CG57))</f>
        <v/>
      </c>
      <c r="CJ57" s="165">
        <f>IF(BASE01[[#This Row],[1]]="",0,$B$4)</f>
        <v/>
      </c>
      <c r="CK57" s="190">
        <f>COUNTIF(BASE01[[#This Row],[1]]:BASE01[[#This Row],[2]],$E$5)+COUNTIF(BASE01[[#This Row],[12]]:BASE01[[#This Row],[Columna2]],$J$5)+COUNTIF(BASE01[[#This Row],[Columna4]]:BASE01[[#This Row],[Columna5]],$O$5)+COUNTIF(BASE01[[#This Row],[Columna7]]:BASE01[[#This Row],[Columna8]],$T$5)+COUNTIF(BASE01[[#This Row],[Columna10]]:BASE01[[#This Row],[Columna11]],$Y$5)+COUNTIF(BASE01[[#This Row],[1RA]]:BASE01[[#This Row],[2DA]],$AD$5)+COUNTIF(BASE01[[#This Row],[Columna16]:[Columna17]],$AI$5)+COUNTIF(BASE01[[#This Row],[123]:[555]],$AN$5)+COUNTIF(BASE01[[#This Row],[AAAA]]:BASE01[[#This Row],[BBBB]],$AS$5)+COUNTIF(BASE01[[#This Row],[Columna25]]:BASE01[[#This Row],[Columna26]],$AX$5)+COUNTIF(BASE01[[#This Row],[Columna272]]:BASE01[[#This Row],[Columna273]],$BC$5)+COUNTIF(BASE01[[#This Row],[Columna276]]:BASE01[[#This Row],[Columna277]],$BH$5)+COUNTIF(BASE01[[#This Row],[Columna280]]:BASE01[[#This Row],[Columna281]],$BM$5)+COUNTIF(BASE01[[#This Row],[Columna2802]]:BASE01[[#This Row],[Columna2813]],$BR$5)+COUNTIF(BASE01[[#This Row],[Columna2803]:[Columna2814]],$BW$5)+COUNTIF(BASE01[[#This Row],[Columna2804]:[Columna2815]],$CB$5)</f>
        <v/>
      </c>
      <c r="CL57" s="189">
        <f>IF(BASE01[[#This Row],[Columna14]]=0,0,(CK57/CJ57))</f>
        <v/>
      </c>
      <c r="CM57" s="164">
        <f>IF(BASE01[[#This Row],[1]]="",0,$B$4)</f>
        <v/>
      </c>
      <c r="CN57" s="190">
        <f>COUNTIF(BASE01[[#This Row],[1]:[22]],$E$5)+COUNTIF(BASE01[[#This Row],[12]:[Columna23]],$J$5)+COUNTIF(BASE01[[#This Row],[Columna4]:[Columna53]],$O$5)+COUNTIF(BASE01[[#This Row],[Columna7]:[Columna83]],$T$5)+COUNTIF(BASE01[[#This Row],[Columna10]:[Columna113]],$Y$5)+COUNTIF(BASE01[[#This Row],[1RA]:[2DA2]],$AD$5)+COUNTIF(BASE01[[#This Row],[Columna16]:[Columna173]],$AI$5)+COUNTIF(BASE01[[#This Row],[123]:[556]],$AN$5)+COUNTIF(BASE01[[#This Row],[AAAA]:[Columna13]],$AS$5)+COUNTIF(BASE01[[#This Row],[Columna25]:[Columna263]],$AX$5)+COUNTIF(BASE01[[#This Row],[Columna272]:[Columna2732]],$BC$5)+COUNTIF(BASE01[[#This Row],[Columna276]:[Columna2772]],$BH$5)+COUNTIF(BASE01[[#This Row],[Columna280]:[Columna2812]],$BM$5)+COUNTIF(BASE01[[#This Row],[Columna2802]:[Columna28124]],$BR$5)+COUNTIF(BASE01[[#This Row],[Columna2803]:[Columna28125]],$BW$5)+COUNTIF(BASE01[[#This Row],[Columna2804]:[Columna28126]],$CB$5)</f>
        <v/>
      </c>
      <c r="CO57" s="189">
        <f>IF(BASE01[[#This Row],[Columna14]]=0,0,(CN57/CM57))</f>
        <v/>
      </c>
      <c r="CP57" s="165">
        <f>SUM(
  (AND(OR(BASE01[[#This Row],[3]]="F", BASE01[[#This Row],[3]]="SF"), F$6&lt;&gt;"")),
  (AND(OR(BASE01[[#This Row],[Columna28]]="F", BASE01[[#This Row],[Columna28]]="SF"), K$6&lt;&gt;"")),
  (AND(OR(BASE01[[#This Row],[Columna52]]="F", BASE01[[#This Row],[Columna52]]="SF"), P$6&lt;&gt;"")),
  (AND(OR(BASE01[[#This Row],[Columna82]]="F", BASE01[[#This Row],[Columna82]]="SF"), U$6&lt;&gt;"")),
  (AND(OR(BASE01[[#This Row],[Columna112]]="F", BASE01[[#This Row],[Columna112]]="SF"), Z$6&lt;&gt;"")),
  (AND(OR(BASE01[[#This Row],[3RA]]="F", BASE01[[#This Row],[3RA]]="SF"), AE$6&lt;&gt;"")),
  (AND(OR(BASE01[[#This Row],[Columna172]]="F",BASE01[[#This Row],[Columna172]]="SF"), AJ$6&lt;&gt;"")),
  (AND(OR(BASE01[[#This Row],[111]]="F", BASE01[[#This Row],[111]]="SF"), AO$6&lt;&gt;"")),
  (AND(OR(BASE01[[#This Row],[CCCC]]="F", BASE01[[#This Row],[CCCC]]="SF"), AT$6&lt;&gt;"")),
  (AND(OR(BASE01[[#This Row],[Columna262]]="F",BASE01[[#This Row],[Columna262]]="SF"), AY$6&lt;&gt;"")),
  (AND(OR(BASE01[[#This Row],[Columna274]]="F", BASE01[[#This Row],[Columna274]]="SF"), BD$6&lt;&gt;"")), (AND(OR(BASE01[[#This Row],[Columna278]]="F", BASE01[[#This Row],[Columna278]]="SF"), BI$6&lt;&gt;"")),
  (AND(OR(BASE01[[#This Row],[Columna282]]="F", BASE01[[#This Row],[Columna282]]="SF"), BN$6&lt;&gt;"")),
  (AND(OR(BASE01[[#This Row],[Columna2825]]="F", BASE01[[#This Row],[Columna2825]]="SF"), BS$6&lt;&gt;"")),
  (AND(OR(BASE01[[#This Row],[Columna2826]]="F", BASE01[[#This Row],[Columna2826]]="SF"), BX$6&lt;&gt;"")),
  (AND(OR(BASE01[[#This Row],[Columna2827]]="F", BASE01[[#This Row],[Columna2827]]="SF"), CC$6&lt;&gt;""))
)</f>
        <v/>
      </c>
      <c r="CQ57" s="190">
        <f>COUNTIFS(BASE01[[#This Row],[1]],$E$5,BASE01[[#This Row],[3]],"F")+COUNTIFS(BASE01[[#This Row],[12]],$J$5,BASE01[[#This Row],[Columna28]],"F")+COUNTIFS(BASE01[[#This Row],[Columna4]],$O$5,BASE01[[#This Row],[Columna52]],"F")+COUNTIFS(BASE01[[#This Row],[Columna7]],$T$5,BASE01[[#This Row],[Columna82]],"F")+COUNTIFS(BASE01[[#This Row],[Columna10]],$Y$5,BASE01[[#This Row],[Columna112]],"F")+COUNTIFS(BASE01[[#This Row],[1RA]],$AD$5,BASE01[[#This Row],[3RA]],"F")+COUNTIFS(BASE01[[#This Row],[Columna16]],$AI$5,BASE01[[#This Row],[Columna172]],"F")+COUNTIFS(BASE01[[#This Row],[123]],$AN$5,BASE01[[#This Row],[111]],"F")+COUNTIFS(BASE01[[#This Row],[AAAA]],$AS$5,BASE01[[#This Row],[CCCC]],"F")+COUNTIFS(BASE01[[#This Row],[Columna25]],$AX$5,BASE01[[#This Row],[Columna262]],"F")+COUNTIFS(BASE01[[#This Row],[Columna272]],$BC$5,BASE01[[#This Row],[Columna274]],"F")+COUNTIFS(BASE01[[#This Row],[Columna276]],$BH$5,BASE01[[#This Row],[Columna278]],"F")+COUNTIFS(BASE01[[#This Row],[Columna280]],$BM$5,BASE01[[#This Row],[Columna282]],"F")+COUNTIFS(BASE01[[#This Row],[1]],$E$5,BASE01[[#This Row],[3]],"SF")+COUNTIFS(BASE01[[#This Row],[12]],$J$5,BASE01[[#This Row],[Columna28]],"SF")+COUNTIFS(BASE01[[#This Row],[Columna4]],$O$5,BASE01[[#This Row],[Columna52]],"SF")+COUNTIFS(BASE01[[#This Row],[Columna7]],$T$5,BASE01[[#This Row],[Columna82]],"SF")+COUNTIFS(BASE01[[#This Row],[Columna10]],$Y$5,BASE01[[#This Row],[Columna112]],"SF")+COUNTIFS(BASE01[[#This Row],[1RA]],$AD$5,BASE01[[#This Row],[3RA]],"SF")+COUNTIFS(BASE01[[#This Row],[Columna16]],$AI$5,BASE01[[#This Row],[Columna172]],"SF")+COUNTIFS(BASE01[[#This Row],[123]],$AN$5,BASE01[[#This Row],[111]],"SF")+COUNTIFS(BASE01[[#This Row],[AAAA]],$AS$5,BASE01[[#This Row],[CCCC]],"SF")+COUNTIFS(BASE01[[#This Row],[Columna25]],$AX$5,BA57,"SF")+COUNTIFS(BASE01[[#This Row],[Columna272]],$BC$5,BASE01[[#This Row],[Columna274]],"SF")+COUNTIFS(BASE01[[#This Row],[Columna276]],$BH$5,BASE01[[#This Row],[Columna278]],"SF")+COUNTIFS(BASE01[[#This Row],[Columna280]],$BM$5,BASE01[[#This Row],[Columna282]],"SF")</f>
        <v/>
      </c>
      <c r="CR57" s="189">
        <f>IF(BASE01[[#This Row],[Columna14]]=0,0,(CQ57/CP57))</f>
        <v/>
      </c>
      <c r="CS57" s="607">
        <f>SUM(BASE01[[#This Row],[PTS]],BASE01[[#This Row],[Columna3]],BASE01[[#This Row],[Columna6]],BASE01[[#This Row],[Columna9]],BASE01[[#This Row],[Columna12]],BASE01[[#This Row],[Columna15]],BASE01[[#This Row],[Columna18]],BASE01[[#This Row],[Columna21]],BASE01[[#This Row],[Columna24]],BASE01[[#This Row],[Columna27]],BASE01[[#This Row],[Columna275]],BASE01[[#This Row],[Columna279]],BASE01[[#This Row],[Columna283]],BASE01[[#This Row],[Columna28310]],BASE01[[#This Row],[Columna2837]],BASE01[[#This Row],[Columna2838]])</f>
        <v/>
      </c>
      <c r="CT57" s="95" t="n"/>
      <c r="CU57" s="604">
        <f>SUM(CS57,CT57)</f>
        <v/>
      </c>
      <c r="CV57" s="96">
        <f>IF(BASE01[[#This Row],[TIPO]]="PREMIO",$O$3,"0,00")</f>
        <v/>
      </c>
      <c r="CW57" s="576" t="n"/>
      <c r="CY57" s="606">
        <f>IF(CZ57="","",$CZ$25)</f>
        <v/>
      </c>
      <c r="CZ57" s="392" t="n"/>
      <c r="DA57" s="392">
        <f t="array" ref="DA57">IF(CZ57="", "", IF((INDEX(E$8:CE$57, MATCH(CZ57, C$8:C$57, 0), ($CZ$25-1)*5 + 1) &amp; "") = (INDEX(E$5:CE$5, 1, ($CZ$25-1)*5 + 1) &amp; ""), 1, IF((INDEX(E$8:CE$57, MATCH(CZ57, C$8:C$57, 0), ($CZ$25-1)*5 + 2) &amp; "") = (INDEX(E$5:CE$5, 1, ($CZ$25-1)*5 + 1) &amp; ""), 2, IF((INDEX(E$8:CE$57, MATCH(CZ57, C$8:C$57, 0), ($CZ$25-1)*5 + 3) &amp; "") = (INDEX(E$5:CE$5, 1, ($CZ$25-1)*5 + 1) &amp; ""), 3, ""))))</f>
        <v/>
      </c>
      <c r="DB57" s="605">
        <f>BASE01[[#This Row],[COD]]</f>
        <v/>
      </c>
      <c r="DC57" s="395">
        <f t="array" ref="DC57">IFERROR(IF(AND(INDEX($E$8:$CE$57, MATCH($C57, $C$8:$C$57, 0), (COLUMNS($DC57:DC57)-1)*5 + 1) = INDEX($E$5:$CE$5, 1, (COLUMNS($DC57:DC57)-1)*5 + 1), INDEX($E$8:$CE$57, MATCH($C57, $C$8:$C$57, 0), (COLUMNS($DC57:DC57)-1)*5 + 4) = "F"), INDEX($CZ$8:$CZ$23, COLUMNS($DC57:DC57)), "0"), "")</f>
        <v/>
      </c>
      <c r="DD57" s="395">
        <f t="array" ref="DD57">IFERROR(IF(AND(INDEX($E$8:$CE$57, MATCH($C57, $C$8:$C$57, 0), (COLUMNS($DC57:DD57)-1)*5 + 1) = INDEX($E$5:$CE$5, 1, (COLUMNS($DC57:DD57)-1)*5 + 1), INDEX($E$8:$CE$57, MATCH($C57, $C$8:$C$57, 0), (COLUMNS($DC57:DD57)-1)*5 + 4) = "F"), INDEX($CZ$8:$CZ$23, COLUMNS($DC57:DD57)), "0"), "")</f>
        <v/>
      </c>
      <c r="DE57" s="395">
        <f t="array" ref="DE57">IFERROR(IF(AND(INDEX($E$8:$CE$57, MATCH($C57, $C$8:$C$57, 0), (COLUMNS($DC57:DE57)-1)*5 + 1) = INDEX($E$5:$CE$5, 1, (COLUMNS($DC57:DE57)-1)*5 + 1), INDEX($E$8:$CE$57, MATCH($C57, $C$8:$C$57, 0), (COLUMNS($DC57:DE57)-1)*5 + 4) = "F"), INDEX($CZ$8:$CZ$23, COLUMNS($DC57:DE57)), "0"), "")</f>
        <v/>
      </c>
      <c r="DF57" s="395">
        <f t="array" ref="DF57">IFERROR(IF(AND(INDEX($E$8:$CE$57, MATCH($C57, $C$8:$C$57, 0), (COLUMNS($DC57:DF57)-1)*5 + 1) = INDEX($E$5:$CE$5, 1, (COLUMNS($DC57:DF57)-1)*5 + 1), INDEX($E$8:$CE$57, MATCH($C57, $C$8:$C$57, 0), (COLUMNS($DC57:DF57)-1)*5 + 4) = "F"), INDEX($CZ$8:$CZ$23, COLUMNS($DC57:DF57)), "0"), "")</f>
        <v/>
      </c>
      <c r="DG57" s="395">
        <f t="array" ref="DG57">IFERROR(IF(AND(INDEX($E$8:$CE$57, MATCH($C57, $C$8:$C$57, 0), (COLUMNS($DC57:DG57)-1)*5 + 1) = INDEX($E$5:$CE$5, 1, (COLUMNS($DC57:DG57)-1)*5 + 1), INDEX($E$8:$CE$57, MATCH($C57, $C$8:$C$57, 0), (COLUMNS($DC57:DG57)-1)*5 + 4) = "F"), INDEX($CZ$8:$CZ$23, COLUMNS($DC57:DG57)), "0"), "")</f>
        <v/>
      </c>
      <c r="DH57" s="395">
        <f t="array" ref="DH57">IFERROR(IF(AND(INDEX($E$8:$CE$57, MATCH($C57, $C$8:$C$57, 0), (COLUMNS($DC57:DH57)-1)*5 + 1) = INDEX($E$5:$CE$5, 1, (COLUMNS($DC57:DH57)-1)*5 + 1), INDEX($E$8:$CE$57, MATCH($C57, $C$8:$C$57, 0), (COLUMNS($DC57:DH57)-1)*5 + 4) = "F"), INDEX($CZ$8:$CZ$23, COLUMNS($DC57:DH57)), "0"), "")</f>
        <v/>
      </c>
      <c r="DI57" s="395">
        <f t="array" ref="DI57">IFERROR(IF(AND(INDEX($E$8:$CE$57, MATCH($C57, $C$8:$C$57, 0), (COLUMNS($DC57:DI57)-1)*5 + 1) = INDEX($E$5:$CE$5, 1, (COLUMNS($DC57:DI57)-1)*5 + 1), INDEX($E$8:$CE$57, MATCH($C57, $C$8:$C$57, 0), (COLUMNS($DC57:DI57)-1)*5 + 4) = "F"), INDEX($CZ$8:$CZ$23, COLUMNS($DC57:DI57)), "0"), "")</f>
        <v/>
      </c>
      <c r="DJ57" s="395">
        <f t="array" ref="DJ57">IFERROR(IF(AND(INDEX($E$8:$CE$57, MATCH($C57, $C$8:$C$57, 0), (COLUMNS($DC57:DJ57)-1)*5 + 1) = INDEX($E$5:$CE$5, 1, (COLUMNS($DC57:DJ57)-1)*5 + 1), INDEX($E$8:$CE$57, MATCH($C57, $C$8:$C$57, 0), (COLUMNS($DC57:DJ57)-1)*5 + 4) = "F"), INDEX($CZ$8:$CZ$23, COLUMNS($DC57:DJ57)), "0"), "")</f>
        <v/>
      </c>
      <c r="DK57" s="395">
        <f t="array" ref="DK57">IFERROR(IF(AND(INDEX($E$8:$CE$57, MATCH($C57, $C$8:$C$57, 0), (COLUMNS($DC57:DK57)-1)*5 + 1) = INDEX($E$5:$CE$5, 1, (COLUMNS($DC57:DK57)-1)*5 + 1), INDEX($E$8:$CE$57, MATCH($C57, $C$8:$C$57, 0), (COLUMNS($DC57:DK57)-1)*5 + 4) = "F"), INDEX($CZ$8:$CZ$23, COLUMNS($DC57:DK57)), "0"), "")</f>
        <v/>
      </c>
      <c r="DL57" s="395">
        <f t="array" ref="DL57">IFERROR(IF(AND(INDEX($E$8:$CE$57, MATCH($C57, $C$8:$C$57, 0), (COLUMNS($DC57:DL57)-1)*5 + 1) = INDEX($E$5:$CE$5, 1, (COLUMNS($DC57:DL57)-1)*5 + 1), INDEX($E$8:$CE$57, MATCH($C57, $C$8:$C$57, 0), (COLUMNS($DC57:DL57)-1)*5 + 4) = "F"), INDEX($CZ$8:$CZ$23, COLUMNS($DC57:DL57)), "0"), "")</f>
        <v/>
      </c>
      <c r="DM57" s="395">
        <f t="array" ref="DM57">IFERROR(IF(AND(INDEX($E$8:$CE$57, MATCH($C57, $C$8:$C$57, 0), (COLUMNS($DC57:DM57)-1)*5 + 1) = INDEX($E$5:$CE$5, 1, (COLUMNS($DC57:DM57)-1)*5 + 1), INDEX($E$8:$CE$57, MATCH($C57, $C$8:$C$57, 0), (COLUMNS($DC57:DM57)-1)*5 + 4) = "F"), INDEX($CZ$8:$CZ$23, COLUMNS($DC57:DM57)), "0"), "")</f>
        <v/>
      </c>
      <c r="DN57" s="395">
        <f t="array" ref="DN57">IFERROR(IF(AND(INDEX($E$8:$CE$57, MATCH($C57, $C$8:$C$57, 0), (COLUMNS($DC57:DN57)-1)*5 + 1) = INDEX($E$5:$CE$5, 1, (COLUMNS($DC57:DN57)-1)*5 + 1), INDEX($E$8:$CE$57, MATCH($C57, $C$8:$C$57, 0), (COLUMNS($DC57:DN57)-1)*5 + 4) = "F"), INDEX($CZ$8:$CZ$23, COLUMNS($DC57:DN57)), "0"), "")</f>
        <v/>
      </c>
      <c r="DO57" s="395">
        <f t="array" ref="DO57">IFERROR(IF(AND(INDEX($E$8:$CE$57, MATCH($C57, $C$8:$C$57, 0), (COLUMNS($DC57:DO57)-1)*5 + 1) = INDEX($E$5:$CE$5, 1, (COLUMNS($DC57:DO57)-1)*5 + 1), INDEX($E$8:$CE$57, MATCH($C57, $C$8:$C$57, 0), (COLUMNS($DC57:DO57)-1)*5 + 4) = "F"), INDEX($CZ$8:$CZ$23, COLUMNS($DC57:DO57)), "0"), "")</f>
        <v/>
      </c>
      <c r="DP57" s="395">
        <f t="array" ref="DP57">IFERROR(IF(AND(INDEX($E$8:$CE$57, MATCH($C57, $C$8:$C$57, 0), (COLUMNS($DC57:DP57)-1)*5 + 1) = INDEX($E$5:$CE$5, 1, (COLUMNS($DC57:DP57)-1)*5 + 1), INDEX($E$8:$CE$57, MATCH($C57, $C$8:$C$57, 0), (COLUMNS($DC57:DP57)-1)*5 + 4) = "F"), INDEX($CZ$8:$CZ$23, COLUMNS($DC57:DP57)), "0"), "")</f>
        <v/>
      </c>
      <c r="DQ57" s="395">
        <f t="array" ref="DQ57">IFERROR(IF(AND(INDEX($E$8:$CE$57, MATCH($C57, $C$8:$C$57, 0), (COLUMNS($DC57:DQ57)-1)*5 + 1) = INDEX($E$5:$CE$5, 1, (COLUMNS($DC57:DQ57)-1)*5 + 1), INDEX($E$8:$CE$57, MATCH($C57, $C$8:$C$57, 0), (COLUMNS($DC57:DQ57)-1)*5 + 4) = "F"), INDEX($CZ$8:$CZ$23, COLUMNS($DC57:DQ57)), "0"), "")</f>
        <v/>
      </c>
      <c r="DR57" s="395">
        <f t="array" ref="DR57">IFERROR(IF(AND(INDEX($E$8:$CE$57, MATCH($C57, $C$8:$C$57, 0), (COLUMNS($DC57:DR57)-1)*5 + 1) = INDEX($E$5:$CE$5, 1, (COLUMNS($DC57:DR57)-1)*5 + 1), INDEX($E$8:$CE$57, MATCH($C57, $C$8:$C$57, 0), (COLUMNS($DC57:DR57)-1)*5 + 4) = "F"), INDEX($CZ$8:$CZ$23, COLUMNS($DC57:DR57)), "0"), "")</f>
        <v/>
      </c>
      <c r="DT57" s="605">
        <f>BASE01[[#This Row],[COD]]</f>
        <v/>
      </c>
      <c r="DU57" s="395">
        <f t="array" ref="DU57">IFERROR(IF(AND(INDEX($E$8:$CE$57, MATCH($C57, $C$8:$C$57, 0), (COLUMNS($DU57:DU57)-1)*5 + 1) = INDEX($E$5:$CE$5, 1, (COLUMNS($DU57:DU57)-1)*5 + 1), INDEX($E$8:$CE$57, MATCH($C57, $C$8:$C$57, 0), (COLUMNS($DU57:DU57)-1)*5 + 4) = "SF"), INDEX($CZ$8:$CZ$23, COLUMNS($DU57:DU57)), "0"), "")</f>
        <v/>
      </c>
      <c r="DV57" s="395">
        <f t="array" ref="DV57">IFERROR(IF(AND(INDEX($E$8:$CE$57, MATCH($C57, $C$8:$C$57, 0), (COLUMNS($DU57:DV57)-1)*5 + 1) = INDEX($E$5:$CE$5, 1, (COLUMNS($DU57:DV57)-1)*5 + 1), INDEX($E$8:$CE$57, MATCH($C57, $C$8:$C$57, 0), (COLUMNS($DU57:DV57)-1)*5 + 4) = "SF"), INDEX($CZ$8:$CZ$23, COLUMNS($DU57:DV57)), "0"), "")</f>
        <v/>
      </c>
      <c r="DW57" s="395">
        <f t="array" ref="DW57">IFERROR(IF(AND(INDEX($E$8:$CE$57, MATCH($C57, $C$8:$C$57, 0), (COLUMNS($DU57:DW57)-1)*5 + 1) = INDEX($E$5:$CE$5, 1, (COLUMNS($DU57:DW57)-1)*5 + 1), INDEX($E$8:$CE$57, MATCH($C57, $C$8:$C$57, 0), (COLUMNS($DU57:DW57)-1)*5 + 4) = "SF"), INDEX($CZ$8:$CZ$23, COLUMNS($DU57:DW57)), "0"), "")</f>
        <v/>
      </c>
      <c r="DX57" s="395">
        <f t="array" ref="DX57">IFERROR(IF(AND(INDEX($E$8:$CE$57, MATCH($C57, $C$8:$C$57, 0), (COLUMNS($DU57:DX57)-1)*5 + 1) = INDEX($E$5:$CE$5, 1, (COLUMNS($DU57:DX57)-1)*5 + 1), INDEX($E$8:$CE$57, MATCH($C57, $C$8:$C$57, 0), (COLUMNS($DU57:DX57)-1)*5 + 4) = "SF"), INDEX($CZ$8:$CZ$23, COLUMNS($DU57:DX57)), "0"), "")</f>
        <v/>
      </c>
      <c r="DY57" s="395">
        <f t="array" ref="DY57">IFERROR(IF(AND(INDEX($E$8:$CE$57, MATCH($C57, $C$8:$C$57, 0), (COLUMNS($DU57:DY57)-1)*5 + 1) = INDEX($E$5:$CE$5, 1, (COLUMNS($DU57:DY57)-1)*5 + 1), INDEX($E$8:$CE$57, MATCH($C57, $C$8:$C$57, 0), (COLUMNS($DU57:DY57)-1)*5 + 4) = "SF"), INDEX($CZ$8:$CZ$23, COLUMNS($DU57:DY57)), "0"), "")</f>
        <v/>
      </c>
      <c r="DZ57" s="395">
        <f t="array" ref="DZ57">IFERROR(IF(AND(INDEX($E$8:$CE$57, MATCH($C57, $C$8:$C$57, 0), (COLUMNS($DU57:DZ57)-1)*5 + 1) = INDEX($E$5:$CE$5, 1, (COLUMNS($DU57:DZ57)-1)*5 + 1), INDEX($E$8:$CE$57, MATCH($C57, $C$8:$C$57, 0), (COLUMNS($DU57:DZ57)-1)*5 + 4) = "SF"), INDEX($CZ$8:$CZ$23, COLUMNS($DU57:DZ57)), "0"), "")</f>
        <v/>
      </c>
      <c r="EA57" s="395">
        <f t="array" ref="EA57">IFERROR(IF(AND(INDEX($E$8:$CE$57, MATCH($C57, $C$8:$C$57, 0), (COLUMNS($DU57:EA57)-1)*5 + 1) = INDEX($E$5:$CE$5, 1, (COLUMNS($DU57:EA57)-1)*5 + 1), INDEX($E$8:$CE$57, MATCH($C57, $C$8:$C$57, 0), (COLUMNS($DU57:EA57)-1)*5 + 4) = "SF"), INDEX($CZ$8:$CZ$23, COLUMNS($DU57:EA57)), "0"), "")</f>
        <v/>
      </c>
      <c r="EB57" s="395">
        <f t="array" ref="EB57">IFERROR(IF(AND(INDEX($E$8:$CE$57, MATCH($C57, $C$8:$C$57, 0), (COLUMNS($DU57:EB57)-1)*5 + 1) = INDEX($E$5:$CE$5, 1, (COLUMNS($DU57:EB57)-1)*5 + 1), INDEX($E$8:$CE$57, MATCH($C57, $C$8:$C$57, 0), (COLUMNS($DU57:EB57)-1)*5 + 4) = "SF"), INDEX($CZ$8:$CZ$23, COLUMNS($DU57:EB57)), "0"), "")</f>
        <v/>
      </c>
      <c r="EC57" s="395">
        <f t="array" ref="EC57">IFERROR(IF(AND(INDEX($E$8:$CE$57, MATCH($C57, $C$8:$C$57, 0), (COLUMNS($DU57:EC57)-1)*5 + 1) = INDEX($E$5:$CE$5, 1, (COLUMNS($DU57:EC57)-1)*5 + 1), INDEX($E$8:$CE$57, MATCH($C57, $C$8:$C$57, 0), (COLUMNS($DU57:EC57)-1)*5 + 4) = "SF"), INDEX($CZ$8:$CZ$23, COLUMNS($DU57:EC57)), "0"), "")</f>
        <v/>
      </c>
      <c r="ED57" s="395">
        <f t="array" ref="ED57">IFERROR(IF(AND(INDEX($E$8:$CE$57, MATCH($C57, $C$8:$C$57, 0), (COLUMNS($DU57:ED57)-1)*5 + 1) = INDEX($E$5:$CE$5, 1, (COLUMNS($DU57:ED57)-1)*5 + 1), INDEX($E$8:$CE$57, MATCH($C57, $C$8:$C$57, 0), (COLUMNS($DU57:ED57)-1)*5 + 4) = "SF"), INDEX($CZ$8:$CZ$23, COLUMNS($DU57:ED57)), "0"), "")</f>
        <v/>
      </c>
      <c r="EE57" s="395">
        <f t="array" ref="EE57">IFERROR(IF(AND(INDEX($E$8:$CE$57, MATCH($C57, $C$8:$C$57, 0), (COLUMNS($DU57:EE57)-1)*5 + 1) = INDEX($E$5:$CE$5, 1, (COLUMNS($DU57:EE57)-1)*5 + 1), INDEX($E$8:$CE$57, MATCH($C57, $C$8:$C$57, 0), (COLUMNS($DU57:EE57)-1)*5 + 4) = "SF"), INDEX($CZ$8:$CZ$23, COLUMNS($DU57:EE57)), "0"), "")</f>
        <v/>
      </c>
      <c r="EF57" s="395">
        <f t="array" ref="EF57">IFERROR(IF(AND(INDEX($E$8:$CE$57, MATCH($C57, $C$8:$C$57, 0), (COLUMNS($DU57:EF57)-1)*5 + 1) = INDEX($E$5:$CE$5, 1, (COLUMNS($DU57:EF57)-1)*5 + 1), INDEX($E$8:$CE$57, MATCH($C57, $C$8:$C$57, 0), (COLUMNS($DU57:EF57)-1)*5 + 4) = "SF"), INDEX($CZ$8:$CZ$23, COLUMNS($DU57:EF57)), "0"), "")</f>
        <v/>
      </c>
      <c r="EG57" s="395">
        <f t="array" ref="EG57">IFERROR(IF(AND(INDEX($E$8:$CE$57, MATCH($C57, $C$8:$C$57, 0), (COLUMNS($DU57:EG57)-1)*5 + 1) = INDEX($E$5:$CE$5, 1, (COLUMNS($DU57:EG57)-1)*5 + 1), INDEX($E$8:$CE$57, MATCH($C57, $C$8:$C$57, 0), (COLUMNS($DU57:EG57)-1)*5 + 4) = "SF"), INDEX($CZ$8:$CZ$23, COLUMNS($DU57:EG57)), "0"), "")</f>
        <v/>
      </c>
      <c r="EH57" s="395">
        <f t="array" ref="EH57">IFERROR(IF(AND(INDEX($E$8:$CE$57, MATCH($C57, $C$8:$C$57, 0), (COLUMNS($DU57:EH57)-1)*5 + 1) = INDEX($E$5:$CE$5, 1, (COLUMNS($DU57:EH57)-1)*5 + 1), INDEX($E$8:$CE$57, MATCH($C57, $C$8:$C$57, 0), (COLUMNS($DU57:EH57)-1)*5 + 4) = "SF"), INDEX($CZ$8:$CZ$23, COLUMNS($DU57:EH57)), "0"), "")</f>
        <v/>
      </c>
      <c r="EI57" s="395">
        <f t="array" ref="EI57">IFERROR(IF(AND(INDEX($E$8:$CE$57, MATCH($C57, $C$8:$C$57, 0), (COLUMNS($DU57:EI57)-1)*5 + 1) = INDEX($E$5:$CE$5, 1, (COLUMNS($DU57:EI57)-1)*5 + 1), INDEX($E$8:$CE$57, MATCH($C57, $C$8:$C$57, 0), (COLUMNS($DU57:EI57)-1)*5 + 4) = "SF"), INDEX($CZ$8:$CZ$23, COLUMNS($DU57:EI57)), "0"), "")</f>
        <v/>
      </c>
      <c r="EJ57" s="395">
        <f t="array" ref="EJ57">IFERROR(IF(AND(INDEX($E$8:$CE$57, MATCH($C57, $C$8:$C$57, 0), (COLUMNS($DU57:EJ57)-1)*5 + 1) = INDEX($E$5:$CE$5, 1, (COLUMNS($DU57:EJ57)-1)*5 + 1), INDEX($E$8:$CE$57, MATCH($C57, $C$8:$C$57, 0), (COLUMNS($DU57:EJ57)-1)*5 + 4) = "SF"), INDEX($CZ$8:$CZ$23, COLUMNS($DU57:EJ57)), "0"), "")</f>
        <v/>
      </c>
    </row>
    <row r="58" ht="20.1" customHeight="1" s="568" thickBot="1">
      <c r="A58" s="576" t="n"/>
      <c r="B58" s="207" t="inlineStr">
        <is>
          <t>* PRIMERA MARCA GANADORA</t>
        </is>
      </c>
      <c r="C58" s="452" t="n"/>
      <c r="D58" s="452" t="n"/>
      <c r="E58" s="452" t="n"/>
      <c r="F58" s="452" t="n"/>
      <c r="G58" s="452" t="n"/>
      <c r="H58" s="452" t="n"/>
      <c r="I58" s="452">
        <f>"4 PUNTOS (DIV IGUAL O MENOR A 1/2 "&amp;$D$104&amp;" BS. RESTA 0,5 PUNTOS)"</f>
        <v/>
      </c>
      <c r="J58" s="452" t="n"/>
      <c r="K58" s="4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>
        <f>"*DIVIDENDO MAYOR O IGUAL A 4/1 ("&amp;$D$115&amp;" Bs.) "</f>
        <v/>
      </c>
      <c r="V58" s="452" t="n"/>
      <c r="W58" s="452" t="n"/>
      <c r="X58" s="452" t="n"/>
      <c r="Y58" s="452" t="n"/>
      <c r="Z58" s="452" t="n"/>
      <c r="AA58" s="452" t="n"/>
      <c r="AB58" s="452" t="n"/>
      <c r="AC58" s="452" t="n"/>
      <c r="AD58" s="452" t="n"/>
      <c r="AE58" s="452" t="inlineStr">
        <is>
          <t>1 PUNTO ADICIONAL</t>
        </is>
      </c>
      <c r="AF58" s="452" t="n"/>
      <c r="AG58" s="452" t="n"/>
      <c r="AH58" s="452" t="n"/>
      <c r="AI58" s="452" t="n"/>
      <c r="AJ58" s="452" t="n"/>
      <c r="AK58" s="452" t="n"/>
      <c r="AL58" s="452" t="n"/>
      <c r="AM58" s="452" t="inlineStr">
        <is>
          <t xml:space="preserve">*SUPER FIJO ACERTADO </t>
        </is>
      </c>
      <c r="AN58" s="452" t="n"/>
      <c r="AO58" s="452" t="n"/>
      <c r="AP58" s="452" t="n"/>
      <c r="AQ58" s="452" t="n"/>
      <c r="AR58" s="452" t="n"/>
      <c r="AS58" s="452" t="n"/>
      <c r="AT58" s="452" t="inlineStr">
        <is>
          <t>4 PUNTOS ADICIONALES</t>
        </is>
      </c>
      <c r="AU58" s="452" t="n"/>
      <c r="AV58" s="452" t="n"/>
      <c r="AW58" s="452" t="n"/>
      <c r="AX58" s="453" t="n"/>
      <c r="AY58" s="453" t="n"/>
      <c r="AZ58" s="453" t="n"/>
      <c r="BA58" s="453" t="n"/>
      <c r="BB58" s="453" t="n"/>
      <c r="BC58" s="453" t="n"/>
      <c r="BD58" s="453" t="n"/>
      <c r="BE58" s="452" t="n"/>
      <c r="BF58" s="453" t="n"/>
      <c r="BG58" s="454" t="n"/>
      <c r="BH58" s="453" t="n"/>
      <c r="BI58" s="453" t="n"/>
      <c r="BJ58" s="453" t="n"/>
      <c r="BK58" s="453" t="n"/>
      <c r="BL58" s="454" t="n"/>
      <c r="BM58" s="453" t="n"/>
      <c r="BN58" s="453" t="n"/>
      <c r="BO58" s="454" t="n"/>
      <c r="BP58" s="453" t="n"/>
      <c r="BQ58" s="453" t="n"/>
      <c r="BR58" s="453" t="n"/>
      <c r="BS58" s="453" t="n"/>
      <c r="BT58" s="454" t="n"/>
      <c r="BU58" s="453" t="n"/>
      <c r="BV58" s="453" t="n"/>
      <c r="BW58" s="453" t="n"/>
      <c r="BX58" s="453" t="n"/>
      <c r="BY58" s="454" t="n"/>
      <c r="BZ58" s="453" t="n"/>
      <c r="CA58" s="453" t="n"/>
      <c r="CB58" s="453" t="n"/>
      <c r="CC58" s="453" t="n"/>
      <c r="CD58" s="454" t="n"/>
      <c r="CE58" s="453" t="n"/>
      <c r="CF58" s="453" t="n"/>
      <c r="CG58" s="453" t="n"/>
      <c r="CH58" s="453" t="n"/>
      <c r="CI58" s="191" t="n"/>
      <c r="CJ58" s="192" t="n"/>
      <c r="CK58" s="192" t="n"/>
      <c r="CL58" s="192" t="n"/>
      <c r="CM58" s="192" t="n"/>
      <c r="CN58" s="192" t="n"/>
      <c r="CO58" s="192" t="n"/>
      <c r="CP58" s="192" t="n"/>
      <c r="CQ58" s="193" t="inlineStr">
        <is>
          <t>ACUMULADO PREMIO 1ER LUGAR</t>
        </is>
      </c>
      <c r="CR58" s="212">
        <f>CONTROL!R56</f>
        <v/>
      </c>
      <c r="CS58" s="195" t="n"/>
      <c r="CT58" s="560" t="inlineStr">
        <is>
          <t>TOTAL RECAUDADO</t>
        </is>
      </c>
      <c r="CU58" s="561" t="n"/>
      <c r="CV58" s="516">
        <f>SUM(CV8:CV57)</f>
        <v/>
      </c>
      <c r="CW58" s="576" t="n"/>
      <c r="CY58" s="606">
        <f>IF(CZ58="","",$CZ$25)</f>
        <v/>
      </c>
      <c r="CZ58" s="392" t="n"/>
      <c r="DA58" s="392">
        <f t="array" ref="DA58">IF(CZ58="", "", IF((INDEX(E$8:CE$57, MATCH(CZ58, C$8:C$57, 0), ($CZ$25-1)*5 + 1) &amp; "") = (INDEX(E$5:CE$5, 1, ($CZ$25-1)*5 + 1) &amp; ""), 1, IF((INDEX(E$8:CE$57, MATCH(CZ58, C$8:C$57, 0), ($CZ$25-1)*5 + 2) &amp; "") = (INDEX(E$5:CE$5, 1, ($CZ$25-1)*5 + 1) &amp; ""), 2, IF((INDEX(E$8:CE$57, MATCH(CZ58, C$8:C$57, 0), ($CZ$25-1)*5 + 3) &amp; "") = (INDEX(E$5:CE$5, 1, ($CZ$25-1)*5 + 1) &amp; ""), 3, ""))))</f>
        <v/>
      </c>
      <c r="DO58" t="inlineStr">
        <is>
          <t>N° GAN</t>
        </is>
      </c>
      <c r="DP58" s="394" t="inlineStr">
        <is>
          <t>DIV.</t>
        </is>
      </c>
      <c r="DQ58" s="394" t="inlineStr">
        <is>
          <t>CODIGO</t>
        </is>
      </c>
      <c r="DR58" s="394" t="inlineStr">
        <is>
          <t>CARRERA</t>
        </is>
      </c>
      <c r="EG58" t="inlineStr">
        <is>
          <t>N° GAN</t>
        </is>
      </c>
      <c r="EH58" s="393" t="inlineStr">
        <is>
          <t>DIV.</t>
        </is>
      </c>
      <c r="EI58" s="393" t="inlineStr">
        <is>
          <t>CODIGO</t>
        </is>
      </c>
      <c r="EJ58" s="393" t="inlineStr">
        <is>
          <t>CARRERA</t>
        </is>
      </c>
    </row>
    <row r="59" ht="20.1" customHeight="1" s="568" thickBot="1">
      <c r="A59" s="576" t="n"/>
      <c r="B59" s="207" t="inlineStr">
        <is>
          <t>* SEGUNDA MARCA GANADORA</t>
        </is>
      </c>
      <c r="C59" s="452" t="n"/>
      <c r="D59" s="452" t="n"/>
      <c r="E59" s="452" t="n"/>
      <c r="F59" s="452" t="n"/>
      <c r="G59" s="452" t="n"/>
      <c r="H59" s="452" t="n"/>
      <c r="I59" s="452">
        <f>"2 PUNTOS (DIV IGUAL O MENOR A 1/2 "&amp;$D$104&amp;" BS. RESTA 0,5 PUNTOS)"</f>
        <v/>
      </c>
      <c r="J59" s="452" t="n"/>
      <c r="K59" s="4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>
        <f>"*DIVIDENDO MAYOR O IGUAL A 19/1 ("&amp;D129&amp;" Bs.) "</f>
        <v/>
      </c>
      <c r="V59" s="452" t="n"/>
      <c r="W59" s="452" t="n"/>
      <c r="X59" s="452" t="n"/>
      <c r="Y59" s="452" t="n"/>
      <c r="Z59" s="452" t="n"/>
      <c r="AA59" s="452" t="n"/>
      <c r="AB59" s="452" t="n"/>
      <c r="AC59" s="452" t="n"/>
      <c r="AD59" s="452" t="n"/>
      <c r="AE59" s="452" t="inlineStr">
        <is>
          <t>1 PUNTO ADICIONAL</t>
        </is>
      </c>
      <c r="AF59" s="452" t="n"/>
      <c r="AG59" s="452" t="n"/>
      <c r="AH59" s="452" t="n"/>
      <c r="AI59" s="452" t="n"/>
      <c r="AJ59" s="452" t="n"/>
      <c r="AK59" s="452" t="n"/>
      <c r="AL59" s="452" t="n"/>
      <c r="AM59" s="452" t="n"/>
      <c r="AN59" s="452" t="n"/>
      <c r="AO59" s="452" t="n"/>
      <c r="AP59" s="452" t="n"/>
      <c r="AQ59" s="452" t="n"/>
      <c r="AR59" s="452" t="n"/>
      <c r="AS59" s="452" t="n"/>
      <c r="AT59" s="452" t="n"/>
      <c r="AU59" s="452" t="n"/>
      <c r="AV59" s="452" t="n"/>
      <c r="AW59" s="452" t="n"/>
      <c r="AX59" s="453" t="n"/>
      <c r="AY59" s="453" t="n"/>
      <c r="AZ59" s="453" t="n"/>
      <c r="BA59" s="453" t="n"/>
      <c r="BB59" s="453" t="n"/>
      <c r="BC59" s="453" t="n"/>
      <c r="BD59" s="453" t="n"/>
      <c r="BE59" s="453" t="n"/>
      <c r="BF59" s="453" t="n"/>
      <c r="BG59" s="454" t="n"/>
      <c r="BH59" s="453" t="n"/>
      <c r="BI59" s="453" t="n"/>
      <c r="BJ59" s="453" t="n"/>
      <c r="BK59" s="453" t="n"/>
      <c r="BL59" s="454" t="n"/>
      <c r="BM59" s="453" t="n"/>
      <c r="BN59" s="453" t="n"/>
      <c r="BO59" s="453" t="n"/>
      <c r="BP59" s="453" t="n"/>
      <c r="BQ59" s="453" t="n"/>
      <c r="BR59" s="453" t="n"/>
      <c r="BS59" s="453" t="n"/>
      <c r="BT59" s="453" t="n"/>
      <c r="BU59" s="453" t="n"/>
      <c r="BV59" s="453" t="n"/>
      <c r="BW59" s="453" t="n"/>
      <c r="BX59" s="453" t="n"/>
      <c r="BY59" s="453" t="n"/>
      <c r="BZ59" s="453" t="n"/>
      <c r="CA59" s="453" t="n"/>
      <c r="CB59" s="453" t="n"/>
      <c r="CC59" s="453" t="n"/>
      <c r="CD59" s="453" t="n"/>
      <c r="CE59" s="453" t="n"/>
      <c r="CF59" s="453" t="n"/>
      <c r="CG59" s="453" t="n"/>
      <c r="CH59" s="453" t="n"/>
      <c r="CI59" s="196" t="n"/>
      <c r="CJ59" s="197" t="n"/>
      <c r="CK59" s="197" t="n"/>
      <c r="CL59" s="197" t="n"/>
      <c r="CM59" s="197" t="n"/>
      <c r="CN59" s="197" t="n"/>
      <c r="CO59" s="197" t="n"/>
      <c r="CP59" s="197" t="n"/>
      <c r="CQ59" s="198" t="inlineStr">
        <is>
          <t>ACUMULADO PREMIO 2DO LUGAR</t>
        </is>
      </c>
      <c r="CR59" s="213">
        <f>CONTROL!S56</f>
        <v/>
      </c>
      <c r="CS59" s="199" t="n"/>
      <c r="CT59" s="571" t="inlineStr">
        <is>
          <t>20% CASA</t>
        </is>
      </c>
      <c r="CU59" s="564" t="n"/>
      <c r="CV59" s="275">
        <f>+CV58*20%</f>
        <v/>
      </c>
      <c r="CW59" s="576" t="n"/>
      <c r="CY59" s="606">
        <f>IF(CZ59="","",$CZ$25)</f>
        <v/>
      </c>
      <c r="CZ59" s="392" t="n"/>
      <c r="DA59" s="392">
        <f t="array" ref="DA59">IF(CZ59="", "", IF((INDEX(E$8:CE$57, MATCH(CZ59, C$8:C$57, 0), ($CZ$25-1)*5 + 1) &amp; "") = (INDEX(E$5:CE$5, 1, ($CZ$25-1)*5 + 1) &amp; ""), 1, IF((INDEX(E$8:CE$57, MATCH(CZ59, C$8:C$57, 0), ($CZ$25-1)*5 + 2) &amp; "") = (INDEX(E$5:CE$5, 1, ($CZ$25-1)*5 + 1) &amp; ""), 2, IF((INDEX(E$8:CE$57, MATCH(CZ59, C$8:C$57, 0), ($CZ$25-1)*5 + 3) &amp; "") = (INDEX(E$5:CE$5, 1, ($CZ$25-1)*5 + 1) &amp; ""), 3, ""))))</f>
        <v/>
      </c>
      <c r="DO59" s="393">
        <f t="array" ref="DO59">INDEX(E5:CB5, 1, ($DR$59-1)*5 + 1)</f>
        <v/>
      </c>
      <c r="DP59" s="354">
        <f t="array" ref="DP59:DP61">_xlfn._xlws.FILTER(MAX($DC$8:$DR$57) + ($DB$8:$DB$57 - $DB$8:$DB$57), MMULT(($DC$8:$DR$57 = MAX($DC$8:$DR$57)) * ($DC$8:$DR$57 &gt; 0), _xlfn.SEQUENCE(COLUMNS($DC8:DR8), 1, 1, 0)) &gt; 0, "N/A")</f>
        <v/>
      </c>
      <c r="DQ59" s="393">
        <f t="array" ref="DQ59:DQ61">_xlfn._xlws.FILTER($DB$8:$DB$57, MMULT(($DC$8:$DR$57 = MAX($DC$8:$DR$57)) * ($DC$8:$DR$57 &gt; 0), _xlfn.SEQUENCE(COLUMNS($DC8:DR8), 1, 1, 0)) &gt; 0, "Sin aciertos")</f>
        <v/>
      </c>
      <c r="DR59" s="393">
        <f t="array" ref="DR59:DR61">_xlfn._xlws.FILTER(INDEX($DC$7:$DR$7, 1, MMULT(--($DC$8:$DR$57 = MAX($DC$8:$DR$57)), _xlfn.SEQUENCE(COLUMNS($DC$8:$DR$8), 1, 1, 1))), MMULT(($DC$8:$DR$57 = MAX($DC$8:$DR$57)) * ($DC$8:$DR$57 &gt; 0), _xlfn.SEQUENCE(COLUMNS($DC$8:$DR$8), 1, 1, 1)) &gt; 0, "N/A")</f>
        <v/>
      </c>
      <c r="EG59" s="393">
        <f t="array" ref="EG59">INDEX(E5:CB5, 1, ($EJ$59-1)*5 + 1)</f>
        <v/>
      </c>
      <c r="EH59" s="354">
        <f t="array" ref="EH59:EH60">_xlfn._xlws.FILTER(MAX($DU$8:$EJ$57) + ($DT$8:$DT$57 - $DT$8:$DT$57), MMULT(($DU$8:$EJ$57 = MAX($DU$8:$EJ$57)) * ($DU$8:$EJ$57 &gt; 0), _xlfn.SEQUENCE(COLUMNS($DU8:EJ8), 1, 1, 0)) &gt; 0, "N/A")</f>
        <v/>
      </c>
      <c r="EI59" s="393">
        <f t="array" ref="EI59:EI60">_xlfn._xlws.FILTER($DT$8:$DT$57, MMULT(($DU$8:$EJ$57 = MAX($DU$8:$EJ$57)) * ($DU$8:$EJ$57 &gt; 0), _xlfn.SEQUENCE(COLUMNS($DU8:EJ8), 1, 1, 0)) &gt; 0, "Sin aciertos")</f>
        <v/>
      </c>
      <c r="EJ59" s="393">
        <f t="array" ref="EJ59:EJ60">_xlfn._xlws.FILTER(INDEX($DU$7:$EJ$7, 1, MMULT(--($DU$8:$EJ$57 = MAX($DU$8:$EJ$57)), _xlfn.SEQUENCE(COLUMNS($DU$8:$EJ$8), 1, 1, 1))), MMULT(($DU$8:$EJ$57 = MAX($DU$8:$EJ$57)) * ($DU$8:$EJ$57 &gt; 0), _xlfn.SEQUENCE(COLUMNS($DU$8:$EJ$8), 1, 1, 1)) &gt; 0, "N/A")</f>
        <v/>
      </c>
    </row>
    <row r="60" ht="20.1" customHeight="1" s="568" thickBot="1">
      <c r="A60" s="576" t="n"/>
      <c r="B60" s="207" t="inlineStr">
        <is>
          <t>* TERCERA MARCA GANADORA</t>
        </is>
      </c>
      <c r="C60" s="452" t="n"/>
      <c r="D60" s="452" t="n"/>
      <c r="E60" s="452" t="n"/>
      <c r="F60" s="452" t="n"/>
      <c r="G60" s="452" t="n"/>
      <c r="H60" s="452" t="n"/>
      <c r="I60" s="452">
        <f>"1 PUNTOS (DIV IGUAL O MENOR A 1/2 "&amp;$D$104&amp;" BS. RESTA 0,5 PUNTOS)"</f>
        <v/>
      </c>
      <c r="J60" s="452" t="n"/>
      <c r="K60" s="4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inlineStr">
        <is>
          <t xml:space="preserve">*EXACTA PERFECTA ACERTADA </t>
        </is>
      </c>
      <c r="V60" s="452" t="n"/>
      <c r="W60" s="452" t="n"/>
      <c r="X60" s="452" t="n"/>
      <c r="Y60" s="452" t="n"/>
      <c r="Z60" s="452" t="n"/>
      <c r="AA60" s="452" t="n"/>
      <c r="AB60" s="452" t="n"/>
      <c r="AC60" s="452" t="n"/>
      <c r="AD60" s="452" t="n"/>
      <c r="AE60" s="452" t="inlineStr">
        <is>
          <t>1 PUNTO ADICIONAL</t>
        </is>
      </c>
      <c r="AF60" s="452" t="n"/>
      <c r="AG60" s="452" t="n"/>
      <c r="AH60" s="452" t="n"/>
      <c r="AI60" s="452" t="n"/>
      <c r="AJ60" s="452" t="n"/>
      <c r="AK60" s="452" t="n"/>
      <c r="AL60" s="452" t="n"/>
      <c r="AM60" s="452" t="n"/>
      <c r="AN60" s="567" t="n"/>
      <c r="AX60" s="453" t="n"/>
      <c r="AY60" s="453" t="n"/>
      <c r="AZ60" s="453" t="n"/>
      <c r="BA60" s="453" t="n"/>
      <c r="BB60" s="453" t="n"/>
      <c r="BC60" s="453" t="n"/>
      <c r="BD60" s="453" t="n"/>
      <c r="BE60" s="453" t="n"/>
      <c r="BF60" s="453" t="n"/>
      <c r="BG60" s="454" t="n"/>
      <c r="BH60" s="453" t="n"/>
      <c r="BI60" s="453" t="n"/>
      <c r="BJ60" s="453" t="n"/>
      <c r="BK60" s="453" t="n"/>
      <c r="BL60" s="454" t="n"/>
      <c r="BM60" s="453" t="n"/>
      <c r="BN60" s="453" t="n"/>
      <c r="BO60" s="453" t="n"/>
      <c r="BP60" s="453" t="n"/>
      <c r="BQ60" s="453" t="n"/>
      <c r="BR60" s="453" t="n"/>
      <c r="BS60" s="453" t="n"/>
      <c r="BT60" s="453" t="n"/>
      <c r="BU60" s="453" t="n"/>
      <c r="BV60" s="453" t="n"/>
      <c r="BW60" s="453" t="n"/>
      <c r="BX60" s="453" t="n"/>
      <c r="BY60" s="453" t="n"/>
      <c r="BZ60" s="453" t="n"/>
      <c r="CA60" s="453" t="n"/>
      <c r="CB60" s="453" t="n"/>
      <c r="CC60" s="453" t="n"/>
      <c r="CD60" s="453" t="n"/>
      <c r="CE60" s="453" t="n"/>
      <c r="CF60" s="453" t="n"/>
      <c r="CG60" s="453" t="n"/>
      <c r="CH60" s="453" t="n"/>
      <c r="CI60" s="200" t="n"/>
      <c r="CJ60" s="201" t="n"/>
      <c r="CK60" s="201" t="n"/>
      <c r="CL60" s="201" t="n"/>
      <c r="CM60" s="201" t="n"/>
      <c r="CN60" s="201" t="n"/>
      <c r="CO60" s="201" t="n"/>
      <c r="CP60" s="201" t="n"/>
      <c r="CQ60" s="202" t="inlineStr">
        <is>
          <t>ACUMULADO PREMIO 3ER LUGAR</t>
        </is>
      </c>
      <c r="CR60" s="214">
        <f>CONTROL!T56</f>
        <v/>
      </c>
      <c r="CS60" s="194" t="n"/>
      <c r="CT60" s="562" t="inlineStr">
        <is>
          <t>ACUM. TOTAL ACIERTOS</t>
        </is>
      </c>
      <c r="CU60" s="561" t="n"/>
      <c r="CV60" s="276">
        <f>CONTROL!T54</f>
        <v/>
      </c>
      <c r="CW60" s="576" t="n"/>
      <c r="CY60" s="606">
        <f>IF(CZ60="","",$CZ$25)</f>
        <v/>
      </c>
      <c r="CZ60" s="392" t="n"/>
      <c r="DA60" s="392">
        <f t="array" ref="DA60">IF(CZ60="", "", IF((INDEX(E$8:CE$57, MATCH(CZ60, C$8:C$57, 0), ($CZ$25-1)*5 + 1) &amp; "") = (INDEX(E$5:CE$5, 1, ($CZ$25-1)*5 + 1) &amp; ""), 1, IF((INDEX(E$8:CE$57, MATCH(CZ60, C$8:C$57, 0), ($CZ$25-1)*5 + 2) &amp; "") = (INDEX(E$5:CE$5, 1, ($CZ$25-1)*5 + 1) &amp; ""), 2, IF((INDEX(E$8:CE$57, MATCH(CZ60, C$8:C$57, 0), ($CZ$25-1)*5 + 3) &amp; "") = (INDEX(E$5:CE$5, 1, ($CZ$25-1)*5 + 1) &amp; ""), 3, ""))))</f>
        <v/>
      </c>
      <c r="DO60" s="393" t="n"/>
      <c r="DP60" s="393" t="e">
        <v>#VALUE!</v>
      </c>
      <c r="DQ60" s="393" t="inlineStr">
        <is>
          <t>COD 34</t>
        </is>
      </c>
      <c r="DR60" s="393" t="e">
        <v>#VALUE!</v>
      </c>
      <c r="EG60" s="393" t="n"/>
      <c r="EH60" s="393" t="e">
        <v>#VALUE!</v>
      </c>
      <c r="EI60" s="393" t="inlineStr">
        <is>
          <t>COD 33</t>
        </is>
      </c>
      <c r="EJ60" s="393" t="e">
        <v>#VALUE!</v>
      </c>
    </row>
    <row r="61" ht="20.1" customHeight="1" s="568" thickBot="1">
      <c r="A61" s="576" t="n"/>
      <c r="B61" s="208" t="inlineStr">
        <is>
          <t>* FIJA ACERTADA</t>
        </is>
      </c>
      <c r="C61" s="209" t="n"/>
      <c r="D61" s="209" t="n"/>
      <c r="E61" s="209" t="n"/>
      <c r="F61" s="209" t="n"/>
      <c r="G61" s="209" t="n"/>
      <c r="H61" s="209" t="n"/>
      <c r="I61" s="209" t="inlineStr">
        <is>
          <t>1 PUNTO ADICIONAL</t>
        </is>
      </c>
      <c r="J61" s="209" t="n"/>
      <c r="K61" s="209" t="n"/>
      <c r="L61" s="209" t="n"/>
      <c r="M61" s="209" t="n"/>
      <c r="N61" s="209" t="n"/>
      <c r="O61" s="209" t="n"/>
      <c r="P61" s="209" t="n"/>
      <c r="Q61" s="209" t="n"/>
      <c r="R61" s="209" t="n"/>
      <c r="S61" s="209" t="n"/>
      <c r="T61" s="209" t="n"/>
      <c r="U61" s="452" t="inlineStr">
        <is>
          <t xml:space="preserve">*TRIFECTA ACERTADA </t>
        </is>
      </c>
      <c r="V61" s="209" t="n"/>
      <c r="W61" s="209" t="n"/>
      <c r="X61" s="209" t="n"/>
      <c r="Y61" s="209" t="n"/>
      <c r="Z61" s="209" t="n"/>
      <c r="AA61" s="209" t="n"/>
      <c r="AB61" s="209" t="n"/>
      <c r="AC61" s="452" t="n"/>
      <c r="AD61" s="209" t="n"/>
      <c r="AE61" s="452" t="inlineStr">
        <is>
          <t>2 PUNTOS ADICIONALES</t>
        </is>
      </c>
      <c r="AF61" s="209" t="n"/>
      <c r="AG61" s="209" t="n"/>
      <c r="AH61" s="452" t="n"/>
      <c r="AI61" s="209" t="n"/>
      <c r="AJ61" s="209" t="n"/>
      <c r="AK61" s="209" t="n"/>
      <c r="AL61" s="209" t="n"/>
      <c r="AM61" s="209" t="n"/>
      <c r="AN61" s="565" t="n"/>
      <c r="AO61" s="566" t="n"/>
      <c r="AP61" s="566" t="n"/>
      <c r="AQ61" s="566" t="n"/>
      <c r="AR61" s="566" t="n"/>
      <c r="AS61" s="566" t="n"/>
      <c r="AT61" s="566" t="n"/>
      <c r="AU61" s="566" t="n"/>
      <c r="AV61" s="566" t="n"/>
      <c r="AW61" s="566" t="n"/>
      <c r="AX61" s="210" t="n"/>
      <c r="AY61" s="210" t="n"/>
      <c r="AZ61" s="210" t="n"/>
      <c r="BA61" s="210" t="n"/>
      <c r="BB61" s="210" t="n"/>
      <c r="BC61" s="210" t="n"/>
      <c r="BD61" s="210" t="n"/>
      <c r="BE61" s="210" t="n"/>
      <c r="BF61" s="210" t="n"/>
      <c r="BG61" s="211" t="n"/>
      <c r="BH61" s="210" t="n"/>
      <c r="BI61" s="210" t="n"/>
      <c r="BJ61" s="210" t="n"/>
      <c r="BK61" s="210" t="n"/>
      <c r="BL61" s="211" t="n"/>
      <c r="BM61" s="210" t="n"/>
      <c r="BN61" s="210" t="n"/>
      <c r="BO61" s="210" t="n"/>
      <c r="BP61" s="210" t="n"/>
      <c r="BQ61" s="210" t="n"/>
      <c r="BR61" s="210" t="n"/>
      <c r="BS61" s="210" t="n"/>
      <c r="BT61" s="210" t="n"/>
      <c r="BU61" s="210" t="n"/>
      <c r="BV61" s="210" t="n"/>
      <c r="BW61" s="210" t="n"/>
      <c r="BX61" s="210" t="n"/>
      <c r="BY61" s="210" t="n"/>
      <c r="BZ61" s="210" t="n"/>
      <c r="CA61" s="210" t="n"/>
      <c r="CB61" s="210" t="n"/>
      <c r="CC61" s="210" t="n"/>
      <c r="CD61" s="210" t="n"/>
      <c r="CE61" s="210" t="n"/>
      <c r="CF61" s="210" t="n"/>
      <c r="CG61" s="210" t="n"/>
      <c r="CH61" s="210" t="n"/>
      <c r="CI61" s="203" t="n"/>
      <c r="CJ61" s="204" t="n"/>
      <c r="CK61" s="204" t="n"/>
      <c r="CL61" s="204" t="n"/>
      <c r="CM61" s="204" t="n"/>
      <c r="CN61" s="204" t="n"/>
      <c r="CO61" s="204" t="n"/>
      <c r="CP61" s="204" t="n"/>
      <c r="CQ61" s="205" t="inlineStr">
        <is>
          <t>ACUMULADO PREMIO FIJAS Y EFECTIVIDAD C/U</t>
        </is>
      </c>
      <c r="CR61" s="215">
        <f>CONTROL!T56</f>
        <v/>
      </c>
      <c r="CS61" s="206" t="n"/>
      <c r="CT61" s="563" t="inlineStr">
        <is>
          <t>SUMA ACUMULADO</t>
        </is>
      </c>
      <c r="CU61" s="564" t="n"/>
      <c r="CV61" s="277">
        <f>(CV58-CV59)/3</f>
        <v/>
      </c>
      <c r="CW61" s="576" t="n"/>
      <c r="CY61" s="606">
        <f>IF(CZ61="","",$CZ$25)</f>
        <v/>
      </c>
      <c r="CZ61" s="392" t="n"/>
      <c r="DA61" s="392">
        <f t="array" ref="DA61">IF(CZ61="", "", IF((INDEX(E$8:CE$57, MATCH(CZ61, C$8:C$57, 0), ($CZ$25-1)*5 + 1) &amp; "") = (INDEX(E$5:CE$5, 1, ($CZ$25-1)*5 + 1) &amp; ""), 1, IF((INDEX(E$8:CE$57, MATCH(CZ61, C$8:C$57, 0), ($CZ$25-1)*5 + 2) &amp; "") = (INDEX(E$5:CE$5, 1, ($CZ$25-1)*5 + 1) &amp; ""), 2, IF((INDEX(E$8:CE$57, MATCH(CZ61, C$8:C$57, 0), ($CZ$25-1)*5 + 3) &amp; "") = (INDEX(E$5:CE$5, 1, ($CZ$25-1)*5 + 1) &amp; ""), 3, ""))))</f>
        <v/>
      </c>
      <c r="DO61" s="393" t="n"/>
      <c r="DP61" s="393" t="e">
        <v>#VALUE!</v>
      </c>
      <c r="DQ61" s="393" t="inlineStr">
        <is>
          <t>COD 35</t>
        </is>
      </c>
      <c r="DR61" s="393" t="e">
        <v>#VALUE!</v>
      </c>
      <c r="EG61" s="393" t="n"/>
      <c r="EH61" s="393" t="n"/>
      <c r="EI61" s="393" t="n"/>
      <c r="EJ61" s="393" t="n"/>
    </row>
    <row r="62" ht="16.5" customHeight="1" s="568">
      <c r="A62" s="356" t="n"/>
      <c r="B62" s="97" t="n"/>
      <c r="C62" s="97" t="n"/>
      <c r="D62" s="97" t="n"/>
      <c r="E62" s="97" t="n"/>
      <c r="F62" s="97" t="n"/>
      <c r="G62" s="97" t="n"/>
      <c r="H62" s="97" t="n"/>
      <c r="I62" s="97" t="n"/>
      <c r="J62" s="97" t="n"/>
      <c r="K62" s="97" t="n"/>
      <c r="L62" s="97" t="n"/>
      <c r="M62" s="97" t="n"/>
      <c r="N62" s="97" t="n"/>
      <c r="O62" s="97" t="n"/>
      <c r="P62" s="97" t="n"/>
      <c r="Q62" s="97" t="n"/>
      <c r="R62" s="97" t="n"/>
      <c r="S62" s="97" t="n"/>
      <c r="T62" s="97" t="n"/>
      <c r="U62" s="97" t="n"/>
      <c r="V62" s="97" t="n"/>
      <c r="W62" s="97" t="n"/>
      <c r="X62" s="97" t="n"/>
      <c r="Y62" s="97" t="n"/>
      <c r="Z62" s="97" t="n"/>
      <c r="AA62" s="97" t="n"/>
      <c r="AB62" s="97" t="n"/>
      <c r="AC62" s="97" t="n"/>
      <c r="AD62" s="97" t="n"/>
      <c r="AE62" s="97" t="n"/>
      <c r="AF62" s="97" t="n"/>
      <c r="AG62" s="97" t="n"/>
      <c r="AH62" s="97" t="n"/>
      <c r="AI62" s="97" t="n"/>
      <c r="AJ62" s="97" t="n"/>
      <c r="AK62" s="97" t="n"/>
      <c r="AL62" s="97" t="n"/>
      <c r="AM62" s="97" t="n"/>
      <c r="AN62" s="97" t="n"/>
      <c r="AO62" s="97" t="n"/>
      <c r="AP62" s="97" t="n"/>
      <c r="AQ62" s="97" t="n"/>
      <c r="AR62" s="97" t="n"/>
      <c r="AS62" s="97" t="n"/>
      <c r="AT62" s="97" t="n"/>
      <c r="AU62" s="97" t="n"/>
      <c r="AV62" s="97" t="n"/>
      <c r="AW62" s="97" t="n"/>
      <c r="AX62" s="97" t="n"/>
      <c r="AY62" s="97" t="n"/>
      <c r="AZ62" s="97" t="n"/>
      <c r="BA62" s="97" t="n"/>
      <c r="BB62" s="97" t="n"/>
      <c r="BC62" s="97" t="n"/>
      <c r="BD62" s="97" t="n"/>
      <c r="BE62" s="97" t="n"/>
      <c r="BF62" s="97" t="n"/>
      <c r="BG62" s="10" t="n"/>
      <c r="BH62" s="97" t="n"/>
      <c r="BI62" s="97" t="n"/>
      <c r="BJ62" s="97" t="n"/>
      <c r="BK62" s="97" t="n"/>
      <c r="BL62" s="10" t="n"/>
      <c r="BM62" s="97" t="n"/>
      <c r="BN62" s="97" t="n"/>
      <c r="BO62" s="97" t="n"/>
      <c r="BP62" s="97" t="n"/>
      <c r="BQ62" s="97" t="n"/>
      <c r="BR62" s="97" t="n"/>
      <c r="BS62" s="97" t="n"/>
      <c r="BT62" s="97" t="n"/>
      <c r="BU62" s="97" t="n"/>
      <c r="BV62" s="97" t="n"/>
      <c r="BW62" s="97" t="n"/>
      <c r="BX62" s="97" t="n"/>
      <c r="BY62" s="97" t="n"/>
      <c r="BZ62" s="97" t="n"/>
      <c r="CA62" s="97" t="n"/>
      <c r="CB62" s="97" t="n"/>
      <c r="CC62" s="97" t="n"/>
      <c r="CD62" s="97" t="n"/>
      <c r="CE62" s="97" t="n"/>
      <c r="CF62" s="97" t="n"/>
      <c r="CG62" s="97" t="n"/>
      <c r="CH62" s="97" t="n"/>
      <c r="CI62" s="97" t="n"/>
      <c r="CJ62" s="97" t="n"/>
      <c r="CK62" s="97" t="n"/>
      <c r="CL62" s="97" t="n"/>
      <c r="CM62" s="97" t="n"/>
      <c r="CN62" s="97" t="n"/>
      <c r="CO62" s="97" t="n"/>
      <c r="CP62" s="97" t="n"/>
      <c r="CQ62" s="97" t="n"/>
      <c r="CR62" s="97" t="n"/>
      <c r="CS62" s="97" t="n"/>
      <c r="CT62" s="97" t="n"/>
      <c r="CU62" s="97" t="n"/>
      <c r="CV62" s="97" t="n"/>
      <c r="CW62" s="97" t="n"/>
      <c r="CZ62" s="392" t="n"/>
      <c r="DA62" s="392" t="n"/>
      <c r="DO62" s="393" t="n"/>
      <c r="DP62" s="393" t="n"/>
      <c r="DQ62" s="393" t="n"/>
      <c r="DR62" s="393" t="n"/>
      <c r="EG62" s="393" t="n"/>
      <c r="EH62" s="393" t="n"/>
      <c r="EI62" s="393" t="n"/>
      <c r="EJ62" s="393" t="n"/>
    </row>
    <row r="63" ht="36" customHeight="1" s="568">
      <c r="B63" s="6" t="n"/>
      <c r="E63" s="98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100" t="n"/>
      <c r="P63" s="99" t="n"/>
      <c r="Q63" s="99" t="n"/>
      <c r="R63" s="99" t="n"/>
      <c r="S63" s="99" t="n"/>
      <c r="T63" s="100" t="inlineStr">
        <is>
          <t>FAVORITOS DEL CAMPEONATO DE MARCAS</t>
        </is>
      </c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99" t="n"/>
      <c r="AI63" s="99" t="n"/>
      <c r="AJ63" s="99" t="n"/>
      <c r="AK63" s="99" t="n"/>
      <c r="AL63" s="99" t="n"/>
      <c r="AM63" s="99" t="n"/>
      <c r="AN63" s="99" t="n"/>
      <c r="AO63" s="100" t="n"/>
      <c r="AP63" s="100" t="inlineStr">
        <is>
          <t>DOMINGO</t>
        </is>
      </c>
      <c r="AQ63" s="99" t="n"/>
      <c r="AR63" s="99" t="n"/>
      <c r="AS63" s="100" t="n"/>
      <c r="AT63" s="99" t="n"/>
      <c r="AU63" s="101">
        <f>D3</f>
        <v/>
      </c>
      <c r="AV63" s="99" t="n"/>
      <c r="AW63" s="99" t="n"/>
      <c r="AX63" s="99" t="n"/>
      <c r="AY63" s="99" t="n"/>
      <c r="AZ63" s="99" t="n"/>
      <c r="BA63" s="99" t="n"/>
      <c r="BB63" s="99" t="n"/>
      <c r="BC63" s="99" t="n"/>
      <c r="BD63" s="99" t="n"/>
      <c r="BE63" s="99" t="n"/>
      <c r="BF63" s="99" t="n"/>
      <c r="BG63" s="102" t="n"/>
      <c r="BH63" s="99" t="n"/>
      <c r="BI63" s="99" t="n"/>
      <c r="BJ63" s="99" t="n"/>
      <c r="BK63" s="99" t="n"/>
      <c r="BL63" s="102" t="n"/>
      <c r="BM63" s="99" t="n"/>
      <c r="BN63" s="99" t="n"/>
      <c r="BO63" s="99" t="n"/>
      <c r="BP63" s="99" t="n"/>
      <c r="BQ63" s="103" t="n"/>
      <c r="BR63" s="155" t="n"/>
      <c r="BS63" s="155" t="n"/>
      <c r="BT63" s="155" t="n"/>
      <c r="BU63" s="155" t="n"/>
      <c r="BV63" s="155" t="n"/>
      <c r="BW63" s="155" t="n"/>
      <c r="BX63" s="155" t="n"/>
      <c r="BY63" s="155" t="n"/>
      <c r="BZ63" s="155" t="n"/>
      <c r="CA63" s="155" t="n"/>
      <c r="CB63" s="155" t="n"/>
      <c r="CC63" s="155" t="n"/>
      <c r="CD63" s="155" t="n"/>
      <c r="CE63" s="155" t="n"/>
      <c r="CF63" s="155" t="n"/>
      <c r="CZ63" s="392" t="n"/>
      <c r="DA63" s="392">
        <f t="array" ref="DA63">IF(CZ63="", "", IF((INDEX(E$7:CE$57, MATCH(CZ63, C$7:C$57, 0), ($CZ$25-1)*5 + 1) &amp; "") = (INDEX(E$5:CE$5, 1, ($CZ$25-1)*5 + 1) &amp; ""), 1, IF((INDEX(E$7:CE$57, MATCH(CZ63, C$7:C$57, 0), ($CZ$25-1)*5 + 2) &amp; "") = (INDEX(E$5:CE$5, 1, ($CZ$25-1)*5 + 1) &amp; ""), 2, IF((INDEX(E$7:CE$57, MATCH(CZ63, C$7:C$57, 0), ($CZ$25-1)*5 + 3) &amp; "") = (INDEX(E$5:CE$5, 1, ($CZ$25-1)*5 + 1) &amp; ""), 3, ""))))</f>
        <v/>
      </c>
      <c r="DO63" s="393" t="n"/>
      <c r="DP63" s="393" t="n"/>
      <c r="DQ63" s="393" t="n"/>
      <c r="DR63" s="393" t="n"/>
      <c r="EG63" s="393">
        <f>IF(EH63="","",$EG$59)</f>
        <v/>
      </c>
      <c r="EH63" s="393" t="n"/>
      <c r="EI63" s="393" t="n"/>
      <c r="EJ63" s="393" t="n"/>
    </row>
    <row r="64" ht="23.25" customHeight="1" s="568">
      <c r="E64" s="608">
        <f>E4</f>
        <v/>
      </c>
      <c r="F64" s="432" t="n"/>
      <c r="G64" s="432" t="n"/>
      <c r="H64" s="432" t="n"/>
      <c r="I64" s="432" t="n"/>
      <c r="J64" s="608">
        <f>J4</f>
        <v/>
      </c>
      <c r="K64" s="432" t="n"/>
      <c r="L64" s="432" t="n"/>
      <c r="M64" s="432" t="n"/>
      <c r="N64" s="432" t="n"/>
      <c r="O64" s="608">
        <f>O4</f>
        <v/>
      </c>
      <c r="P64" s="432" t="n"/>
      <c r="Q64" s="432" t="n"/>
      <c r="R64" s="432" t="n"/>
      <c r="S64" s="432" t="n"/>
      <c r="T64" s="608">
        <f>T4</f>
        <v/>
      </c>
      <c r="U64" s="432" t="n"/>
      <c r="V64" s="432" t="n"/>
      <c r="W64" s="432" t="n"/>
      <c r="X64" s="432" t="n"/>
      <c r="Y64" s="608">
        <f>Y4</f>
        <v/>
      </c>
      <c r="Z64" s="432" t="n"/>
      <c r="AA64" s="432" t="n"/>
      <c r="AB64" s="432" t="n"/>
      <c r="AC64" s="432" t="n"/>
      <c r="AD64" s="608">
        <f>AD4</f>
        <v/>
      </c>
      <c r="AE64" s="432" t="n"/>
      <c r="AF64" s="432" t="n"/>
      <c r="AG64" s="432" t="n"/>
      <c r="AH64" s="432" t="n"/>
      <c r="AI64" s="608">
        <f>AI4</f>
        <v/>
      </c>
      <c r="AJ64" s="432" t="n"/>
      <c r="AK64" s="432" t="n"/>
      <c r="AL64" s="432" t="n"/>
      <c r="AM64" s="432" t="n"/>
      <c r="AN64" s="608">
        <f>AN4</f>
        <v/>
      </c>
      <c r="AO64" s="432" t="n"/>
      <c r="AP64" s="432" t="n"/>
      <c r="AQ64" s="432" t="n"/>
      <c r="AR64" s="432" t="n"/>
      <c r="AS64" s="608">
        <f>AS4</f>
        <v/>
      </c>
      <c r="AT64" s="432" t="n"/>
      <c r="AU64" s="432" t="n"/>
      <c r="AV64" s="432" t="n"/>
      <c r="AW64" s="432" t="n"/>
      <c r="AX64" s="608">
        <f>AX4</f>
        <v/>
      </c>
      <c r="AY64" s="432" t="n"/>
      <c r="AZ64" s="432" t="n"/>
      <c r="BA64" s="432" t="n"/>
      <c r="BB64" s="432" t="n"/>
      <c r="BC64" s="608">
        <f>BC4</f>
        <v/>
      </c>
      <c r="BD64" s="432" t="n"/>
      <c r="BE64" s="432" t="n"/>
      <c r="BF64" s="432" t="n"/>
      <c r="BG64" s="432" t="n"/>
      <c r="BH64" s="608">
        <f>BH4</f>
        <v/>
      </c>
      <c r="BI64" s="432" t="n"/>
      <c r="BJ64" s="432" t="n"/>
      <c r="BK64" s="432" t="n"/>
      <c r="BL64" s="432" t="n"/>
      <c r="BM64" s="608">
        <f>BM4</f>
        <v/>
      </c>
      <c r="BN64" s="432" t="n"/>
      <c r="BO64" s="432" t="n"/>
      <c r="BP64" s="432" t="n"/>
      <c r="BQ64" s="432" t="n"/>
      <c r="BR64" s="608">
        <f>BR4</f>
        <v/>
      </c>
      <c r="BS64" s="432" t="n"/>
      <c r="BT64" s="432" t="n"/>
      <c r="BU64" s="432" t="n"/>
      <c r="BV64" s="432" t="n"/>
      <c r="BW64" s="608">
        <f>BW4</f>
        <v/>
      </c>
      <c r="BX64" s="432" t="n"/>
      <c r="BY64" s="432" t="n"/>
      <c r="BZ64" s="432" t="n"/>
      <c r="CA64" s="432" t="n"/>
      <c r="CB64" s="608">
        <f>CB4</f>
        <v/>
      </c>
      <c r="CC64" s="432" t="n"/>
      <c r="CD64" s="432" t="n"/>
      <c r="CE64" s="432" t="n"/>
      <c r="CF64" s="432" t="n"/>
      <c r="CZ64" s="392" t="n"/>
      <c r="DA64" s="392">
        <f t="array" ref="DA64">IF(CZ64="", "", IF((INDEX(E$7:CE$57, MATCH(CZ64, C$7:C$57, 0), ($CZ$25-1)*5 + 1) &amp; "") = (INDEX(E$5:CE$5, 1, ($CZ$25-1)*5 + 1) &amp; ""), 1, IF((INDEX(E$7:CE$57, MATCH(CZ64, C$7:C$57, 0), ($CZ$25-1)*5 + 2) &amp; "") = (INDEX(E$5:CE$5, 1, ($CZ$25-1)*5 + 1) &amp; ""), 2, IF((INDEX(E$7:CE$57, MATCH(CZ64, C$7:C$57, 0), ($CZ$25-1)*5 + 3) &amp; "") = (INDEX(E$5:CE$5, 1, ($CZ$25-1)*5 + 1) &amp; ""), 3, ""))))</f>
        <v/>
      </c>
      <c r="DO64" s="393">
        <f>IF(DP64="","",$DO$59)</f>
        <v/>
      </c>
      <c r="DP64" s="393" t="n"/>
      <c r="DQ64" s="393" t="n"/>
      <c r="DR64" s="393" t="n"/>
      <c r="EG64" s="393">
        <f>IF(EH64="","",$EG$59)</f>
        <v/>
      </c>
      <c r="EH64" s="393" t="n"/>
      <c r="EI64" s="393" t="n"/>
      <c r="EJ64" s="393" t="n"/>
    </row>
    <row r="65" ht="26.25" customHeight="1" s="568">
      <c r="B65" s="104" t="n"/>
      <c r="C65" s="105" t="n"/>
      <c r="D65" s="105" t="n"/>
      <c r="E65" s="106" t="inlineStr">
        <is>
          <t>N°</t>
        </is>
      </c>
      <c r="F65" s="107" t="inlineStr">
        <is>
          <t>1°</t>
        </is>
      </c>
      <c r="G65" s="107" t="inlineStr">
        <is>
          <t>2°</t>
        </is>
      </c>
      <c r="H65" s="107" t="inlineStr">
        <is>
          <t>3°</t>
        </is>
      </c>
      <c r="I65" s="107" t="inlineStr">
        <is>
          <t>PTS</t>
        </is>
      </c>
      <c r="J65" s="107" t="inlineStr">
        <is>
          <t>N°</t>
        </is>
      </c>
      <c r="K65" s="107" t="inlineStr">
        <is>
          <t>1°</t>
        </is>
      </c>
      <c r="L65" s="107" t="inlineStr">
        <is>
          <t>2°</t>
        </is>
      </c>
      <c r="M65" s="107" t="inlineStr">
        <is>
          <t>3°</t>
        </is>
      </c>
      <c r="N65" s="107" t="inlineStr">
        <is>
          <t>PTS</t>
        </is>
      </c>
      <c r="O65" s="107" t="inlineStr">
        <is>
          <t>N°</t>
        </is>
      </c>
      <c r="P65" s="107" t="inlineStr">
        <is>
          <t>1°</t>
        </is>
      </c>
      <c r="Q65" s="107" t="inlineStr">
        <is>
          <t>2°</t>
        </is>
      </c>
      <c r="R65" s="107" t="inlineStr">
        <is>
          <t>3°</t>
        </is>
      </c>
      <c r="S65" s="107" t="inlineStr">
        <is>
          <t>PTS</t>
        </is>
      </c>
      <c r="T65" s="107" t="inlineStr">
        <is>
          <t>N°</t>
        </is>
      </c>
      <c r="U65" s="107" t="inlineStr">
        <is>
          <t>1°</t>
        </is>
      </c>
      <c r="V65" s="107" t="inlineStr">
        <is>
          <t>2°</t>
        </is>
      </c>
      <c r="W65" s="107" t="inlineStr">
        <is>
          <t>3°</t>
        </is>
      </c>
      <c r="X65" s="107" t="inlineStr">
        <is>
          <t>PTS</t>
        </is>
      </c>
      <c r="Y65" s="107" t="inlineStr">
        <is>
          <t>N°</t>
        </is>
      </c>
      <c r="Z65" s="107" t="inlineStr">
        <is>
          <t>1°</t>
        </is>
      </c>
      <c r="AA65" s="107" t="inlineStr">
        <is>
          <t>2°</t>
        </is>
      </c>
      <c r="AB65" s="107" t="inlineStr">
        <is>
          <t>3°</t>
        </is>
      </c>
      <c r="AC65" s="107" t="inlineStr">
        <is>
          <t>PTS</t>
        </is>
      </c>
      <c r="AD65" s="107" t="inlineStr">
        <is>
          <t>N°</t>
        </is>
      </c>
      <c r="AE65" s="107" t="inlineStr">
        <is>
          <t>1°</t>
        </is>
      </c>
      <c r="AF65" s="107" t="inlineStr">
        <is>
          <t>2°</t>
        </is>
      </c>
      <c r="AG65" s="107" t="inlineStr">
        <is>
          <t>3°</t>
        </is>
      </c>
      <c r="AH65" s="107" t="inlineStr">
        <is>
          <t>PTS</t>
        </is>
      </c>
      <c r="AI65" s="107" t="inlineStr">
        <is>
          <t>N°</t>
        </is>
      </c>
      <c r="AJ65" s="107" t="inlineStr">
        <is>
          <t>1°</t>
        </is>
      </c>
      <c r="AK65" s="107" t="inlineStr">
        <is>
          <t>2°</t>
        </is>
      </c>
      <c r="AL65" s="107" t="inlineStr">
        <is>
          <t>3°</t>
        </is>
      </c>
      <c r="AM65" s="107" t="inlineStr">
        <is>
          <t>PTS</t>
        </is>
      </c>
      <c r="AN65" s="107" t="inlineStr">
        <is>
          <t>N°</t>
        </is>
      </c>
      <c r="AO65" s="107" t="inlineStr">
        <is>
          <t>1°</t>
        </is>
      </c>
      <c r="AP65" s="107" t="inlineStr">
        <is>
          <t>2°</t>
        </is>
      </c>
      <c r="AQ65" s="107" t="inlineStr">
        <is>
          <t>3°</t>
        </is>
      </c>
      <c r="AR65" s="107" t="inlineStr">
        <is>
          <t>PTS</t>
        </is>
      </c>
      <c r="AS65" s="107" t="inlineStr">
        <is>
          <t>N°</t>
        </is>
      </c>
      <c r="AT65" s="107" t="inlineStr">
        <is>
          <t>1°</t>
        </is>
      </c>
      <c r="AU65" s="107" t="inlineStr">
        <is>
          <t>2°</t>
        </is>
      </c>
      <c r="AV65" s="107" t="inlineStr">
        <is>
          <t>3°</t>
        </is>
      </c>
      <c r="AW65" s="107" t="inlineStr">
        <is>
          <t>PTS</t>
        </is>
      </c>
      <c r="AX65" s="107" t="inlineStr">
        <is>
          <t>N°</t>
        </is>
      </c>
      <c r="AY65" s="107" t="inlineStr">
        <is>
          <t>1°</t>
        </is>
      </c>
      <c r="AZ65" s="107" t="inlineStr">
        <is>
          <t>2°</t>
        </is>
      </c>
      <c r="BA65" s="107" t="inlineStr">
        <is>
          <t>3°</t>
        </is>
      </c>
      <c r="BB65" s="107" t="inlineStr">
        <is>
          <t>PTS</t>
        </is>
      </c>
      <c r="BC65" s="107" t="inlineStr">
        <is>
          <t>N°</t>
        </is>
      </c>
      <c r="BD65" s="107" t="inlineStr">
        <is>
          <t>1°</t>
        </is>
      </c>
      <c r="BE65" s="107" t="inlineStr">
        <is>
          <t>2°</t>
        </is>
      </c>
      <c r="BF65" s="107" t="inlineStr">
        <is>
          <t>3°</t>
        </is>
      </c>
      <c r="BG65" s="107" t="inlineStr">
        <is>
          <t>PTS</t>
        </is>
      </c>
      <c r="BH65" s="107" t="inlineStr">
        <is>
          <t>N°</t>
        </is>
      </c>
      <c r="BI65" s="107" t="inlineStr">
        <is>
          <t>1°</t>
        </is>
      </c>
      <c r="BJ65" s="107" t="inlineStr">
        <is>
          <t>2°</t>
        </is>
      </c>
      <c r="BK65" s="107" t="inlineStr">
        <is>
          <t>3°</t>
        </is>
      </c>
      <c r="BL65" s="107" t="inlineStr">
        <is>
          <t>PTS</t>
        </is>
      </c>
      <c r="BM65" s="107" t="inlineStr">
        <is>
          <t>N°</t>
        </is>
      </c>
      <c r="BN65" s="107" t="inlineStr">
        <is>
          <t>1°</t>
        </is>
      </c>
      <c r="BO65" s="107" t="inlineStr">
        <is>
          <t>2°</t>
        </is>
      </c>
      <c r="BP65" s="107" t="inlineStr">
        <is>
          <t>3°</t>
        </is>
      </c>
      <c r="BQ65" s="108" t="inlineStr">
        <is>
          <t>PTS</t>
        </is>
      </c>
      <c r="BR65" s="107" t="inlineStr">
        <is>
          <t>N°</t>
        </is>
      </c>
      <c r="BS65" s="107" t="inlineStr">
        <is>
          <t>1°</t>
        </is>
      </c>
      <c r="BT65" s="107" t="inlineStr">
        <is>
          <t>2°</t>
        </is>
      </c>
      <c r="BU65" s="107" t="inlineStr">
        <is>
          <t>3°</t>
        </is>
      </c>
      <c r="BV65" s="108" t="inlineStr">
        <is>
          <t>PTS</t>
        </is>
      </c>
      <c r="BW65" s="107" t="inlineStr">
        <is>
          <t>N°</t>
        </is>
      </c>
      <c r="BX65" s="107" t="inlineStr">
        <is>
          <t>1°</t>
        </is>
      </c>
      <c r="BY65" s="107" t="inlineStr">
        <is>
          <t>2°</t>
        </is>
      </c>
      <c r="BZ65" s="107" t="inlineStr">
        <is>
          <t>3°</t>
        </is>
      </c>
      <c r="CA65" s="108" t="inlineStr">
        <is>
          <t>PTS</t>
        </is>
      </c>
      <c r="CB65" s="107" t="inlineStr">
        <is>
          <t>N°</t>
        </is>
      </c>
      <c r="CC65" s="107" t="inlineStr">
        <is>
          <t>1°</t>
        </is>
      </c>
      <c r="CD65" s="107" t="inlineStr">
        <is>
          <t>2°</t>
        </is>
      </c>
      <c r="CE65" s="107" t="inlineStr">
        <is>
          <t>3°</t>
        </is>
      </c>
      <c r="CF65" s="108" t="inlineStr">
        <is>
          <t>PTS</t>
        </is>
      </c>
      <c r="CG65" s="105" t="n"/>
      <c r="CH65" s="105" t="n"/>
      <c r="CZ65" s="392" t="n"/>
      <c r="DA65" s="392">
        <f t="array" ref="DA65">IF(CZ65="", "", IF((INDEX(E$7:CE$57, MATCH(CZ65, C$7:C$57, 0), ($CZ$25-1)*5 + 1) &amp; "") = (INDEX(E$5:CE$5, 1, ($CZ$25-1)*5 + 1) &amp; ""), 1, IF((INDEX(E$7:CE$57, MATCH(CZ65, C$7:C$57, 0), ($CZ$25-1)*5 + 2) &amp; "") = (INDEX(E$5:CE$5, 1, ($CZ$25-1)*5 + 1) &amp; ""), 2, IF((INDEX(E$7:CE$57, MATCH(CZ65, C$7:C$57, 0), ($CZ$25-1)*5 + 3) &amp; "") = (INDEX(E$5:CE$5, 1, ($CZ$25-1)*5 + 1) &amp; ""), 3, ""))))</f>
        <v/>
      </c>
      <c r="DO65" s="393">
        <f>IF(DP65="","",$DO$59)</f>
        <v/>
      </c>
      <c r="DP65" s="393" t="n"/>
      <c r="DQ65" s="393" t="n"/>
      <c r="DR65" s="393" t="n"/>
      <c r="EG65" s="393">
        <f>IF(EH65="","",$EG$59)</f>
        <v/>
      </c>
      <c r="EH65" s="393" t="n"/>
      <c r="EI65" s="393" t="n"/>
      <c r="EJ65" s="393" t="n"/>
    </row>
    <row r="66" ht="27.95" customHeight="1" s="568">
      <c r="B66" s="104" t="n"/>
      <c r="C66" s="105" t="n"/>
      <c r="D66" s="105" t="n"/>
      <c r="E66" s="109" t="n">
        <v>1</v>
      </c>
      <c r="F66" s="110">
        <f>(COUNTIF(BASE01[1],E66)*3)</f>
        <v/>
      </c>
      <c r="G66" s="174">
        <f>(COUNTIF(BASE01[2],E66)*2)</f>
        <v/>
      </c>
      <c r="H66" s="174">
        <f>COUNTIF(BASE01[22],E66)</f>
        <v/>
      </c>
      <c r="I66" s="431">
        <f>SUM(F66,G66,H66)</f>
        <v/>
      </c>
      <c r="J66" s="175" t="n">
        <v>8</v>
      </c>
      <c r="K66" s="174">
        <f>(COUNTIF(BASE01[12],J66)*3)</f>
        <v/>
      </c>
      <c r="L66" s="174">
        <f>(COUNTIF(BASE01[Columna2],J66)*2)</f>
        <v/>
      </c>
      <c r="M66" s="174">
        <f>COUNTIF(BASE01[Columna23],J66)</f>
        <v/>
      </c>
      <c r="N66" s="431">
        <f>SUM(K66,L66,M66)</f>
        <v/>
      </c>
      <c r="O66" s="175" t="n">
        <v>3</v>
      </c>
      <c r="P66" s="174">
        <f>(COUNTIF(BASE01[Columna4],O66)*3)</f>
        <v/>
      </c>
      <c r="Q66" s="174">
        <f>(COUNTIF(BASE01[Columna5],O66)*2)</f>
        <v/>
      </c>
      <c r="R66" s="174">
        <f>COUNTIF(BASE01[Columna53],O66)</f>
        <v/>
      </c>
      <c r="S66" s="431">
        <f>SUM(P66,Q66,R66)</f>
        <v/>
      </c>
      <c r="T66" s="175" t="n">
        <v>6</v>
      </c>
      <c r="U66" s="174">
        <f>(COUNTIF(BASE01[Columna7],T66)*3)</f>
        <v/>
      </c>
      <c r="V66" s="174">
        <f>(COUNTIF(BASE01[Columna8],T66)*2)</f>
        <v/>
      </c>
      <c r="W66" s="174">
        <f>COUNTIF(BASE01[Columna83],T66)</f>
        <v/>
      </c>
      <c r="X66" s="431">
        <f>SUM(U66,V66,W66)</f>
        <v/>
      </c>
      <c r="Y66" s="175" t="n">
        <v>5</v>
      </c>
      <c r="Z66" s="174">
        <f>(COUNTIF(BASE01[Columna10],Y66)*3)</f>
        <v/>
      </c>
      <c r="AA66" s="174">
        <f>(COUNTIF(BASE01[Columna11],Y66)*2)</f>
        <v/>
      </c>
      <c r="AB66" s="174">
        <f>COUNTIF(BASE01[Columna113],Y66)</f>
        <v/>
      </c>
      <c r="AC66" s="431">
        <f>SUM(Z66,AA66,AB66)</f>
        <v/>
      </c>
      <c r="AD66" s="175" t="n">
        <v>7</v>
      </c>
      <c r="AE66" s="174">
        <f>(COUNTIF(BASE01[1RA],AD66)*3)</f>
        <v/>
      </c>
      <c r="AF66" s="174">
        <f>(COUNTIF(BASE01[2DA],AD66)*2)</f>
        <v/>
      </c>
      <c r="AG66" s="174">
        <f>COUNTIF(BASE01[2DA2],AD66)</f>
        <v/>
      </c>
      <c r="AH66" s="431">
        <f>SUM(AE66,AF66,AG66)</f>
        <v/>
      </c>
      <c r="AI66" s="175" t="n">
        <v>4</v>
      </c>
      <c r="AJ66" s="174">
        <f>(COUNTIF(BASE01[Columna16],AI66)*3)</f>
        <v/>
      </c>
      <c r="AK66" s="174">
        <f>(COUNTIF(BASE01[Columna17],AI66)*2)</f>
        <v/>
      </c>
      <c r="AL66" s="174">
        <f>COUNTIF(BASE01[Columna173],AI66)</f>
        <v/>
      </c>
      <c r="AM66" s="431">
        <f>SUM(AJ66,AK66,AL66)</f>
        <v/>
      </c>
      <c r="AN66" s="175" t="n">
        <v>8</v>
      </c>
      <c r="AO66" s="174">
        <f>(COUNTIF(BASE01[123],AN66)*3)</f>
        <v/>
      </c>
      <c r="AP66" s="174">
        <f>(COUNTIF(BASE01[555],AN66)*2)</f>
        <v/>
      </c>
      <c r="AQ66" s="174">
        <f>COUNTIF(BASE01[556],AN66)</f>
        <v/>
      </c>
      <c r="AR66" s="431">
        <f>SUM(AO66,AP66,AQ66)</f>
        <v/>
      </c>
      <c r="AS66" s="175" t="n">
        <v>1</v>
      </c>
      <c r="AT66" s="174">
        <f>(COUNTIF(BASE01[AAAA],AS66)*3)</f>
        <v/>
      </c>
      <c r="AU66" s="174">
        <f>(COUNTIF(BASE01[BBBB],AS66)*2)</f>
        <v/>
      </c>
      <c r="AV66" s="174">
        <f>COUNTIF(BASE01[Columna13],AS66)</f>
        <v/>
      </c>
      <c r="AW66" s="431">
        <f>SUM(AT66,AU66,AV66)</f>
        <v/>
      </c>
      <c r="AX66" s="175" t="n">
        <v>9</v>
      </c>
      <c r="AY66" s="174">
        <f>(COUNTIF(BASE01[Columna25],AX66)*3)</f>
        <v/>
      </c>
      <c r="AZ66" s="174">
        <f>(COUNTIF(BASE01[Columna26],AX66)*2)</f>
        <v/>
      </c>
      <c r="BA66" s="174">
        <f>COUNTIF(BASE01[Columna263],AX66)</f>
        <v/>
      </c>
      <c r="BB66" s="431">
        <f>SUM(AY66,AZ66,BA66)</f>
        <v/>
      </c>
      <c r="BC66" s="175" t="n">
        <v>4</v>
      </c>
      <c r="BD66" s="174">
        <f>(COUNTIF(BASE01[Columna272],BC66)*3)</f>
        <v/>
      </c>
      <c r="BE66" s="174">
        <f>(COUNTIF(BASE01[Columna273],BC66)*2)</f>
        <v/>
      </c>
      <c r="BF66" s="174">
        <f>COUNTIF(BASE01[Columna2732],BC66)</f>
        <v/>
      </c>
      <c r="BG66" s="431">
        <f>SUM(BD66,BE66,BF66)</f>
        <v/>
      </c>
      <c r="BH66" s="175" t="n">
        <v>5</v>
      </c>
      <c r="BI66" s="174">
        <f>(COUNTIF(BASE01[Columna276],BH66)*3)</f>
        <v/>
      </c>
      <c r="BJ66" s="174">
        <f>(COUNTIF(BASE01[Columna277],BH66)*2)</f>
        <v/>
      </c>
      <c r="BK66" s="174">
        <f>COUNTIF(BASE01[Columna2772],BH66)</f>
        <v/>
      </c>
      <c r="BL66" s="431">
        <f>SUM(BI66,BJ66,BK66)</f>
        <v/>
      </c>
      <c r="BM66" s="175" t="n">
        <v>1</v>
      </c>
      <c r="BN66" s="174">
        <f>(COUNTIF(BASE01[Columna280],BM66)*3)</f>
        <v/>
      </c>
      <c r="BO66" s="174">
        <f>(COUNTIF(BASE01[Columna281],BM66)*2)</f>
        <v/>
      </c>
      <c r="BP66" s="174">
        <f>COUNTIF(BASE01[Columna2812],BM66)</f>
        <v/>
      </c>
      <c r="BQ66" s="111">
        <f>SUM(BN66,BO66,BP66)</f>
        <v/>
      </c>
      <c r="BR66" s="169" t="n">
        <v>1</v>
      </c>
      <c r="BS66" s="170">
        <f>(COUNTIF(BASE01[Columna2802],BR66)*3)</f>
        <v/>
      </c>
      <c r="BT66" s="170">
        <f>(COUNTIF(BASE01[Columna2813],BR66)*2)</f>
        <v/>
      </c>
      <c r="BU66" s="170">
        <f>COUNTIF(BASE01[Columna28124],BR66)</f>
        <v/>
      </c>
      <c r="BV66" s="171">
        <f>SUM(BS66,BT66,BU66)</f>
        <v/>
      </c>
      <c r="BW66" s="172" t="n">
        <v>1</v>
      </c>
      <c r="BX66" s="170">
        <f>(COUNTIF(BASE01[Columna2803],BW66)*3)</f>
        <v/>
      </c>
      <c r="BY66" s="170">
        <f>(COUNTIF(BASE01[Columna2814],BW66)*2)</f>
        <v/>
      </c>
      <c r="BZ66" s="170">
        <f>COUNTIF(BASE01[Columna28125],BW66)</f>
        <v/>
      </c>
      <c r="CA66" s="171">
        <f>SUM(BX66,BY66,BZ66)</f>
        <v/>
      </c>
      <c r="CB66" s="172" t="n">
        <v>1</v>
      </c>
      <c r="CC66" s="170">
        <f>(COUNTIF(BASE01[Columna2804],CB66)*3)</f>
        <v/>
      </c>
      <c r="CD66" s="170">
        <f>(COUNTIF(BASE01[Columna2815],CB66)*2)</f>
        <v/>
      </c>
      <c r="CE66" s="170">
        <f>COUNTIF(BASE01[Columna28126],CB66)</f>
        <v/>
      </c>
      <c r="CF66" s="171">
        <f>SUM(CC66,CD66,CE66)</f>
        <v/>
      </c>
      <c r="CG66" s="105" t="n"/>
      <c r="CH66" s="105" t="n"/>
      <c r="DO66" s="393">
        <f>IF(DP66="","",$DO$59)</f>
        <v/>
      </c>
      <c r="DP66" s="393" t="n"/>
      <c r="DQ66" s="393" t="n"/>
      <c r="DR66" s="393" t="n"/>
      <c r="EG66" s="393">
        <f>IF(EH66="","",$EG$59)</f>
        <v/>
      </c>
      <c r="EH66" s="393" t="n"/>
      <c r="EI66" s="393" t="n"/>
      <c r="EJ66" s="393" t="n"/>
    </row>
    <row r="67" ht="27.95" customHeight="1" s="568">
      <c r="B67" s="104" t="n"/>
      <c r="C67" s="105" t="n"/>
      <c r="D67" s="105" t="n"/>
      <c r="E67" s="109" t="n">
        <v>6</v>
      </c>
      <c r="F67" s="110">
        <f>(COUNTIF(BASE01[1],E67)*3)</f>
        <v/>
      </c>
      <c r="G67" s="174">
        <f>(COUNTIF(BASE01[2],E67)*2)</f>
        <v/>
      </c>
      <c r="H67" s="174">
        <f>COUNTIF(BASE01[22],E67)</f>
        <v/>
      </c>
      <c r="I67" s="431">
        <f>SUM(F67,G67,H67)</f>
        <v/>
      </c>
      <c r="J67" s="175" t="n">
        <v>3</v>
      </c>
      <c r="K67" s="174">
        <f>(COUNTIF(BASE01[12],J67)*3)</f>
        <v/>
      </c>
      <c r="L67" s="174">
        <f>(COUNTIF(BASE01[Columna2],J67)*2)</f>
        <v/>
      </c>
      <c r="M67" s="174">
        <f>COUNTIF(BASE01[Columna23],J67)</f>
        <v/>
      </c>
      <c r="N67" s="431">
        <f>SUM(K67,L67,M67)</f>
        <v/>
      </c>
      <c r="O67" s="175" t="n">
        <v>8</v>
      </c>
      <c r="P67" s="174">
        <f>(COUNTIF(BASE01[Columna4],O67)*3)</f>
        <v/>
      </c>
      <c r="Q67" s="174">
        <f>(COUNTIF(BASE01[Columna5],O67)*2)</f>
        <v/>
      </c>
      <c r="R67" s="174">
        <f>COUNTIF(BASE01[Columna53],O67)</f>
        <v/>
      </c>
      <c r="S67" s="431">
        <f>SUM(P67,Q67,R67)</f>
        <v/>
      </c>
      <c r="T67" s="175" t="n">
        <v>8</v>
      </c>
      <c r="U67" s="174">
        <f>(COUNTIF(BASE01[Columna7],T67)*3)</f>
        <v/>
      </c>
      <c r="V67" s="174">
        <f>(COUNTIF(BASE01[Columna8],T67)*2)</f>
        <v/>
      </c>
      <c r="W67" s="174">
        <f>COUNTIF(BASE01[Columna83],T67)</f>
        <v/>
      </c>
      <c r="X67" s="431">
        <f>SUM(U67,V67,W67)</f>
        <v/>
      </c>
      <c r="Y67" s="175" t="n">
        <v>3</v>
      </c>
      <c r="Z67" s="174">
        <f>(COUNTIF(BASE01[Columna10],Y67)*3)</f>
        <v/>
      </c>
      <c r="AA67" s="174">
        <f>(COUNTIF(BASE01[Columna11],Y67)*2)</f>
        <v/>
      </c>
      <c r="AB67" s="174">
        <f>COUNTIF(BASE01[Columna113],Y67)</f>
        <v/>
      </c>
      <c r="AC67" s="431">
        <f>SUM(Z67,AA67,AB67)</f>
        <v/>
      </c>
      <c r="AD67" s="175" t="n">
        <v>2</v>
      </c>
      <c r="AE67" s="174">
        <f>(COUNTIF(BASE01[1RA],AD67)*3)</f>
        <v/>
      </c>
      <c r="AF67" s="174">
        <f>(COUNTIF(BASE01[2DA],AD67)*2)</f>
        <v/>
      </c>
      <c r="AG67" s="174">
        <f>COUNTIF(BASE01[2DA2],AD67)</f>
        <v/>
      </c>
      <c r="AH67" s="431">
        <f>SUM(AE67,AF67,AG67)</f>
        <v/>
      </c>
      <c r="AI67" s="175" t="n">
        <v>7</v>
      </c>
      <c r="AJ67" s="174">
        <f>(COUNTIF(BASE01[Columna16],AI67)*3)</f>
        <v/>
      </c>
      <c r="AK67" s="174">
        <f>(COUNTIF(BASE01[Columna17],AI67)*2)</f>
        <v/>
      </c>
      <c r="AL67" s="174">
        <f>COUNTIF(BASE01[Columna173],AI67)</f>
        <v/>
      </c>
      <c r="AM67" s="431">
        <f>SUM(AJ67,AK67,AL67)</f>
        <v/>
      </c>
      <c r="AN67" s="175" t="n">
        <v>9</v>
      </c>
      <c r="AO67" s="174">
        <f>(COUNTIF(BASE01[123],AN67)*3)</f>
        <v/>
      </c>
      <c r="AP67" s="174">
        <f>(COUNTIF(BASE01[555],AN67)*2)</f>
        <v/>
      </c>
      <c r="AQ67" s="174">
        <f>COUNTIF(BASE01[556],AN67)</f>
        <v/>
      </c>
      <c r="AR67" s="431">
        <f>SUM(AO67,AP67,AQ67)</f>
        <v/>
      </c>
      <c r="AS67" s="175" t="n">
        <v>7</v>
      </c>
      <c r="AT67" s="174">
        <f>(COUNTIF(BASE01[AAAA],AS67)*3)</f>
        <v/>
      </c>
      <c r="AU67" s="174">
        <f>(COUNTIF(BASE01[BBBB],AS67)*2)</f>
        <v/>
      </c>
      <c r="AV67" s="174">
        <f>COUNTIF(BASE01[Columna13],AS67)</f>
        <v/>
      </c>
      <c r="AW67" s="431">
        <f>SUM(AT67,AU67,AV67)</f>
        <v/>
      </c>
      <c r="AX67" s="175" t="n">
        <v>1</v>
      </c>
      <c r="AY67" s="174">
        <f>(COUNTIF(BASE01[Columna25],AX67)*3)</f>
        <v/>
      </c>
      <c r="AZ67" s="174">
        <f>(COUNTIF(BASE01[Columna26],AX67)*2)</f>
        <v/>
      </c>
      <c r="BA67" s="174">
        <f>COUNTIF(BASE01[Columna263],AX67)</f>
        <v/>
      </c>
      <c r="BB67" s="431">
        <f>SUM(AY67,AZ67,BA67)</f>
        <v/>
      </c>
      <c r="BC67" s="175" t="n">
        <v>2</v>
      </c>
      <c r="BD67" s="174">
        <f>(COUNTIF(BASE01[Columna272],BC67)*3)</f>
        <v/>
      </c>
      <c r="BE67" s="174">
        <f>(COUNTIF(BASE01[Columna273],BC67)*2)</f>
        <v/>
      </c>
      <c r="BF67" s="174">
        <f>COUNTIF(BASE01[Columna2732],BC67)</f>
        <v/>
      </c>
      <c r="BG67" s="431">
        <f>SUM(BD67,BE67,BF67)</f>
        <v/>
      </c>
      <c r="BH67" s="175" t="n">
        <v>1</v>
      </c>
      <c r="BI67" s="174">
        <f>(COUNTIF(BASE01[Columna276],BH67)*3)</f>
        <v/>
      </c>
      <c r="BJ67" s="174">
        <f>(COUNTIF(BASE01[Columna277],BH67)*2)</f>
        <v/>
      </c>
      <c r="BK67" s="174">
        <f>COUNTIF(BASE01[Columna2772],BH67)</f>
        <v/>
      </c>
      <c r="BL67" s="431">
        <f>SUM(BI67,BJ67,BK67)</f>
        <v/>
      </c>
      <c r="BM67" s="175" t="n">
        <v>3</v>
      </c>
      <c r="BN67" s="174">
        <f>(COUNTIF(BASE01[Columna280],BM67)*3)</f>
        <v/>
      </c>
      <c r="BO67" s="174">
        <f>(COUNTIF(BASE01[Columna281],BM67)*2)</f>
        <v/>
      </c>
      <c r="BP67" s="174">
        <f>COUNTIF(BASE01[Columna2812],BM67)</f>
        <v/>
      </c>
      <c r="BQ67" s="111">
        <f>SUM(BN67,BO67,BP67)</f>
        <v/>
      </c>
      <c r="BR67" s="173" t="n">
        <v>3</v>
      </c>
      <c r="BS67" s="174">
        <f>(COUNTIF(BASE01[Columna2802],BR67)*3)</f>
        <v/>
      </c>
      <c r="BT67" s="174">
        <f>(COUNTIF(BASE01[Columna2813],BR67)*2)</f>
        <v/>
      </c>
      <c r="BU67" s="174">
        <f>COUNTIF(BASE01[Columna28124],BR67)</f>
        <v/>
      </c>
      <c r="BV67" s="111">
        <f>SUM(BS67,BT67,BU67)</f>
        <v/>
      </c>
      <c r="BW67" s="175" t="n">
        <v>3</v>
      </c>
      <c r="BX67" s="174">
        <f>(COUNTIF(BASE01[Columna2803],BW67)*3)</f>
        <v/>
      </c>
      <c r="BY67" s="174">
        <f>(COUNTIF(BASE01[Columna2814],BW67)*2)</f>
        <v/>
      </c>
      <c r="BZ67" s="174">
        <f>COUNTIF(BASE01[Columna28125],BW67)</f>
        <v/>
      </c>
      <c r="CA67" s="111">
        <f>SUM(BX67,BY67,BZ67)</f>
        <v/>
      </c>
      <c r="CB67" s="175" t="n">
        <v>3</v>
      </c>
      <c r="CC67" s="174">
        <f>(COUNTIF(BASE01[Columna2804],CB67)*3)</f>
        <v/>
      </c>
      <c r="CD67" s="174">
        <f>(COUNTIF(BASE01[Columna2815],CB67)*2)</f>
        <v/>
      </c>
      <c r="CE67" s="174">
        <f>COUNTIF(BASE01[Columna28126],CB67)</f>
        <v/>
      </c>
      <c r="CF67" s="111">
        <f>SUM(CC67,CD67,CE67)</f>
        <v/>
      </c>
      <c r="CG67" s="105" t="n"/>
      <c r="CH67" s="105" t="n"/>
      <c r="DO67" s="393">
        <f>IF(DP67="","",$DO$59)</f>
        <v/>
      </c>
      <c r="DP67" s="393" t="n"/>
      <c r="DQ67" s="393" t="n"/>
      <c r="DR67" s="393" t="n"/>
      <c r="EG67" s="393">
        <f>IF(EH67="","",$EG$59)</f>
        <v/>
      </c>
      <c r="EH67" s="393" t="n"/>
      <c r="EI67" s="393" t="n"/>
      <c r="EJ67" s="393" t="n"/>
    </row>
    <row r="68" ht="27.95" customHeight="1" s="568">
      <c r="B68" s="104" t="n"/>
      <c r="C68" s="105" t="n"/>
      <c r="D68" s="105" t="n"/>
      <c r="E68" s="109" t="n">
        <v>8</v>
      </c>
      <c r="F68" s="110">
        <f>(COUNTIF(BASE01[1],E68)*3)</f>
        <v/>
      </c>
      <c r="G68" s="174">
        <f>(COUNTIF(BASE01[2],E68)*2)</f>
        <v/>
      </c>
      <c r="H68" s="174">
        <f>COUNTIF(BASE01[22],E68)</f>
        <v/>
      </c>
      <c r="I68" s="431">
        <f>SUM(F68,G68,H68)</f>
        <v/>
      </c>
      <c r="J68" s="175" t="n">
        <v>5</v>
      </c>
      <c r="K68" s="174">
        <f>(COUNTIF(BASE01[12],J68)*3)</f>
        <v/>
      </c>
      <c r="L68" s="174">
        <f>(COUNTIF(BASE01[Columna2],J68)*2)</f>
        <v/>
      </c>
      <c r="M68" s="174">
        <f>COUNTIF(BASE01[Columna23],J68)</f>
        <v/>
      </c>
      <c r="N68" s="431">
        <f>SUM(K68,L68,M68)</f>
        <v/>
      </c>
      <c r="O68" s="175" t="n">
        <v>6</v>
      </c>
      <c r="P68" s="174">
        <f>(COUNTIF(BASE01[Columna4],O68)*3)</f>
        <v/>
      </c>
      <c r="Q68" s="174">
        <f>(COUNTIF(BASE01[Columna5],O68)*2)</f>
        <v/>
      </c>
      <c r="R68" s="174">
        <f>COUNTIF(BASE01[Columna53],O68)</f>
        <v/>
      </c>
      <c r="S68" s="431">
        <f>SUM(P68,Q68,R68)</f>
        <v/>
      </c>
      <c r="T68" s="175" t="n">
        <v>4</v>
      </c>
      <c r="U68" s="174">
        <f>(COUNTIF(BASE01[Columna7],T68)*3)</f>
        <v/>
      </c>
      <c r="V68" s="174">
        <f>(COUNTIF(BASE01[Columna8],T68)*2)</f>
        <v/>
      </c>
      <c r="W68" s="174">
        <f>COUNTIF(BASE01[Columna83],T68)</f>
        <v/>
      </c>
      <c r="X68" s="431">
        <f>SUM(U68,V68,W68)</f>
        <v/>
      </c>
      <c r="Y68" s="175" t="n">
        <v>10</v>
      </c>
      <c r="Z68" s="174">
        <f>(COUNTIF(BASE01[Columna10],Y68)*3)</f>
        <v/>
      </c>
      <c r="AA68" s="174">
        <f>(COUNTIF(BASE01[Columna11],Y68)*2)</f>
        <v/>
      </c>
      <c r="AB68" s="174">
        <f>COUNTIF(BASE01[Columna113],Y68)</f>
        <v/>
      </c>
      <c r="AC68" s="431">
        <f>SUM(Z68,AA68,AB68)</f>
        <v/>
      </c>
      <c r="AD68" s="175" t="n">
        <v>5</v>
      </c>
      <c r="AE68" s="174">
        <f>(COUNTIF(BASE01[1RA],AD68)*3)</f>
        <v/>
      </c>
      <c r="AF68" s="174">
        <f>(COUNTIF(BASE01[2DA],AD68)*2)</f>
        <v/>
      </c>
      <c r="AG68" s="174">
        <f>COUNTIF(BASE01[2DA2],AD68)</f>
        <v/>
      </c>
      <c r="AH68" s="431">
        <f>SUM(AE68,AF68,AG68)</f>
        <v/>
      </c>
      <c r="AI68" s="175" t="n">
        <v>3</v>
      </c>
      <c r="AJ68" s="174">
        <f>(COUNTIF(BASE01[Columna16],AI68)*3)</f>
        <v/>
      </c>
      <c r="AK68" s="174">
        <f>(COUNTIF(BASE01[Columna17],AI68)*2)</f>
        <v/>
      </c>
      <c r="AL68" s="174">
        <f>COUNTIF(BASE01[Columna173],AI68)</f>
        <v/>
      </c>
      <c r="AM68" s="431">
        <f>SUM(AJ68,AK68,AL68)</f>
        <v/>
      </c>
      <c r="AN68" s="175" t="n">
        <v>11</v>
      </c>
      <c r="AO68" s="174">
        <f>(COUNTIF(BASE01[123],AN68)*3)</f>
        <v/>
      </c>
      <c r="AP68" s="174">
        <f>(COUNTIF(BASE01[555],AN68)*2)</f>
        <v/>
      </c>
      <c r="AQ68" s="174">
        <f>COUNTIF(BASE01[556],AN68)</f>
        <v/>
      </c>
      <c r="AR68" s="431">
        <f>SUM(AO68,AP68,AQ68)</f>
        <v/>
      </c>
      <c r="AS68" s="175" t="n">
        <v>2</v>
      </c>
      <c r="AT68" s="174">
        <f>(COUNTIF(BASE01[AAAA],AS68)*3)</f>
        <v/>
      </c>
      <c r="AU68" s="174">
        <f>(COUNTIF(BASE01[BBBB],AS68)*2)</f>
        <v/>
      </c>
      <c r="AV68" s="174">
        <f>COUNTIF(BASE01[Columna13],AS68)</f>
        <v/>
      </c>
      <c r="AW68" s="431">
        <f>SUM(AT68,AU68,AV68)</f>
        <v/>
      </c>
      <c r="AX68" s="175" t="n">
        <v>5</v>
      </c>
      <c r="AY68" s="174">
        <f>(COUNTIF(BASE01[Columna25],AX68)*3)</f>
        <v/>
      </c>
      <c r="AZ68" s="174">
        <f>(COUNTIF(BASE01[Columna26],AX68)*2)</f>
        <v/>
      </c>
      <c r="BA68" s="174">
        <f>COUNTIF(BASE01[Columna263],AX68)</f>
        <v/>
      </c>
      <c r="BB68" s="431">
        <f>SUM(AY68,AZ68,BA68)</f>
        <v/>
      </c>
      <c r="BC68" s="175" t="n">
        <v>3</v>
      </c>
      <c r="BD68" s="174">
        <f>(COUNTIF(BASE01[Columna272],BC68)*3)</f>
        <v/>
      </c>
      <c r="BE68" s="174">
        <f>(COUNTIF(BASE01[Columna273],BC68)*2)</f>
        <v/>
      </c>
      <c r="BF68" s="174">
        <f>COUNTIF(BASE01[Columna2732],BC68)</f>
        <v/>
      </c>
      <c r="BG68" s="431">
        <f>SUM(BD68,BE68,BF68)</f>
        <v/>
      </c>
      <c r="BH68" s="175" t="n">
        <v>2</v>
      </c>
      <c r="BI68" s="174">
        <f>(COUNTIF(BASE01[Columna276],BH68)*3)</f>
        <v/>
      </c>
      <c r="BJ68" s="174">
        <f>(COUNTIF(BASE01[Columna277],BH68)*2)</f>
        <v/>
      </c>
      <c r="BK68" s="174">
        <f>COUNTIF(BASE01[Columna2772],BH68)</f>
        <v/>
      </c>
      <c r="BL68" s="431">
        <f>SUM(BI68,BJ68,BK68)</f>
        <v/>
      </c>
      <c r="BM68" s="175" t="n">
        <v>12</v>
      </c>
      <c r="BN68" s="174">
        <f>(COUNTIF(BASE01[Columna280],BM68)*3)</f>
        <v/>
      </c>
      <c r="BO68" s="174">
        <f>(COUNTIF(BASE01[Columna281],BM68)*2)</f>
        <v/>
      </c>
      <c r="BP68" s="174">
        <f>COUNTIF(BASE01[Columna2812],BM68)</f>
        <v/>
      </c>
      <c r="BQ68" s="111">
        <f>SUM(BN68,BO68,BP68)</f>
        <v/>
      </c>
      <c r="BR68" s="173" t="n">
        <v>12</v>
      </c>
      <c r="BS68" s="174">
        <f>(COUNTIF(BASE01[Columna2802],BR68)*3)</f>
        <v/>
      </c>
      <c r="BT68" s="174">
        <f>(COUNTIF(BASE01[Columna2813],BR68)*2)</f>
        <v/>
      </c>
      <c r="BU68" s="174">
        <f>COUNTIF(BASE01[Columna28124],BR68)</f>
        <v/>
      </c>
      <c r="BV68" s="111">
        <f>SUM(BS68,BT68,BU68)</f>
        <v/>
      </c>
      <c r="BW68" s="175" t="n">
        <v>12</v>
      </c>
      <c r="BX68" s="174">
        <f>(COUNTIF(BASE01[Columna2803],BW68)*3)</f>
        <v/>
      </c>
      <c r="BY68" s="174">
        <f>(COUNTIF(BASE01[Columna2814],BW68)*2)</f>
        <v/>
      </c>
      <c r="BZ68" s="174">
        <f>COUNTIF(BASE01[Columna28125],BW68)</f>
        <v/>
      </c>
      <c r="CA68" s="111">
        <f>SUM(BX68,BY68,BZ68)</f>
        <v/>
      </c>
      <c r="CB68" s="175" t="n">
        <v>12</v>
      </c>
      <c r="CC68" s="174">
        <f>(COUNTIF(BASE01[Columna2804],CB68)*3)</f>
        <v/>
      </c>
      <c r="CD68" s="174">
        <f>(COUNTIF(BASE01[Columna2815],CB68)*2)</f>
        <v/>
      </c>
      <c r="CE68" s="174">
        <f>COUNTIF(BASE01[Columna28126],CB68)</f>
        <v/>
      </c>
      <c r="CF68" s="111">
        <f>SUM(CC68,CD68,CE68)</f>
        <v/>
      </c>
      <c r="CG68" s="105" t="n"/>
      <c r="CH68" s="105" t="n"/>
      <c r="DO68" s="393">
        <f>IF(DP68="","",$DO$59)</f>
        <v/>
      </c>
      <c r="DP68" s="393" t="n"/>
      <c r="DQ68" s="393" t="n"/>
      <c r="DR68" s="393" t="n"/>
      <c r="EG68" s="393">
        <f>IF(EH68="","",$EG$59)</f>
        <v/>
      </c>
      <c r="EH68" s="393" t="n"/>
      <c r="EI68" s="393" t="n"/>
      <c r="EJ68" s="393" t="n"/>
    </row>
    <row r="69" ht="27.95" customHeight="1" s="568">
      <c r="B69" s="104" t="n"/>
      <c r="C69" s="105" t="n"/>
      <c r="D69" s="105" t="n"/>
      <c r="E69" s="109" t="n">
        <v>2</v>
      </c>
      <c r="F69" s="110">
        <f>(COUNTIF(BASE01[1],E69)*3)</f>
        <v/>
      </c>
      <c r="G69" s="174">
        <f>(COUNTIF(BASE01[2],E69)*2)</f>
        <v/>
      </c>
      <c r="H69" s="174">
        <f>COUNTIF(BASE01[22],E69)</f>
        <v/>
      </c>
      <c r="I69" s="431">
        <f>SUM(F69,G69,H69)</f>
        <v/>
      </c>
      <c r="J69" s="175" t="n">
        <v>1</v>
      </c>
      <c r="K69" s="174">
        <f>(COUNTIF(BASE01[12],J69)*3)</f>
        <v/>
      </c>
      <c r="L69" s="174">
        <f>(COUNTIF(BASE01[Columna2],J69)*2)</f>
        <v/>
      </c>
      <c r="M69" s="174">
        <f>COUNTIF(BASE01[Columna23],J69)</f>
        <v/>
      </c>
      <c r="N69" s="431">
        <f>SUM(K69,L69,M69)</f>
        <v/>
      </c>
      <c r="O69" s="175" t="n">
        <v>2</v>
      </c>
      <c r="P69" s="174">
        <f>(COUNTIF(BASE01[Columna4],O69)*3)</f>
        <v/>
      </c>
      <c r="Q69" s="174">
        <f>(COUNTIF(BASE01[Columna5],O69)*2)</f>
        <v/>
      </c>
      <c r="R69" s="174">
        <f>COUNTIF(BASE01[Columna53],O69)</f>
        <v/>
      </c>
      <c r="S69" s="431">
        <f>SUM(P69,Q69,R69)</f>
        <v/>
      </c>
      <c r="T69" s="175" t="n">
        <v>9</v>
      </c>
      <c r="U69" s="174">
        <f>(COUNTIF(BASE01[Columna7],T69)*3)</f>
        <v/>
      </c>
      <c r="V69" s="174">
        <f>(COUNTIF(BASE01[Columna8],T69)*2)</f>
        <v/>
      </c>
      <c r="W69" s="174">
        <f>COUNTIF(BASE01[Columna83],T69)</f>
        <v/>
      </c>
      <c r="X69" s="431">
        <f>SUM(U69,V69,W69)</f>
        <v/>
      </c>
      <c r="Y69" s="175" t="n">
        <v>1</v>
      </c>
      <c r="Z69" s="174">
        <f>(COUNTIF(BASE01[Columna10],Y69)*3)</f>
        <v/>
      </c>
      <c r="AA69" s="174">
        <f>(COUNTIF(BASE01[Columna11],Y69)*2)</f>
        <v/>
      </c>
      <c r="AB69" s="174">
        <f>COUNTIF(BASE01[Columna113],Y69)</f>
        <v/>
      </c>
      <c r="AC69" s="431">
        <f>SUM(Z69,AA69,AB69)</f>
        <v/>
      </c>
      <c r="AD69" s="175" t="n">
        <v>3</v>
      </c>
      <c r="AE69" s="174">
        <f>(COUNTIF(BASE01[1RA],AD69)*3)</f>
        <v/>
      </c>
      <c r="AF69" s="174">
        <f>(COUNTIF(BASE01[2DA],AD69)*2)</f>
        <v/>
      </c>
      <c r="AG69" s="174">
        <f>COUNTIF(BASE01[2DA2],AD69)</f>
        <v/>
      </c>
      <c r="AH69" s="431">
        <f>SUM(AE69,AF69,AG69)</f>
        <v/>
      </c>
      <c r="AI69" s="175" t="n">
        <v>1</v>
      </c>
      <c r="AJ69" s="174">
        <f>(COUNTIF(BASE01[Columna16],AI69)*3)</f>
        <v/>
      </c>
      <c r="AK69" s="174">
        <f>(COUNTIF(BASE01[Columna17],AI69)*2)</f>
        <v/>
      </c>
      <c r="AL69" s="174">
        <f>COUNTIF(BASE01[Columna173],AI69)</f>
        <v/>
      </c>
      <c r="AM69" s="431">
        <f>SUM(AJ69,AK69,AL69)</f>
        <v/>
      </c>
      <c r="AN69" s="175" t="n">
        <v>1</v>
      </c>
      <c r="AO69" s="174">
        <f>(COUNTIF(BASE01[123],AN69)*3)</f>
        <v/>
      </c>
      <c r="AP69" s="174">
        <f>(COUNTIF(BASE01[555],AN69)*2)</f>
        <v/>
      </c>
      <c r="AQ69" s="174">
        <f>COUNTIF(BASE01[556],AN69)</f>
        <v/>
      </c>
      <c r="AR69" s="431">
        <f>SUM(AO69,AP69,AQ69)</f>
        <v/>
      </c>
      <c r="AS69" s="175" t="n">
        <v>3</v>
      </c>
      <c r="AT69" s="174">
        <f>(COUNTIF(BASE01[AAAA],AS69)*3)</f>
        <v/>
      </c>
      <c r="AU69" s="174">
        <f>(COUNTIF(BASE01[BBBB],AS69)*2)</f>
        <v/>
      </c>
      <c r="AV69" s="174">
        <f>COUNTIF(BASE01[Columna13],AS69)</f>
        <v/>
      </c>
      <c r="AW69" s="431">
        <f>SUM(AT69,AU69,AV69)</f>
        <v/>
      </c>
      <c r="AX69" s="175" t="n">
        <v>3</v>
      </c>
      <c r="AY69" s="174">
        <f>(COUNTIF(BASE01[Columna25],AX69)*3)</f>
        <v/>
      </c>
      <c r="AZ69" s="174">
        <f>(COUNTIF(BASE01[Columna26],AX69)*2)</f>
        <v/>
      </c>
      <c r="BA69" s="174">
        <f>COUNTIF(BASE01[Columna263],AX69)</f>
        <v/>
      </c>
      <c r="BB69" s="431">
        <f>SUM(AY69,AZ69,BA69)</f>
        <v/>
      </c>
      <c r="BC69" s="175" t="n">
        <v>8</v>
      </c>
      <c r="BD69" s="174">
        <f>(COUNTIF(BASE01[Columna272],BC69)*3)</f>
        <v/>
      </c>
      <c r="BE69" s="174">
        <f>(COUNTIF(BASE01[Columna273],BC69)*2)</f>
        <v/>
      </c>
      <c r="BF69" s="174">
        <f>COUNTIF(BASE01[Columna2732],BC69)</f>
        <v/>
      </c>
      <c r="BG69" s="431">
        <f>SUM(BD69,BE69,BF69)</f>
        <v/>
      </c>
      <c r="BH69" s="175" t="n">
        <v>6</v>
      </c>
      <c r="BI69" s="174">
        <f>(COUNTIF(BASE01[Columna276],BH69)*3)</f>
        <v/>
      </c>
      <c r="BJ69" s="174">
        <f>(COUNTIF(BASE01[Columna277],BH69)*2)</f>
        <v/>
      </c>
      <c r="BK69" s="174">
        <f>COUNTIF(BASE01[Columna2772],BH69)</f>
        <v/>
      </c>
      <c r="BL69" s="431">
        <f>SUM(BI69,BJ69,BK69)</f>
        <v/>
      </c>
      <c r="BM69" s="175" t="n">
        <v>2</v>
      </c>
      <c r="BN69" s="174">
        <f>(COUNTIF(BASE01[Columna280],BM69)*3)</f>
        <v/>
      </c>
      <c r="BO69" s="174">
        <f>(COUNTIF(BASE01[Columna281],BM69)*2)</f>
        <v/>
      </c>
      <c r="BP69" s="174">
        <f>COUNTIF(BASE01[Columna2812],BM69)</f>
        <v/>
      </c>
      <c r="BQ69" s="111">
        <f>SUM(BN69,BO69,BP69)</f>
        <v/>
      </c>
      <c r="BR69" s="173" t="n">
        <v>2</v>
      </c>
      <c r="BS69" s="174">
        <f>(COUNTIF(BASE01[Columna2802],BR69)*3)</f>
        <v/>
      </c>
      <c r="BT69" s="174">
        <f>(COUNTIF(BASE01[Columna2813],BR69)*2)</f>
        <v/>
      </c>
      <c r="BU69" s="174">
        <f>COUNTIF(BASE01[Columna28124],BR69)</f>
        <v/>
      </c>
      <c r="BV69" s="111">
        <f>SUM(BS69,BT69,BU69)</f>
        <v/>
      </c>
      <c r="BW69" s="175" t="n">
        <v>2</v>
      </c>
      <c r="BX69" s="174">
        <f>(COUNTIF(BASE01[Columna2803],BW69)*3)</f>
        <v/>
      </c>
      <c r="BY69" s="174">
        <f>(COUNTIF(BASE01[Columna2814],BW69)*2)</f>
        <v/>
      </c>
      <c r="BZ69" s="174">
        <f>COUNTIF(BASE01[Columna28125],BW69)</f>
        <v/>
      </c>
      <c r="CA69" s="111">
        <f>SUM(BX69,BY69,BZ69)</f>
        <v/>
      </c>
      <c r="CB69" s="175" t="n">
        <v>2</v>
      </c>
      <c r="CC69" s="174">
        <f>(COUNTIF(BASE01[Columna2804],CB69)*3)</f>
        <v/>
      </c>
      <c r="CD69" s="174">
        <f>(COUNTIF(BASE01[Columna2815],CB69)*2)</f>
        <v/>
      </c>
      <c r="CE69" s="174">
        <f>COUNTIF(BASE01[Columna28126],CB69)</f>
        <v/>
      </c>
      <c r="CF69" s="111">
        <f>SUM(CC69,CD69,CE69)</f>
        <v/>
      </c>
      <c r="CG69" s="105" t="n"/>
      <c r="CH69" s="105" t="n"/>
      <c r="DO69" s="393">
        <f>IF(DP69="","",$DO$59)</f>
        <v/>
      </c>
      <c r="DP69" s="393" t="n"/>
      <c r="DQ69" s="393" t="n"/>
      <c r="DR69" s="393" t="n"/>
      <c r="EG69" s="393">
        <f>IF(EH69="","",$EG$59)</f>
        <v/>
      </c>
      <c r="EH69" s="393" t="n"/>
      <c r="EI69" s="393" t="n"/>
      <c r="EJ69" s="393" t="n"/>
    </row>
    <row r="70" ht="27.95" customHeight="1" s="568">
      <c r="B70" s="104" t="n"/>
      <c r="C70" s="105" t="n"/>
      <c r="D70" s="105" t="n"/>
      <c r="E70" s="109" t="n">
        <v>4</v>
      </c>
      <c r="F70" s="110">
        <f>(COUNTIF(BASE01[1],E70)*3)</f>
        <v/>
      </c>
      <c r="G70" s="174">
        <f>(COUNTIF(BASE01[2],E70)*2)</f>
        <v/>
      </c>
      <c r="H70" s="174">
        <f>COUNTIF(BASE01[22],E70)</f>
        <v/>
      </c>
      <c r="I70" s="431">
        <f>SUM(F70,G70,H70)</f>
        <v/>
      </c>
      <c r="J70" s="175" t="n">
        <v>7</v>
      </c>
      <c r="K70" s="174">
        <f>(COUNTIF(BASE01[12],J70)*3)</f>
        <v/>
      </c>
      <c r="L70" s="174">
        <f>(COUNTIF(BASE01[Columna2],J70)*2)</f>
        <v/>
      </c>
      <c r="M70" s="174">
        <f>COUNTIF(BASE01[Columna23],J70)</f>
        <v/>
      </c>
      <c r="N70" s="431">
        <f>SUM(K70,L70,M70)</f>
        <v/>
      </c>
      <c r="O70" s="175" t="n">
        <v>5</v>
      </c>
      <c r="P70" s="174">
        <f>(COUNTIF(BASE01[Columna4],O70)*3)</f>
        <v/>
      </c>
      <c r="Q70" s="174">
        <f>(COUNTIF(BASE01[Columna5],O70)*2)</f>
        <v/>
      </c>
      <c r="R70" s="174">
        <f>COUNTIF(BASE01[Columna53],O70)</f>
        <v/>
      </c>
      <c r="S70" s="431">
        <f>SUM(P70,Q70,R70)</f>
        <v/>
      </c>
      <c r="T70" s="175" t="n">
        <v>1</v>
      </c>
      <c r="U70" s="174">
        <f>(COUNTIF(BASE01[Columna7],T70)*3)</f>
        <v/>
      </c>
      <c r="V70" s="174">
        <f>(COUNTIF(BASE01[Columna8],T70)*2)</f>
        <v/>
      </c>
      <c r="W70" s="174">
        <f>COUNTIF(BASE01[Columna83],T70)</f>
        <v/>
      </c>
      <c r="X70" s="431">
        <f>SUM(U70,V70,W70)</f>
        <v/>
      </c>
      <c r="Y70" s="175" t="n">
        <v>8</v>
      </c>
      <c r="Z70" s="174">
        <f>(COUNTIF(BASE01[Columna10],Y70)*3)</f>
        <v/>
      </c>
      <c r="AA70" s="174">
        <f>(COUNTIF(BASE01[Columna11],Y70)*2)</f>
        <v/>
      </c>
      <c r="AB70" s="174">
        <f>COUNTIF(BASE01[Columna113],Y70)</f>
        <v/>
      </c>
      <c r="AC70" s="431">
        <f>SUM(Z70,AA70,AB70)</f>
        <v/>
      </c>
      <c r="AD70" s="175" t="n">
        <v>9</v>
      </c>
      <c r="AE70" s="174">
        <f>(COUNTIF(BASE01[1RA],AD70)*3)</f>
        <v/>
      </c>
      <c r="AF70" s="174">
        <f>(COUNTIF(BASE01[2DA],AD70)*2)</f>
        <v/>
      </c>
      <c r="AG70" s="174">
        <f>COUNTIF(BASE01[2DA2],AD70)</f>
        <v/>
      </c>
      <c r="AH70" s="431">
        <f>SUM(AE70,AF70,AG70)</f>
        <v/>
      </c>
      <c r="AI70" s="175" t="n">
        <v>2</v>
      </c>
      <c r="AJ70" s="174">
        <f>(COUNTIF(BASE01[Columna16],AI70)*3)</f>
        <v/>
      </c>
      <c r="AK70" s="174">
        <f>(COUNTIF(BASE01[Columna17],AI70)*2)</f>
        <v/>
      </c>
      <c r="AL70" s="174">
        <f>COUNTIF(BASE01[Columna173],AI70)</f>
        <v/>
      </c>
      <c r="AM70" s="431">
        <f>SUM(AJ70,AK70,AL70)</f>
        <v/>
      </c>
      <c r="AN70" s="175" t="n">
        <v>5</v>
      </c>
      <c r="AO70" s="174">
        <f>(COUNTIF(BASE01[123],AN70)*3)</f>
        <v/>
      </c>
      <c r="AP70" s="174">
        <f>(COUNTIF(BASE01[555],AN70)*2)</f>
        <v/>
      </c>
      <c r="AQ70" s="174">
        <f>COUNTIF(BASE01[556],AN70)</f>
        <v/>
      </c>
      <c r="AR70" s="431">
        <f>SUM(AO70,AP70,AQ70)</f>
        <v/>
      </c>
      <c r="AS70" s="175" t="n">
        <v>6</v>
      </c>
      <c r="AT70" s="174">
        <f>(COUNTIF(BASE01[AAAA],AS70)*3)</f>
        <v/>
      </c>
      <c r="AU70" s="174">
        <f>(COUNTIF(BASE01[BBBB],AS70)*2)</f>
        <v/>
      </c>
      <c r="AV70" s="174">
        <f>COUNTIF(BASE01[Columna13],AS70)</f>
        <v/>
      </c>
      <c r="AW70" s="431">
        <f>SUM(AT70,AU70,AV70)</f>
        <v/>
      </c>
      <c r="AX70" s="175" t="n">
        <v>8</v>
      </c>
      <c r="AY70" s="174">
        <f>(COUNTIF(BASE01[Columna25],AX70)*3)</f>
        <v/>
      </c>
      <c r="AZ70" s="174">
        <f>(COUNTIF(BASE01[Columna26],AX70)*2)</f>
        <v/>
      </c>
      <c r="BA70" s="174">
        <f>COUNTIF(BASE01[Columna263],AX70)</f>
        <v/>
      </c>
      <c r="BB70" s="431">
        <f>SUM(AY70,AZ70,BA70)</f>
        <v/>
      </c>
      <c r="BC70" s="175" t="n">
        <v>5</v>
      </c>
      <c r="BD70" s="174">
        <f>(COUNTIF(BASE01[Columna272],BC70)*3)</f>
        <v/>
      </c>
      <c r="BE70" s="174">
        <f>(COUNTIF(BASE01[Columna273],BC70)*2)</f>
        <v/>
      </c>
      <c r="BF70" s="174">
        <f>COUNTIF(BASE01[Columna2732],BC70)</f>
        <v/>
      </c>
      <c r="BG70" s="431">
        <f>SUM(BD70,BE70,BF70)</f>
        <v/>
      </c>
      <c r="BH70" s="175" t="n">
        <v>3</v>
      </c>
      <c r="BI70" s="174">
        <f>(COUNTIF(BASE01[Columna276],BH70)*3)</f>
        <v/>
      </c>
      <c r="BJ70" s="174">
        <f>(COUNTIF(BASE01[Columna277],BH70)*2)</f>
        <v/>
      </c>
      <c r="BK70" s="174">
        <f>COUNTIF(BASE01[Columna2772],BH70)</f>
        <v/>
      </c>
      <c r="BL70" s="431">
        <f>SUM(BI70,BJ70,BK70)</f>
        <v/>
      </c>
      <c r="BM70" s="175" t="n">
        <v>9</v>
      </c>
      <c r="BN70" s="174">
        <f>(COUNTIF(BASE01[Columna280],BM70)*3)</f>
        <v/>
      </c>
      <c r="BO70" s="174">
        <f>(COUNTIF(BASE01[Columna281],BM70)*2)</f>
        <v/>
      </c>
      <c r="BP70" s="174">
        <f>COUNTIF(BASE01[Columna2812],BM70)</f>
        <v/>
      </c>
      <c r="BQ70" s="111">
        <f>SUM(BN70,BO70,BP70)</f>
        <v/>
      </c>
      <c r="BR70" s="173" t="n">
        <v>9</v>
      </c>
      <c r="BS70" s="174">
        <f>(COUNTIF(BASE01[Columna2802],BR70)*3)</f>
        <v/>
      </c>
      <c r="BT70" s="174">
        <f>(COUNTIF(BASE01[Columna2813],BR70)*2)</f>
        <v/>
      </c>
      <c r="BU70" s="174">
        <f>COUNTIF(BASE01[Columna28124],BR70)</f>
        <v/>
      </c>
      <c r="BV70" s="111">
        <f>SUM(BS70,BT70,BU70)</f>
        <v/>
      </c>
      <c r="BW70" s="175" t="n">
        <v>9</v>
      </c>
      <c r="BX70" s="174">
        <f>(COUNTIF(BASE01[Columna2803],BW70)*3)</f>
        <v/>
      </c>
      <c r="BY70" s="174">
        <f>(COUNTIF(BASE01[Columna2814],BW70)*2)</f>
        <v/>
      </c>
      <c r="BZ70" s="174">
        <f>COUNTIF(BASE01[Columna28125],BW70)</f>
        <v/>
      </c>
      <c r="CA70" s="111">
        <f>SUM(BX70,BY70,BZ70)</f>
        <v/>
      </c>
      <c r="CB70" s="175" t="n">
        <v>9</v>
      </c>
      <c r="CC70" s="174">
        <f>(COUNTIF(BASE01[Columna2804],CB70)*3)</f>
        <v/>
      </c>
      <c r="CD70" s="174">
        <f>(COUNTIF(BASE01[Columna2815],CB70)*2)</f>
        <v/>
      </c>
      <c r="CE70" s="174">
        <f>COUNTIF(BASE01[Columna28126],CB70)</f>
        <v/>
      </c>
      <c r="CF70" s="111">
        <f>SUM(CC70,CD70,CE70)</f>
        <v/>
      </c>
      <c r="CG70" s="105" t="n"/>
      <c r="CH70" s="105" t="n"/>
      <c r="DO70" s="393">
        <f>IF(DP70="","",$DO$59)</f>
        <v/>
      </c>
      <c r="DP70" s="393" t="n"/>
      <c r="DQ70" s="393" t="n"/>
      <c r="DR70" s="393" t="n"/>
      <c r="EG70" s="393">
        <f>IF(EH70="","",$EG$59)</f>
        <v/>
      </c>
      <c r="EH70" s="393" t="n"/>
      <c r="EI70" s="393" t="n"/>
      <c r="EJ70" s="393" t="n"/>
    </row>
    <row r="71" ht="27.95" customHeight="1" s="568">
      <c r="B71" s="104" t="n"/>
      <c r="C71" s="105" t="n"/>
      <c r="D71" s="105" t="n"/>
      <c r="E71" s="109" t="n">
        <v>5</v>
      </c>
      <c r="F71" s="110">
        <f>(COUNTIF(BASE01[1],E71)*3)</f>
        <v/>
      </c>
      <c r="G71" s="174">
        <f>(COUNTIF(BASE01[2],E71)*2)</f>
        <v/>
      </c>
      <c r="H71" s="174">
        <f>COUNTIF(BASE01[22],E71)</f>
        <v/>
      </c>
      <c r="I71" s="431">
        <f>SUM(F71,G71,H71)</f>
        <v/>
      </c>
      <c r="J71" s="175" t="n">
        <v>2</v>
      </c>
      <c r="K71" s="174">
        <f>(COUNTIF(BASE01[12],J71)*3)</f>
        <v/>
      </c>
      <c r="L71" s="174">
        <f>(COUNTIF(BASE01[Columna2],J71)*2)</f>
        <v/>
      </c>
      <c r="M71" s="174">
        <f>COUNTIF(BASE01[Columna23],J71)</f>
        <v/>
      </c>
      <c r="N71" s="431">
        <f>SUM(K71,L71,M71)</f>
        <v/>
      </c>
      <c r="O71" s="175" t="n">
        <v>1</v>
      </c>
      <c r="P71" s="174">
        <f>(COUNTIF(BASE01[Columna4],O71)*3)</f>
        <v/>
      </c>
      <c r="Q71" s="174">
        <f>(COUNTIF(BASE01[Columna5],O71)*2)</f>
        <v/>
      </c>
      <c r="R71" s="174">
        <f>COUNTIF(BASE01[Columna53],O71)</f>
        <v/>
      </c>
      <c r="S71" s="431">
        <f>SUM(P71,Q71,R71)</f>
        <v/>
      </c>
      <c r="T71" s="175" t="n">
        <v>7</v>
      </c>
      <c r="U71" s="174">
        <f>(COUNTIF(BASE01[Columna7],T71)*3)</f>
        <v/>
      </c>
      <c r="V71" s="174">
        <f>(COUNTIF(BASE01[Columna8],T71)*2)</f>
        <v/>
      </c>
      <c r="W71" s="174">
        <f>COUNTIF(BASE01[Columna83],T71)</f>
        <v/>
      </c>
      <c r="X71" s="431">
        <f>SUM(U71,V71,W71)</f>
        <v/>
      </c>
      <c r="Y71" s="175" t="n">
        <v>4</v>
      </c>
      <c r="Z71" s="174">
        <f>(COUNTIF(BASE01[Columna10],Y71)*3)</f>
        <v/>
      </c>
      <c r="AA71" s="174">
        <f>(COUNTIF(BASE01[Columna11],Y71)*2)</f>
        <v/>
      </c>
      <c r="AB71" s="174">
        <f>COUNTIF(BASE01[Columna113],Y71)</f>
        <v/>
      </c>
      <c r="AC71" s="431">
        <f>SUM(Z71,AA71,AB71)</f>
        <v/>
      </c>
      <c r="AD71" s="175" t="n">
        <v>6</v>
      </c>
      <c r="AE71" s="174">
        <f>(COUNTIF(BASE01[1RA],AD71)*3)</f>
        <v/>
      </c>
      <c r="AF71" s="174">
        <f>(COUNTIF(BASE01[2DA],AD71)*2)</f>
        <v/>
      </c>
      <c r="AG71" s="174">
        <f>COUNTIF(BASE01[2DA2],AD71)</f>
        <v/>
      </c>
      <c r="AH71" s="431">
        <f>SUM(AE71,AF71,AG71)</f>
        <v/>
      </c>
      <c r="AI71" s="175" t="n">
        <v>6</v>
      </c>
      <c r="AJ71" s="174">
        <f>(COUNTIF(BASE01[Columna16],AI71)*3)</f>
        <v/>
      </c>
      <c r="AK71" s="174">
        <f>(COUNTIF(BASE01[Columna17],AI71)*2)</f>
        <v/>
      </c>
      <c r="AL71" s="174">
        <f>COUNTIF(BASE01[Columna173],AI71)</f>
        <v/>
      </c>
      <c r="AM71" s="431">
        <f>SUM(AJ71,AK71,AL71)</f>
        <v/>
      </c>
      <c r="AN71" s="175" t="n">
        <v>6</v>
      </c>
      <c r="AO71" s="174">
        <f>(COUNTIF(BASE01[123],AN71)*3)</f>
        <v/>
      </c>
      <c r="AP71" s="174">
        <f>(COUNTIF(BASE01[555],AN71)*2)</f>
        <v/>
      </c>
      <c r="AQ71" s="174">
        <f>COUNTIF(BASE01[556],AN71)</f>
        <v/>
      </c>
      <c r="AR71" s="431">
        <f>SUM(AO71,AP71,AQ71)</f>
        <v/>
      </c>
      <c r="AS71" s="175" t="n">
        <v>5</v>
      </c>
      <c r="AT71" s="174">
        <f>(COUNTIF(BASE01[AAAA],AS71)*3)</f>
        <v/>
      </c>
      <c r="AU71" s="174">
        <f>(COUNTIF(BASE01[BBBB],AS71)*2)</f>
        <v/>
      </c>
      <c r="AV71" s="174">
        <f>COUNTIF(BASE01[Columna13],AS71)</f>
        <v/>
      </c>
      <c r="AW71" s="431">
        <f>SUM(AT71,AU71,AV71)</f>
        <v/>
      </c>
      <c r="AX71" s="175" t="n">
        <v>2</v>
      </c>
      <c r="AY71" s="174">
        <f>(COUNTIF(BASE01[Columna25],AX71)*3)</f>
        <v/>
      </c>
      <c r="AZ71" s="174">
        <f>(COUNTIF(BASE01[Columna26],AX71)*2)</f>
        <v/>
      </c>
      <c r="BA71" s="174">
        <f>COUNTIF(BASE01[Columna263],AX71)</f>
        <v/>
      </c>
      <c r="BB71" s="431">
        <f>SUM(AY71,AZ71,BA71)</f>
        <v/>
      </c>
      <c r="BC71" s="175" t="n">
        <v>7</v>
      </c>
      <c r="BD71" s="174">
        <f>(COUNTIF(BASE01[Columna272],BC71)*3)</f>
        <v/>
      </c>
      <c r="BE71" s="174">
        <f>(COUNTIF(BASE01[Columna273],BC71)*2)</f>
        <v/>
      </c>
      <c r="BF71" s="174">
        <f>COUNTIF(BASE01[Columna2732],BC71)</f>
        <v/>
      </c>
      <c r="BG71" s="431">
        <f>SUM(BD71,BE71,BF71)</f>
        <v/>
      </c>
      <c r="BH71" s="175" t="n">
        <v>8</v>
      </c>
      <c r="BI71" s="174">
        <f>(COUNTIF(BASE01[Columna276],BH71)*3)</f>
        <v/>
      </c>
      <c r="BJ71" s="174">
        <f>(COUNTIF(BASE01[Columna277],BH71)*2)</f>
        <v/>
      </c>
      <c r="BK71" s="174">
        <f>COUNTIF(BASE01[Columna2772],BH71)</f>
        <v/>
      </c>
      <c r="BL71" s="431">
        <f>SUM(BI71,BJ71,BK71)</f>
        <v/>
      </c>
      <c r="BM71" s="175" t="n">
        <v>10</v>
      </c>
      <c r="BN71" s="174">
        <f>(COUNTIF(BASE01[Columna280],BM71)*3)</f>
        <v/>
      </c>
      <c r="BO71" s="174">
        <f>(COUNTIF(BASE01[Columna281],BM71)*2)</f>
        <v/>
      </c>
      <c r="BP71" s="174">
        <f>COUNTIF(BASE01[Columna2812],BM71)</f>
        <v/>
      </c>
      <c r="BQ71" s="111">
        <f>SUM(BN71,BO71,BP71)</f>
        <v/>
      </c>
      <c r="BR71" s="173" t="n">
        <v>10</v>
      </c>
      <c r="BS71" s="174">
        <f>(COUNTIF(BASE01[Columna2802],BR71)*3)</f>
        <v/>
      </c>
      <c r="BT71" s="174">
        <f>(COUNTIF(BASE01[Columna2813],BR71)*2)</f>
        <v/>
      </c>
      <c r="BU71" s="174">
        <f>COUNTIF(BASE01[Columna28124],BR71)</f>
        <v/>
      </c>
      <c r="BV71" s="111">
        <f>SUM(BS71,BT71,BU71)</f>
        <v/>
      </c>
      <c r="BW71" s="175" t="n">
        <v>10</v>
      </c>
      <c r="BX71" s="174">
        <f>(COUNTIF(BASE01[Columna2803],BW71)*3)</f>
        <v/>
      </c>
      <c r="BY71" s="174">
        <f>(COUNTIF(BASE01[Columna2814],BW71)*2)</f>
        <v/>
      </c>
      <c r="BZ71" s="174">
        <f>COUNTIF(BASE01[Columna28125],BW71)</f>
        <v/>
      </c>
      <c r="CA71" s="111">
        <f>SUM(BX71,BY71,BZ71)</f>
        <v/>
      </c>
      <c r="CB71" s="175" t="n">
        <v>10</v>
      </c>
      <c r="CC71" s="174">
        <f>(COUNTIF(BASE01[Columna2804],CB71)*3)</f>
        <v/>
      </c>
      <c r="CD71" s="174">
        <f>(COUNTIF(BASE01[Columna2815],CB71)*2)</f>
        <v/>
      </c>
      <c r="CE71" s="174">
        <f>COUNTIF(BASE01[Columna28126],CB71)</f>
        <v/>
      </c>
      <c r="CF71" s="111">
        <f>SUM(CC71,CD71,CE71)</f>
        <v/>
      </c>
      <c r="CG71" s="105" t="n"/>
      <c r="CH71" s="105" t="n"/>
      <c r="DO71" s="393">
        <f>IF(DP71="","",$DO$59)</f>
        <v/>
      </c>
      <c r="DP71" s="393" t="n"/>
      <c r="DQ71" s="393" t="n"/>
      <c r="DR71" s="393" t="n"/>
      <c r="EG71" s="393">
        <f>IF(EH71="","",$EG$59)</f>
        <v/>
      </c>
      <c r="EH71" s="393" t="n"/>
      <c r="EI71" s="393" t="n"/>
      <c r="EJ71" s="393" t="n"/>
    </row>
    <row r="72" ht="27.95" customHeight="1" s="568">
      <c r="B72" s="104" t="n"/>
      <c r="C72" s="105" t="n"/>
      <c r="D72" s="105" t="n"/>
      <c r="E72" s="109" t="n">
        <v>7</v>
      </c>
      <c r="F72" s="110">
        <f>(COUNTIF(BASE01[1],E72)*3)</f>
        <v/>
      </c>
      <c r="G72" s="174">
        <f>(COUNTIF(BASE01[2],E72)*2)</f>
        <v/>
      </c>
      <c r="H72" s="174">
        <f>COUNTIF(BASE01[22],E72)</f>
        <v/>
      </c>
      <c r="I72" s="431">
        <f>SUM(F72,G72,H72)</f>
        <v/>
      </c>
      <c r="J72" s="175" t="n">
        <v>6</v>
      </c>
      <c r="K72" s="174">
        <f>(COUNTIF(BASE01[12],J72)*3)</f>
        <v/>
      </c>
      <c r="L72" s="174">
        <f>(COUNTIF(BASE01[Columna2],J72)*2)</f>
        <v/>
      </c>
      <c r="M72" s="174">
        <f>COUNTIF(BASE01[Columna23],J72)</f>
        <v/>
      </c>
      <c r="N72" s="431">
        <f>SUM(K72,L72,M72)</f>
        <v/>
      </c>
      <c r="O72" s="175" t="n">
        <v>7</v>
      </c>
      <c r="P72" s="174">
        <f>(COUNTIF(BASE01[Columna4],O72)*3)</f>
        <v/>
      </c>
      <c r="Q72" s="174">
        <f>(COUNTIF(BASE01[Columna5],O72)*2)</f>
        <v/>
      </c>
      <c r="R72" s="174">
        <f>COUNTIF(BASE01[Columna53],O72)</f>
        <v/>
      </c>
      <c r="S72" s="431">
        <f>SUM(P72,Q72,R72)</f>
        <v/>
      </c>
      <c r="T72" s="175" t="n">
        <v>2</v>
      </c>
      <c r="U72" s="174">
        <f>(COUNTIF(BASE01[Columna7],T72)*3)</f>
        <v/>
      </c>
      <c r="V72" s="174">
        <f>(COUNTIF(BASE01[Columna8],T72)*2)</f>
        <v/>
      </c>
      <c r="W72" s="174">
        <f>COUNTIF(BASE01[Columna83],T72)</f>
        <v/>
      </c>
      <c r="X72" s="431">
        <f>SUM(U72,V72,W72)</f>
        <v/>
      </c>
      <c r="Y72" s="175" t="n">
        <v>6</v>
      </c>
      <c r="Z72" s="174">
        <f>(COUNTIF(BASE01[Columna10],Y72)*3)</f>
        <v/>
      </c>
      <c r="AA72" s="174">
        <f>(COUNTIF(BASE01[Columna11],Y72)*2)</f>
        <v/>
      </c>
      <c r="AB72" s="174">
        <f>COUNTIF(BASE01[Columna113],Y72)</f>
        <v/>
      </c>
      <c r="AC72" s="431">
        <f>SUM(Z72,AA72,AB72)</f>
        <v/>
      </c>
      <c r="AD72" s="175" t="n">
        <v>4</v>
      </c>
      <c r="AE72" s="174">
        <f>(COUNTIF(BASE01[1RA],AD72)*3)</f>
        <v/>
      </c>
      <c r="AF72" s="174">
        <f>(COUNTIF(BASE01[2DA],AD72)*2)</f>
        <v/>
      </c>
      <c r="AG72" s="174">
        <f>COUNTIF(BASE01[2DA2],AD72)</f>
        <v/>
      </c>
      <c r="AH72" s="431">
        <f>SUM(AE72,AF72,AG72)</f>
        <v/>
      </c>
      <c r="AI72" s="175" t="n">
        <v>8</v>
      </c>
      <c r="AJ72" s="174">
        <f>(COUNTIF(BASE01[Columna16],AI72)*3)</f>
        <v/>
      </c>
      <c r="AK72" s="174">
        <f>(COUNTIF(BASE01[Columna17],AI72)*2)</f>
        <v/>
      </c>
      <c r="AL72" s="174">
        <f>COUNTIF(BASE01[Columna173],AI72)</f>
        <v/>
      </c>
      <c r="AM72" s="431">
        <f>SUM(AJ72,AK72,AL72)</f>
        <v/>
      </c>
      <c r="AN72" s="175" t="n">
        <v>7</v>
      </c>
      <c r="AO72" s="174">
        <f>(COUNTIF(BASE01[123],AN72)*3)</f>
        <v/>
      </c>
      <c r="AP72" s="174">
        <f>(COUNTIF(BASE01[555],AN72)*2)</f>
        <v/>
      </c>
      <c r="AQ72" s="174">
        <f>COUNTIF(BASE01[556],AN72)</f>
        <v/>
      </c>
      <c r="AR72" s="431">
        <f>SUM(AO72,AP72,AQ72)</f>
        <v/>
      </c>
      <c r="AS72" s="175" t="n">
        <v>4</v>
      </c>
      <c r="AT72" s="174">
        <f>(COUNTIF(BASE01[AAAA],AS72)*3)</f>
        <v/>
      </c>
      <c r="AU72" s="174">
        <f>(COUNTIF(BASE01[BBBB],AS72)*2)</f>
        <v/>
      </c>
      <c r="AV72" s="174">
        <f>COUNTIF(BASE01[Columna13],AS72)</f>
        <v/>
      </c>
      <c r="AW72" s="431">
        <f>SUM(AT72,AU72,AV72)</f>
        <v/>
      </c>
      <c r="AX72" s="175" t="n">
        <v>4</v>
      </c>
      <c r="AY72" s="174">
        <f>(COUNTIF(BASE01[Columna25],AX72)*3)</f>
        <v/>
      </c>
      <c r="AZ72" s="174">
        <f>(COUNTIF(BASE01[Columna26],AX72)*2)</f>
        <v/>
      </c>
      <c r="BA72" s="174">
        <f>COUNTIF(BASE01[Columna263],AX72)</f>
        <v/>
      </c>
      <c r="BB72" s="431">
        <f>SUM(AY72,AZ72,BA72)</f>
        <v/>
      </c>
      <c r="BC72" s="175" t="n">
        <v>6</v>
      </c>
      <c r="BD72" s="174">
        <f>(COUNTIF(BASE01[Columna272],BC72)*3)</f>
        <v/>
      </c>
      <c r="BE72" s="174">
        <f>(COUNTIF(BASE01[Columna273],BC72)*2)</f>
        <v/>
      </c>
      <c r="BF72" s="174">
        <f>COUNTIF(BASE01[Columna2732],BC72)</f>
        <v/>
      </c>
      <c r="BG72" s="431">
        <f>SUM(BD72,BE72,BF72)</f>
        <v/>
      </c>
      <c r="BH72" s="175" t="n">
        <v>4</v>
      </c>
      <c r="BI72" s="174">
        <f>(COUNTIF(BASE01[Columna276],BH72)*3)</f>
        <v/>
      </c>
      <c r="BJ72" s="174">
        <f>(COUNTIF(BASE01[Columna277],BH72)*2)</f>
        <v/>
      </c>
      <c r="BK72" s="174">
        <f>COUNTIF(BASE01[Columna2772],BH72)</f>
        <v/>
      </c>
      <c r="BL72" s="431">
        <f>SUM(BI72,BJ72,BK72)</f>
        <v/>
      </c>
      <c r="BM72" s="175" t="n">
        <v>5</v>
      </c>
      <c r="BN72" s="174">
        <f>(COUNTIF(BASE01[Columna280],BM72)*3)</f>
        <v/>
      </c>
      <c r="BO72" s="174">
        <f>(COUNTIF(BASE01[Columna281],BM72)*2)</f>
        <v/>
      </c>
      <c r="BP72" s="174">
        <f>COUNTIF(BASE01[Columna2812],BM72)</f>
        <v/>
      </c>
      <c r="BQ72" s="111">
        <f>SUM(BN72,BO72,BP72)</f>
        <v/>
      </c>
      <c r="BR72" s="173" t="n">
        <v>5</v>
      </c>
      <c r="BS72" s="174">
        <f>(COUNTIF(BASE01[Columna2802],BR72)*3)</f>
        <v/>
      </c>
      <c r="BT72" s="174">
        <f>(COUNTIF(BASE01[Columna2813],BR72)*2)</f>
        <v/>
      </c>
      <c r="BU72" s="174">
        <f>COUNTIF(BASE01[Columna28124],BR72)</f>
        <v/>
      </c>
      <c r="BV72" s="111">
        <f>SUM(BS72,BT72,BU72)</f>
        <v/>
      </c>
      <c r="BW72" s="175" t="n">
        <v>5</v>
      </c>
      <c r="BX72" s="174">
        <f>(COUNTIF(BASE01[Columna2803],BW72)*3)</f>
        <v/>
      </c>
      <c r="BY72" s="174">
        <f>(COUNTIF(BASE01[Columna2814],BW72)*2)</f>
        <v/>
      </c>
      <c r="BZ72" s="174">
        <f>COUNTIF(BASE01[Columna28125],BW72)</f>
        <v/>
      </c>
      <c r="CA72" s="111">
        <f>SUM(BX72,BY72,BZ72)</f>
        <v/>
      </c>
      <c r="CB72" s="175" t="n">
        <v>5</v>
      </c>
      <c r="CC72" s="174">
        <f>(COUNTIF(BASE01[Columna2804],CB72)*3)</f>
        <v/>
      </c>
      <c r="CD72" s="174">
        <f>(COUNTIF(BASE01[Columna2815],CB72)*2)</f>
        <v/>
      </c>
      <c r="CE72" s="174">
        <f>COUNTIF(BASE01[Columna28126],CB72)</f>
        <v/>
      </c>
      <c r="CF72" s="111">
        <f>SUM(CC72,CD72,CE72)</f>
        <v/>
      </c>
      <c r="CG72" s="105" t="n"/>
      <c r="CH72" s="105" t="n"/>
      <c r="DO72" s="393">
        <f>IF(DP72="","",$DO$59)</f>
        <v/>
      </c>
      <c r="DP72" s="393" t="n"/>
      <c r="DQ72" s="393" t="n"/>
      <c r="DR72" s="393" t="n"/>
      <c r="EG72" s="393">
        <f>IF(EH72="","",$EG$59)</f>
        <v/>
      </c>
      <c r="EH72" s="393" t="n"/>
      <c r="EI72" s="393" t="n"/>
      <c r="EJ72" s="393" t="n"/>
    </row>
    <row r="73" ht="27.95" customHeight="1" s="568">
      <c r="B73" s="104" t="n"/>
      <c r="C73" s="105" t="n"/>
      <c r="D73" s="105" t="n"/>
      <c r="E73" s="109" t="n">
        <v>3</v>
      </c>
      <c r="F73" s="110">
        <f>(COUNTIF(BASE01[1],E73)*3)</f>
        <v/>
      </c>
      <c r="G73" s="174">
        <f>(COUNTIF(BASE01[2],E73)*2)</f>
        <v/>
      </c>
      <c r="H73" s="174">
        <f>COUNTIF(BASE01[22],E73)</f>
        <v/>
      </c>
      <c r="I73" s="431">
        <f>SUM(F73,G73,H73)</f>
        <v/>
      </c>
      <c r="J73" s="175" t="n">
        <v>4</v>
      </c>
      <c r="K73" s="174">
        <f>(COUNTIF(BASE01[12],J73)*3)</f>
        <v/>
      </c>
      <c r="L73" s="174">
        <f>(COUNTIF(BASE01[Columna2],J73)*2)</f>
        <v/>
      </c>
      <c r="M73" s="174">
        <f>COUNTIF(BASE01[Columna23],J73)</f>
        <v/>
      </c>
      <c r="N73" s="431">
        <f>SUM(K73,L73,M73)</f>
        <v/>
      </c>
      <c r="O73" s="175" t="n">
        <v>4</v>
      </c>
      <c r="P73" s="174">
        <f>(COUNTIF(BASE01[Columna4],O73)*3)</f>
        <v/>
      </c>
      <c r="Q73" s="174">
        <f>(COUNTIF(BASE01[Columna5],O73)*2)</f>
        <v/>
      </c>
      <c r="R73" s="174">
        <f>COUNTIF(BASE01[Columna53],O73)</f>
        <v/>
      </c>
      <c r="S73" s="431">
        <f>SUM(P73,Q73,R73)</f>
        <v/>
      </c>
      <c r="T73" s="175" t="n">
        <v>5</v>
      </c>
      <c r="U73" s="174">
        <f>(COUNTIF(BASE01[Columna7],T73)*3)</f>
        <v/>
      </c>
      <c r="V73" s="174">
        <f>(COUNTIF(BASE01[Columna8],T73)*2)</f>
        <v/>
      </c>
      <c r="W73" s="174">
        <f>COUNTIF(BASE01[Columna83],T73)</f>
        <v/>
      </c>
      <c r="X73" s="431">
        <f>SUM(U73,V73,W73)</f>
        <v/>
      </c>
      <c r="Y73" s="175" t="n">
        <v>9</v>
      </c>
      <c r="Z73" s="174">
        <f>(COUNTIF(BASE01[Columna10],Y73)*3)</f>
        <v/>
      </c>
      <c r="AA73" s="174">
        <f>(COUNTIF(BASE01[Columna11],Y73)*2)</f>
        <v/>
      </c>
      <c r="AB73" s="174">
        <f>COUNTIF(BASE01[Columna113],Y73)</f>
        <v/>
      </c>
      <c r="AC73" s="431">
        <f>SUM(Z73,AA73,AB73)</f>
        <v/>
      </c>
      <c r="AD73" s="175" t="n">
        <v>8</v>
      </c>
      <c r="AE73" s="174">
        <f>(COUNTIF(BASE01[1RA],AD73)*3)</f>
        <v/>
      </c>
      <c r="AF73" s="174">
        <f>(COUNTIF(BASE01[2DA],AD73)*2)</f>
        <v/>
      </c>
      <c r="AG73" s="174">
        <f>COUNTIF(BASE01[2DA2],AD73)</f>
        <v/>
      </c>
      <c r="AH73" s="431">
        <f>SUM(AE73,AF73,AG73)</f>
        <v/>
      </c>
      <c r="AI73" s="175" t="n">
        <v>5</v>
      </c>
      <c r="AJ73" s="174">
        <f>(COUNTIF(BASE01[Columna16],AI73)*3)</f>
        <v/>
      </c>
      <c r="AK73" s="174">
        <f>(COUNTIF(BASE01[Columna17],AI73)*2)</f>
        <v/>
      </c>
      <c r="AL73" s="174">
        <f>COUNTIF(BASE01[Columna173],AI73)</f>
        <v/>
      </c>
      <c r="AM73" s="431">
        <f>SUM(AJ73,AK73,AL73)</f>
        <v/>
      </c>
      <c r="AN73" s="175" t="n">
        <v>12</v>
      </c>
      <c r="AO73" s="174">
        <f>(COUNTIF(BASE01[123],AN73)*3)</f>
        <v/>
      </c>
      <c r="AP73" s="174">
        <f>(COUNTIF(BASE01[555],AN73)*2)</f>
        <v/>
      </c>
      <c r="AQ73" s="174">
        <f>COUNTIF(BASE01[556],AN73)</f>
        <v/>
      </c>
      <c r="AR73" s="431">
        <f>SUM(AO73,AP73,AQ73)</f>
        <v/>
      </c>
      <c r="AS73" s="175" t="n">
        <v>8</v>
      </c>
      <c r="AT73" s="174">
        <f>(COUNTIF(BASE01[AAAA],AS73)*3)</f>
        <v/>
      </c>
      <c r="AU73" s="174">
        <f>(COUNTIF(BASE01[BBBB],AS73)*2)</f>
        <v/>
      </c>
      <c r="AV73" s="174">
        <f>COUNTIF(BASE01[Columna13],AS73)</f>
        <v/>
      </c>
      <c r="AW73" s="431">
        <f>SUM(AT73,AU73,AV73)</f>
        <v/>
      </c>
      <c r="AX73" s="175" t="n">
        <v>7</v>
      </c>
      <c r="AY73" s="174">
        <f>(COUNTIF(BASE01[Columna25],AX73)*3)</f>
        <v/>
      </c>
      <c r="AZ73" s="174">
        <f>(COUNTIF(BASE01[Columna26],AX73)*2)</f>
        <v/>
      </c>
      <c r="BA73" s="174">
        <f>COUNTIF(BASE01[Columna263],AX73)</f>
        <v/>
      </c>
      <c r="BB73" s="431">
        <f>SUM(AY73,AZ73,BA73)</f>
        <v/>
      </c>
      <c r="BC73" s="175" t="n">
        <v>1</v>
      </c>
      <c r="BD73" s="174">
        <f>(COUNTIF(BASE01[Columna272],BC73)*3)</f>
        <v/>
      </c>
      <c r="BE73" s="174">
        <f>(COUNTIF(BASE01[Columna273],BC73)*2)</f>
        <v/>
      </c>
      <c r="BF73" s="174">
        <f>COUNTIF(BASE01[Columna2732],BC73)</f>
        <v/>
      </c>
      <c r="BG73" s="431">
        <f>SUM(BD73,BE73,BF73)</f>
        <v/>
      </c>
      <c r="BH73" s="175" t="n">
        <v>7</v>
      </c>
      <c r="BI73" s="174">
        <f>(COUNTIF(BASE01[Columna276],BH73)*3)</f>
        <v/>
      </c>
      <c r="BJ73" s="174">
        <f>(COUNTIF(BASE01[Columna277],BH73)*2)</f>
        <v/>
      </c>
      <c r="BK73" s="174">
        <f>COUNTIF(BASE01[Columna2772],BH73)</f>
        <v/>
      </c>
      <c r="BL73" s="431">
        <f>SUM(BI73,BJ73,BK73)</f>
        <v/>
      </c>
      <c r="BM73" s="175" t="n">
        <v>13</v>
      </c>
      <c r="BN73" s="174">
        <f>(COUNTIF(BASE01[Columna280],BM73)*3)</f>
        <v/>
      </c>
      <c r="BO73" s="174">
        <f>(COUNTIF(BASE01[Columna281],BM73)*2)</f>
        <v/>
      </c>
      <c r="BP73" s="174">
        <f>COUNTIF(BASE01[Columna2812],BM73)</f>
        <v/>
      </c>
      <c r="BQ73" s="111">
        <f>SUM(BN73,BO73,BP73)</f>
        <v/>
      </c>
      <c r="BR73" s="173" t="n">
        <v>13</v>
      </c>
      <c r="BS73" s="174">
        <f>(COUNTIF(BASE01[Columna2802],BR73)*3)</f>
        <v/>
      </c>
      <c r="BT73" s="174">
        <f>(COUNTIF(BASE01[Columna2813],BR73)*2)</f>
        <v/>
      </c>
      <c r="BU73" s="174">
        <f>COUNTIF(BASE01[Columna28124],BR73)</f>
        <v/>
      </c>
      <c r="BV73" s="111">
        <f>SUM(BS73,BT73,BU73)</f>
        <v/>
      </c>
      <c r="BW73" s="175" t="n">
        <v>13</v>
      </c>
      <c r="BX73" s="174">
        <f>(COUNTIF(BASE01[Columna2803],BW73)*3)</f>
        <v/>
      </c>
      <c r="BY73" s="174">
        <f>(COUNTIF(BASE01[Columna2814],BW73)*2)</f>
        <v/>
      </c>
      <c r="BZ73" s="174">
        <f>COUNTIF(BASE01[Columna28125],BW73)</f>
        <v/>
      </c>
      <c r="CA73" s="111">
        <f>SUM(BX73,BY73,BZ73)</f>
        <v/>
      </c>
      <c r="CB73" s="175" t="n">
        <v>13</v>
      </c>
      <c r="CC73" s="174">
        <f>(COUNTIF(BASE01[Columna2804],CB73)*3)</f>
        <v/>
      </c>
      <c r="CD73" s="174">
        <f>(COUNTIF(BASE01[Columna2815],CB73)*2)</f>
        <v/>
      </c>
      <c r="CE73" s="174">
        <f>COUNTIF(BASE01[Columna28126],CB73)</f>
        <v/>
      </c>
      <c r="CF73" s="111">
        <f>SUM(CC73,CD73,CE73)</f>
        <v/>
      </c>
      <c r="CG73" s="105" t="n"/>
      <c r="CH73" s="105" t="n"/>
      <c r="DO73" s="393">
        <f>IF(DP73="","",$DO$59)</f>
        <v/>
      </c>
      <c r="DP73" s="393" t="n"/>
      <c r="DQ73" s="393" t="n"/>
      <c r="DR73" s="393" t="n"/>
      <c r="EG73" s="393">
        <f>IF(EH73="","",$EG$59)</f>
        <v/>
      </c>
      <c r="EH73" s="393" t="n"/>
      <c r="EI73" s="393" t="n"/>
      <c r="EJ73" s="393" t="n"/>
    </row>
    <row r="74" ht="27.95" customHeight="1" s="568">
      <c r="B74" s="104" t="n"/>
      <c r="C74" s="105" t="n"/>
      <c r="D74" s="105" t="n"/>
      <c r="E74" s="109" t="n">
        <v>9</v>
      </c>
      <c r="F74" s="110">
        <f>(COUNTIF(BASE01[1],E74)*3)</f>
        <v/>
      </c>
      <c r="G74" s="174">
        <f>(COUNTIF(BASE01[2],E74)*2)</f>
        <v/>
      </c>
      <c r="H74" s="174">
        <f>COUNTIF(BASE01[22],E74)</f>
        <v/>
      </c>
      <c r="I74" s="431">
        <f>SUM(F74,G74,H74)</f>
        <v/>
      </c>
      <c r="J74" s="175" t="n">
        <v>9</v>
      </c>
      <c r="K74" s="174">
        <f>(COUNTIF(BASE01[12],J74)*3)</f>
        <v/>
      </c>
      <c r="L74" s="174">
        <f>(COUNTIF(BASE01[Columna2],J74)*2)</f>
        <v/>
      </c>
      <c r="M74" s="174">
        <f>COUNTIF(BASE01[Columna23],J74)</f>
        <v/>
      </c>
      <c r="N74" s="431">
        <f>SUM(K74,L74,M74)</f>
        <v/>
      </c>
      <c r="O74" s="175" t="n">
        <v>9</v>
      </c>
      <c r="P74" s="174">
        <f>(COUNTIF(BASE01[Columna4],O74)*3)</f>
        <v/>
      </c>
      <c r="Q74" s="174">
        <f>(COUNTIF(BASE01[Columna5],O74)*2)</f>
        <v/>
      </c>
      <c r="R74" s="174">
        <f>COUNTIF(BASE01[Columna53],O74)</f>
        <v/>
      </c>
      <c r="S74" s="431">
        <f>SUM(P74,Q74,R74)</f>
        <v/>
      </c>
      <c r="T74" s="175" t="n">
        <v>3</v>
      </c>
      <c r="U74" s="174">
        <f>(COUNTIF(BASE01[Columna7],T74)*3)</f>
        <v/>
      </c>
      <c r="V74" s="174">
        <f>(COUNTIF(BASE01[Columna8],T74)*2)</f>
        <v/>
      </c>
      <c r="W74" s="174">
        <f>COUNTIF(BASE01[Columna83],T74)</f>
        <v/>
      </c>
      <c r="X74" s="431">
        <f>SUM(U74,V74,W74)</f>
        <v/>
      </c>
      <c r="Y74" s="175" t="n">
        <v>7</v>
      </c>
      <c r="Z74" s="174">
        <f>(COUNTIF(BASE01[Columna10],Y74)*3)</f>
        <v/>
      </c>
      <c r="AA74" s="174">
        <f>(COUNTIF(BASE01[Columna11],Y74)*2)</f>
        <v/>
      </c>
      <c r="AB74" s="174">
        <f>COUNTIF(BASE01[Columna113],Y74)</f>
        <v/>
      </c>
      <c r="AC74" s="431">
        <f>SUM(Z74,AA74,AB74)</f>
        <v/>
      </c>
      <c r="AD74" s="175" t="n">
        <v>1</v>
      </c>
      <c r="AE74" s="174">
        <f>(COUNTIF(BASE01[1RA],AD74)*3)</f>
        <v/>
      </c>
      <c r="AF74" s="174">
        <f>(COUNTIF(BASE01[2DA],AD74)*2)</f>
        <v/>
      </c>
      <c r="AG74" s="174">
        <f>COUNTIF(BASE01[2DA2],AD74)</f>
        <v/>
      </c>
      <c r="AH74" s="431">
        <f>SUM(AE74,AF74,AG74)</f>
        <v/>
      </c>
      <c r="AI74" s="175" t="n">
        <v>9</v>
      </c>
      <c r="AJ74" s="174">
        <f>(COUNTIF(BASE01[Columna16],AI74)*3)</f>
        <v/>
      </c>
      <c r="AK74" s="174">
        <f>(COUNTIF(BASE01[Columna17],AI74)*2)</f>
        <v/>
      </c>
      <c r="AL74" s="174">
        <f>COUNTIF(BASE01[Columna173],AI74)</f>
        <v/>
      </c>
      <c r="AM74" s="431">
        <f>SUM(AJ74,AK74,AL74)</f>
        <v/>
      </c>
      <c r="AN74" s="175" t="n">
        <v>10</v>
      </c>
      <c r="AO74" s="174">
        <f>(COUNTIF(BASE01[123],AN74)*3)</f>
        <v/>
      </c>
      <c r="AP74" s="174">
        <f>(COUNTIF(BASE01[555],AN74)*2)</f>
        <v/>
      </c>
      <c r="AQ74" s="174">
        <f>COUNTIF(BASE01[556],AN74)</f>
        <v/>
      </c>
      <c r="AR74" s="431">
        <f>SUM(AO74,AP74,AQ74)</f>
        <v/>
      </c>
      <c r="AS74" s="175" t="n">
        <v>9</v>
      </c>
      <c r="AT74" s="174">
        <f>(COUNTIF(BASE01[AAAA],AS74)*3)</f>
        <v/>
      </c>
      <c r="AU74" s="174">
        <f>(COUNTIF(BASE01[BBBB],AS74)*2)</f>
        <v/>
      </c>
      <c r="AV74" s="174">
        <f>COUNTIF(BASE01[Columna13],AS74)</f>
        <v/>
      </c>
      <c r="AW74" s="431">
        <f>SUM(AT74,AU74,AV74)</f>
        <v/>
      </c>
      <c r="AX74" s="175" t="n">
        <v>6</v>
      </c>
      <c r="AY74" s="174">
        <f>(COUNTIF(BASE01[Columna25],AX74)*3)</f>
        <v/>
      </c>
      <c r="AZ74" s="174">
        <f>(COUNTIF(BASE01[Columna26],AX74)*2)</f>
        <v/>
      </c>
      <c r="BA74" s="174">
        <f>COUNTIF(BASE01[Columna263],AX74)</f>
        <v/>
      </c>
      <c r="BB74" s="431">
        <f>SUM(AY74,AZ74,BA74)</f>
        <v/>
      </c>
      <c r="BC74" s="175" t="n">
        <v>11</v>
      </c>
      <c r="BD74" s="174">
        <f>(COUNTIF(BASE01[Columna272],BC74)*3)</f>
        <v/>
      </c>
      <c r="BE74" s="174">
        <f>(COUNTIF(BASE01[Columna273],BC74)*2)</f>
        <v/>
      </c>
      <c r="BF74" s="174">
        <f>COUNTIF(BASE01[Columna2732],BC74)</f>
        <v/>
      </c>
      <c r="BG74" s="431">
        <f>SUM(BD74,BE74,BF74)</f>
        <v/>
      </c>
      <c r="BH74" s="175" t="n">
        <v>10</v>
      </c>
      <c r="BI74" s="174">
        <f>(COUNTIF(BASE01[Columna276],BH74)*3)</f>
        <v/>
      </c>
      <c r="BJ74" s="174">
        <f>(COUNTIF(BASE01[Columna277],BH74)*2)</f>
        <v/>
      </c>
      <c r="BK74" s="174">
        <f>COUNTIF(BASE01[Columna2772],BH74)</f>
        <v/>
      </c>
      <c r="BL74" s="431">
        <f>SUM(BI74,BJ74,BK74)</f>
        <v/>
      </c>
      <c r="BM74" s="175" t="n">
        <v>4</v>
      </c>
      <c r="BN74" s="174">
        <f>(COUNTIF(BASE01[Columna280],BM74)*3)</f>
        <v/>
      </c>
      <c r="BO74" s="174">
        <f>(COUNTIF(BASE01[Columna281],BM74)*2)</f>
        <v/>
      </c>
      <c r="BP74" s="174">
        <f>COUNTIF(BASE01[Columna2812],BM74)</f>
        <v/>
      </c>
      <c r="BQ74" s="111">
        <f>SUM(BN74,BO74,BP74)</f>
        <v/>
      </c>
      <c r="BR74" s="173" t="n">
        <v>4</v>
      </c>
      <c r="BS74" s="174">
        <f>(COUNTIF(BASE01[Columna2802],BR74)*3)</f>
        <v/>
      </c>
      <c r="BT74" s="174">
        <f>(COUNTIF(BASE01[Columna2813],BR74)*2)</f>
        <v/>
      </c>
      <c r="BU74" s="174">
        <f>COUNTIF(BASE01[Columna28124],BR74)</f>
        <v/>
      </c>
      <c r="BV74" s="111">
        <f>SUM(BS74,BT74,BU74)</f>
        <v/>
      </c>
      <c r="BW74" s="175" t="n">
        <v>4</v>
      </c>
      <c r="BX74" s="174">
        <f>(COUNTIF(BASE01[Columna2803],BW74)*3)</f>
        <v/>
      </c>
      <c r="BY74" s="174">
        <f>(COUNTIF(BASE01[Columna2814],BW74)*2)</f>
        <v/>
      </c>
      <c r="BZ74" s="174">
        <f>COUNTIF(BASE01[Columna28125],BW74)</f>
        <v/>
      </c>
      <c r="CA74" s="111">
        <f>SUM(BX74,BY74,BZ74)</f>
        <v/>
      </c>
      <c r="CB74" s="175" t="n">
        <v>4</v>
      </c>
      <c r="CC74" s="174">
        <f>(COUNTIF(BASE01[Columna2804],CB74)*3)</f>
        <v/>
      </c>
      <c r="CD74" s="174">
        <f>(COUNTIF(BASE01[Columna2815],CB74)*2)</f>
        <v/>
      </c>
      <c r="CE74" s="174">
        <f>COUNTIF(BASE01[Columna28126],CB74)</f>
        <v/>
      </c>
      <c r="CF74" s="111">
        <f>SUM(CC74,CD74,CE74)</f>
        <v/>
      </c>
      <c r="CG74" s="105" t="n"/>
      <c r="CH74" s="105" t="n"/>
      <c r="CY74" s="112" t="n"/>
      <c r="DB74" s="112" t="n"/>
      <c r="DC74" s="112" t="n"/>
      <c r="DD74" s="112" t="n"/>
      <c r="DE74" s="112" t="n"/>
      <c r="DF74" s="112" t="n"/>
      <c r="DG74" s="112" t="n"/>
      <c r="DH74" s="112" t="n"/>
      <c r="DI74" s="112" t="n"/>
      <c r="DJ74" s="112" t="n"/>
      <c r="DK74" s="112" t="n"/>
      <c r="DL74" s="112" t="n"/>
      <c r="DM74" s="112" t="n"/>
      <c r="DN74" s="112" t="n"/>
      <c r="DO74" s="393">
        <f>IF(DP74="","",$DO$59)</f>
        <v/>
      </c>
      <c r="DP74" s="396" t="n"/>
      <c r="DQ74" s="396" t="n"/>
      <c r="DR74" s="396" t="n"/>
      <c r="EG74" s="393">
        <f>IF(EH74="","",$EG$59)</f>
        <v/>
      </c>
      <c r="EH74" s="393" t="n"/>
      <c r="EI74" s="393" t="n"/>
      <c r="EJ74" s="393" t="n"/>
    </row>
    <row r="75" ht="27.95" customFormat="1" customHeight="1" s="112">
      <c r="B75" s="104" t="n"/>
      <c r="C75" s="105" t="n"/>
      <c r="D75" s="105" t="n"/>
      <c r="E75" s="109" t="n">
        <v>10</v>
      </c>
      <c r="F75" s="110">
        <f>(COUNTIF(BASE01[1],E75)*3)</f>
        <v/>
      </c>
      <c r="G75" s="174">
        <f>(COUNTIF(BASE01[2],E75)*2)</f>
        <v/>
      </c>
      <c r="H75" s="174">
        <f>COUNTIF(BASE01[22],E75)</f>
        <v/>
      </c>
      <c r="I75" s="431">
        <f>SUM(F75,G75,H75)</f>
        <v/>
      </c>
      <c r="J75" s="175" t="n">
        <v>10</v>
      </c>
      <c r="K75" s="174">
        <f>(COUNTIF(BASE01[12],J75)*3)</f>
        <v/>
      </c>
      <c r="L75" s="174">
        <f>(COUNTIF(BASE01[Columna2],J75)*2)</f>
        <v/>
      </c>
      <c r="M75" s="174">
        <f>COUNTIF(BASE01[Columna23],J75)</f>
        <v/>
      </c>
      <c r="N75" s="431">
        <f>SUM(K75,L75,M75)</f>
        <v/>
      </c>
      <c r="O75" s="175" t="n">
        <v>10</v>
      </c>
      <c r="P75" s="174">
        <f>(COUNTIF(BASE01[Columna4],O75)*3)</f>
        <v/>
      </c>
      <c r="Q75" s="174">
        <f>(COUNTIF(BASE01[Columna5],O75)*2)</f>
        <v/>
      </c>
      <c r="R75" s="174">
        <f>COUNTIF(BASE01[Columna53],O75)</f>
        <v/>
      </c>
      <c r="S75" s="431">
        <f>SUM(P75,Q75,R75)</f>
        <v/>
      </c>
      <c r="T75" s="175" t="n">
        <v>10</v>
      </c>
      <c r="U75" s="174">
        <f>(COUNTIF(BASE01[Columna7],T75)*3)</f>
        <v/>
      </c>
      <c r="V75" s="174">
        <f>(COUNTIF(BASE01[Columna8],T75)*2)</f>
        <v/>
      </c>
      <c r="W75" s="174">
        <f>COUNTIF(BASE01[Columna83],T75)</f>
        <v/>
      </c>
      <c r="X75" s="431">
        <f>SUM(U75,V75,W75)</f>
        <v/>
      </c>
      <c r="Y75" s="175" t="n">
        <v>2</v>
      </c>
      <c r="Z75" s="174">
        <f>(COUNTIF(BASE01[Columna10],Y75)*3)</f>
        <v/>
      </c>
      <c r="AA75" s="174">
        <f>(COUNTIF(BASE01[Columna11],Y75)*2)</f>
        <v/>
      </c>
      <c r="AB75" s="174">
        <f>COUNTIF(BASE01[Columna113],Y75)</f>
        <v/>
      </c>
      <c r="AC75" s="431">
        <f>SUM(Z75,AA75,AB75)</f>
        <v/>
      </c>
      <c r="AD75" s="175" t="n">
        <v>10</v>
      </c>
      <c r="AE75" s="174">
        <f>(COUNTIF(BASE01[1RA],AD75)*3)</f>
        <v/>
      </c>
      <c r="AF75" s="174">
        <f>(COUNTIF(BASE01[2DA],AD75)*2)</f>
        <v/>
      </c>
      <c r="AG75" s="174">
        <f>COUNTIF(BASE01[2DA2],AD75)</f>
        <v/>
      </c>
      <c r="AH75" s="431">
        <f>SUM(AE75,AF75,AG75)</f>
        <v/>
      </c>
      <c r="AI75" s="175" t="n">
        <v>10</v>
      </c>
      <c r="AJ75" s="174">
        <f>(COUNTIF(BASE01[Columna16],AI75)*3)</f>
        <v/>
      </c>
      <c r="AK75" s="174">
        <f>(COUNTIF(BASE01[Columna17],AI75)*2)</f>
        <v/>
      </c>
      <c r="AL75" s="174">
        <f>COUNTIF(BASE01[Columna173],AI75)</f>
        <v/>
      </c>
      <c r="AM75" s="431">
        <f>SUM(AJ75,AK75,AL75)</f>
        <v/>
      </c>
      <c r="AN75" s="175" t="n">
        <v>3</v>
      </c>
      <c r="AO75" s="174">
        <f>(COUNTIF(BASE01[123],AN75)*3)</f>
        <v/>
      </c>
      <c r="AP75" s="174">
        <f>(COUNTIF(BASE01[555],AN75)*2)</f>
        <v/>
      </c>
      <c r="AQ75" s="174">
        <f>COUNTIF(BASE01[556],AN75)</f>
        <v/>
      </c>
      <c r="AR75" s="431">
        <f>SUM(AO75,AP75,AQ75)</f>
        <v/>
      </c>
      <c r="AS75" s="175" t="n">
        <v>10</v>
      </c>
      <c r="AT75" s="174">
        <f>(COUNTIF(BASE01[AAAA],AS75)*3)</f>
        <v/>
      </c>
      <c r="AU75" s="174">
        <f>(COUNTIF(BASE01[BBBB],AS75)*2)</f>
        <v/>
      </c>
      <c r="AV75" s="174">
        <f>COUNTIF(BASE01[Columna13],AS75)</f>
        <v/>
      </c>
      <c r="AW75" s="431">
        <f>SUM(AT75,AU75,AV75)</f>
        <v/>
      </c>
      <c r="AX75" s="175" t="n">
        <v>10</v>
      </c>
      <c r="AY75" s="174">
        <f>(COUNTIF(BASE01[Columna25],AX75)*3)</f>
        <v/>
      </c>
      <c r="AZ75" s="174">
        <f>(COUNTIF(BASE01[Columna26],AX75)*2)</f>
        <v/>
      </c>
      <c r="BA75" s="174">
        <f>COUNTIF(BASE01[Columna263],AX75)</f>
        <v/>
      </c>
      <c r="BB75" s="431">
        <f>SUM(AY75,AZ75,BA75)</f>
        <v/>
      </c>
      <c r="BC75" s="175" t="n">
        <v>12</v>
      </c>
      <c r="BD75" s="174">
        <f>(COUNTIF(BASE01[Columna272],BC75)*3)</f>
        <v/>
      </c>
      <c r="BE75" s="174">
        <f>(COUNTIF(BASE01[Columna273],BC75)*2)</f>
        <v/>
      </c>
      <c r="BF75" s="174">
        <f>COUNTIF(BASE01[Columna2732],BC75)</f>
        <v/>
      </c>
      <c r="BG75" s="431">
        <f>SUM(BD75,BE75,BF75)</f>
        <v/>
      </c>
      <c r="BH75" s="175" t="n">
        <v>9</v>
      </c>
      <c r="BI75" s="174">
        <f>(COUNTIF(BASE01[Columna276],BH75)*3)</f>
        <v/>
      </c>
      <c r="BJ75" s="174">
        <f>(COUNTIF(BASE01[Columna277],BH75)*2)</f>
        <v/>
      </c>
      <c r="BK75" s="174">
        <f>COUNTIF(BASE01[Columna2772],BH75)</f>
        <v/>
      </c>
      <c r="BL75" s="431">
        <f>SUM(BI75,BJ75,BK75)</f>
        <v/>
      </c>
      <c r="BM75" s="175" t="n">
        <v>8</v>
      </c>
      <c r="BN75" s="174">
        <f>(COUNTIF(BASE01[Columna280],BM75)*3)</f>
        <v/>
      </c>
      <c r="BO75" s="174">
        <f>(COUNTIF(BASE01[Columna281],BM75)*2)</f>
        <v/>
      </c>
      <c r="BP75" s="174">
        <f>COUNTIF(BASE01[Columna2812],BM75)</f>
        <v/>
      </c>
      <c r="BQ75" s="111">
        <f>SUM(BN75,BO75,BP75)</f>
        <v/>
      </c>
      <c r="BR75" s="173" t="n">
        <v>8</v>
      </c>
      <c r="BS75" s="174">
        <f>(COUNTIF(BASE01[Columna2802],BR75)*3)</f>
        <v/>
      </c>
      <c r="BT75" s="174">
        <f>(COUNTIF(BASE01[Columna2813],BR75)*2)</f>
        <v/>
      </c>
      <c r="BU75" s="174">
        <f>COUNTIF(BASE01[Columna28124],BR75)</f>
        <v/>
      </c>
      <c r="BV75" s="111">
        <f>SUM(BS75,BT75,BU75)</f>
        <v/>
      </c>
      <c r="BW75" s="175" t="n">
        <v>8</v>
      </c>
      <c r="BX75" s="174">
        <f>(COUNTIF(BASE01[Columna2803],BW75)*3)</f>
        <v/>
      </c>
      <c r="BY75" s="174">
        <f>(COUNTIF(BASE01[Columna2814],BW75)*2)</f>
        <v/>
      </c>
      <c r="BZ75" s="174">
        <f>COUNTIF(BASE01[Columna28125],BW75)</f>
        <v/>
      </c>
      <c r="CA75" s="111">
        <f>SUM(BX75,BY75,BZ75)</f>
        <v/>
      </c>
      <c r="CB75" s="175" t="n">
        <v>8</v>
      </c>
      <c r="CC75" s="174">
        <f>(COUNTIF(BASE01[Columna2804],CB75)*3)</f>
        <v/>
      </c>
      <c r="CD75" s="174">
        <f>(COUNTIF(BASE01[Columna2815],CB75)*2)</f>
        <v/>
      </c>
      <c r="CE75" s="174">
        <f>COUNTIF(BASE01[Columna28126],CB75)</f>
        <v/>
      </c>
      <c r="CF75" s="111">
        <f>SUM(CC75,CD75,CE75)</f>
        <v/>
      </c>
      <c r="CG75" s="105" t="n"/>
      <c r="CH75" s="105" t="n"/>
      <c r="DO75" s="393">
        <f>IF(DP75="","",$DO$59)</f>
        <v/>
      </c>
      <c r="DP75" s="396" t="n"/>
      <c r="DQ75" s="396" t="n"/>
      <c r="DR75" s="396" t="n"/>
      <c r="EG75" s="393">
        <f>IF(EH75="","",$EG$59)</f>
        <v/>
      </c>
      <c r="EH75" s="396" t="n"/>
      <c r="EI75" s="396" t="n"/>
      <c r="EJ75" s="396" t="n"/>
    </row>
    <row r="76" ht="27.95" customFormat="1" customHeight="1" s="112">
      <c r="B76" s="104" t="n"/>
      <c r="C76" s="105" t="n"/>
      <c r="D76" s="105" t="n"/>
      <c r="E76" s="109" t="n">
        <v>11</v>
      </c>
      <c r="F76" s="110">
        <f>(COUNTIF(BASE01[1],E76)*3)</f>
        <v/>
      </c>
      <c r="G76" s="174">
        <f>(COUNTIF(BASE01[2],E76)*2)</f>
        <v/>
      </c>
      <c r="H76" s="174">
        <f>COUNTIF(BASE01[22],E76)</f>
        <v/>
      </c>
      <c r="I76" s="431">
        <f>SUM(F76,G76,H76)</f>
        <v/>
      </c>
      <c r="J76" s="175" t="n">
        <v>11</v>
      </c>
      <c r="K76" s="174">
        <f>(COUNTIF(BASE01[12],J76)*3)</f>
        <v/>
      </c>
      <c r="L76" s="174">
        <f>(COUNTIF(BASE01[Columna2],J76)*2)</f>
        <v/>
      </c>
      <c r="M76" s="174">
        <f>COUNTIF(BASE01[Columna23],J76)</f>
        <v/>
      </c>
      <c r="N76" s="431">
        <f>SUM(K76,L76,M76)</f>
        <v/>
      </c>
      <c r="O76" s="175" t="n">
        <v>11</v>
      </c>
      <c r="P76" s="174">
        <f>(COUNTIF(BASE01[Columna4],O76)*3)</f>
        <v/>
      </c>
      <c r="Q76" s="174">
        <f>(COUNTIF(BASE01[Columna5],O76)*2)</f>
        <v/>
      </c>
      <c r="R76" s="174">
        <f>COUNTIF(BASE01[Columna53],O76)</f>
        <v/>
      </c>
      <c r="S76" s="431">
        <f>SUM(P76,Q76,R76)</f>
        <v/>
      </c>
      <c r="T76" s="175" t="n">
        <v>11</v>
      </c>
      <c r="U76" s="174">
        <f>(COUNTIF(BASE01[Columna7],T76)*3)</f>
        <v/>
      </c>
      <c r="V76" s="174">
        <f>(COUNTIF(BASE01[Columna8],T76)*2)</f>
        <v/>
      </c>
      <c r="W76" s="174">
        <f>COUNTIF(BASE01[Columna83],T76)</f>
        <v/>
      </c>
      <c r="X76" s="431">
        <f>SUM(U76,V76,W76)</f>
        <v/>
      </c>
      <c r="Y76" s="175" t="n">
        <v>11</v>
      </c>
      <c r="Z76" s="174">
        <f>(COUNTIF(BASE01[Columna10],Y76)*3)</f>
        <v/>
      </c>
      <c r="AA76" s="174">
        <f>(COUNTIF(BASE01[Columna11],Y76)*2)</f>
        <v/>
      </c>
      <c r="AB76" s="174">
        <f>COUNTIF(BASE01[Columna113],Y76)</f>
        <v/>
      </c>
      <c r="AC76" s="431">
        <f>SUM(Z76,AA76,AB76)</f>
        <v/>
      </c>
      <c r="AD76" s="175" t="n">
        <v>11</v>
      </c>
      <c r="AE76" s="174">
        <f>(COUNTIF(BASE01[1RA],AD76)*3)</f>
        <v/>
      </c>
      <c r="AF76" s="174">
        <f>(COUNTIF(BASE01[2DA],AD76)*2)</f>
        <v/>
      </c>
      <c r="AG76" s="174">
        <f>COUNTIF(BASE01[2DA2],AD76)</f>
        <v/>
      </c>
      <c r="AH76" s="431">
        <f>SUM(AE76,AF76,AG76)</f>
        <v/>
      </c>
      <c r="AI76" s="175" t="n">
        <v>11</v>
      </c>
      <c r="AJ76" s="174">
        <f>(COUNTIF(BASE01[Columna16],AI76)*3)</f>
        <v/>
      </c>
      <c r="AK76" s="174">
        <f>(COUNTIF(BASE01[Columna17],AI76)*2)</f>
        <v/>
      </c>
      <c r="AL76" s="174">
        <f>COUNTIF(BASE01[Columna173],AI76)</f>
        <v/>
      </c>
      <c r="AM76" s="431">
        <f>SUM(AJ76,AK76,AL76)</f>
        <v/>
      </c>
      <c r="AN76" s="175" t="n">
        <v>4</v>
      </c>
      <c r="AO76" s="174">
        <f>(COUNTIF(BASE01[123],AN76)*3)</f>
        <v/>
      </c>
      <c r="AP76" s="174">
        <f>(COUNTIF(BASE01[555],AN76)*2)</f>
        <v/>
      </c>
      <c r="AQ76" s="174">
        <f>COUNTIF(BASE01[556],AN76)</f>
        <v/>
      </c>
      <c r="AR76" s="431">
        <f>SUM(AO76,AP76,AQ76)</f>
        <v/>
      </c>
      <c r="AS76" s="175" t="n">
        <v>11</v>
      </c>
      <c r="AT76" s="174">
        <f>(COUNTIF(BASE01[AAAA],AS76)*3)</f>
        <v/>
      </c>
      <c r="AU76" s="174">
        <f>(COUNTIF(BASE01[BBBB],AS76)*2)</f>
        <v/>
      </c>
      <c r="AV76" s="174">
        <f>COUNTIF(BASE01[Columna13],AS76)</f>
        <v/>
      </c>
      <c r="AW76" s="431">
        <f>SUM(AT76,AU76,AV76)</f>
        <v/>
      </c>
      <c r="AX76" s="175" t="n">
        <v>12</v>
      </c>
      <c r="AY76" s="174">
        <f>(COUNTIF(BASE01[Columna25],AX76)*3)</f>
        <v/>
      </c>
      <c r="AZ76" s="174">
        <f>(COUNTIF(BASE01[Columna26],AX76)*2)</f>
        <v/>
      </c>
      <c r="BA76" s="174">
        <f>COUNTIF(BASE01[Columna263],AX76)</f>
        <v/>
      </c>
      <c r="BB76" s="431">
        <f>SUM(AY76,AZ76,BA76)</f>
        <v/>
      </c>
      <c r="BC76" s="175" t="n">
        <v>9</v>
      </c>
      <c r="BD76" s="174">
        <f>(COUNTIF(BASE01[Columna272],BC76)*3)</f>
        <v/>
      </c>
      <c r="BE76" s="174">
        <f>(COUNTIF(BASE01[Columna273],BC76)*2)</f>
        <v/>
      </c>
      <c r="BF76" s="174">
        <f>COUNTIF(BASE01[Columna2732],BC76)</f>
        <v/>
      </c>
      <c r="BG76" s="431">
        <f>SUM(BD76,BE76,BF76)</f>
        <v/>
      </c>
      <c r="BH76" s="175" t="n">
        <v>11</v>
      </c>
      <c r="BI76" s="174">
        <f>(COUNTIF(BASE01[Columna276],BH76)*3)</f>
        <v/>
      </c>
      <c r="BJ76" s="174">
        <f>(COUNTIF(BASE01[Columna277],BH76)*2)</f>
        <v/>
      </c>
      <c r="BK76" s="174">
        <f>COUNTIF(BASE01[Columna2772],BH76)</f>
        <v/>
      </c>
      <c r="BL76" s="431">
        <f>SUM(BI76,BJ76,BK76)</f>
        <v/>
      </c>
      <c r="BM76" s="175" t="n">
        <v>6</v>
      </c>
      <c r="BN76" s="174">
        <f>(COUNTIF(BASE01[Columna280],BM76)*3)</f>
        <v/>
      </c>
      <c r="BO76" s="174">
        <f>(COUNTIF(BASE01[Columna281],BM76)*2)</f>
        <v/>
      </c>
      <c r="BP76" s="174">
        <f>COUNTIF(BASE01[Columna2812],BM76)</f>
        <v/>
      </c>
      <c r="BQ76" s="111">
        <f>SUM(BN76,BO76,BP76)</f>
        <v/>
      </c>
      <c r="BR76" s="173" t="n">
        <v>6</v>
      </c>
      <c r="BS76" s="174">
        <f>(COUNTIF(BASE01[Columna2802],BR76)*3)</f>
        <v/>
      </c>
      <c r="BT76" s="174">
        <f>(COUNTIF(BASE01[Columna2813],BR76)*2)</f>
        <v/>
      </c>
      <c r="BU76" s="174">
        <f>COUNTIF(BASE01[Columna28124],BR76)</f>
        <v/>
      </c>
      <c r="BV76" s="111">
        <f>SUM(BS76,BT76,BU76)</f>
        <v/>
      </c>
      <c r="BW76" s="175" t="n">
        <v>6</v>
      </c>
      <c r="BX76" s="174">
        <f>(COUNTIF(BASE01[Columna2803],BW76)*3)</f>
        <v/>
      </c>
      <c r="BY76" s="174">
        <f>(COUNTIF(BASE01[Columna2814],BW76)*2)</f>
        <v/>
      </c>
      <c r="BZ76" s="174">
        <f>COUNTIF(BASE01[Columna28125],BW76)</f>
        <v/>
      </c>
      <c r="CA76" s="111">
        <f>SUM(BX76,BY76,BZ76)</f>
        <v/>
      </c>
      <c r="CB76" s="175" t="n">
        <v>6</v>
      </c>
      <c r="CC76" s="174">
        <f>(COUNTIF(BASE01[Columna2804],CB76)*3)</f>
        <v/>
      </c>
      <c r="CD76" s="174">
        <f>(COUNTIF(BASE01[Columna2815],CB76)*2)</f>
        <v/>
      </c>
      <c r="CE76" s="174">
        <f>COUNTIF(BASE01[Columna28126],CB76)</f>
        <v/>
      </c>
      <c r="CF76" s="111">
        <f>SUM(CC76,CD76,CE76)</f>
        <v/>
      </c>
      <c r="CG76" s="105" t="n"/>
      <c r="CH76" s="105" t="n"/>
      <c r="DO76" s="393">
        <f>IF(DP76="","",$DO$59)</f>
        <v/>
      </c>
      <c r="DP76" s="396" t="n"/>
      <c r="DQ76" s="396" t="n"/>
      <c r="DR76" s="396" t="n"/>
      <c r="EG76" s="393">
        <f>IF(EH76="","",$EG$59)</f>
        <v/>
      </c>
      <c r="EH76" s="396" t="n"/>
      <c r="EI76" s="396" t="n"/>
      <c r="EJ76" s="396" t="n"/>
    </row>
    <row r="77" ht="27.95" customFormat="1" customHeight="1" s="112">
      <c r="B77" s="104" t="n"/>
      <c r="C77" s="105" t="n"/>
      <c r="D77" s="105" t="n"/>
      <c r="E77" s="109" t="n">
        <v>12</v>
      </c>
      <c r="F77" s="110">
        <f>(COUNTIF(BASE01[1],E77)*3)</f>
        <v/>
      </c>
      <c r="G77" s="174">
        <f>(COUNTIF(BASE01[2],E77)*2)</f>
        <v/>
      </c>
      <c r="H77" s="174">
        <f>COUNTIF(BASE01[22],E77)</f>
        <v/>
      </c>
      <c r="I77" s="431">
        <f>SUM(F77,G77,H77)</f>
        <v/>
      </c>
      <c r="J77" s="175" t="n">
        <v>12</v>
      </c>
      <c r="K77" s="174">
        <f>(COUNTIF(BASE01[12],J77)*3)</f>
        <v/>
      </c>
      <c r="L77" s="174">
        <f>(COUNTIF(BASE01[Columna2],J77)*2)</f>
        <v/>
      </c>
      <c r="M77" s="174">
        <f>COUNTIF(BASE01[Columna23],J77)</f>
        <v/>
      </c>
      <c r="N77" s="431">
        <f>SUM(K77,L77,M77)</f>
        <v/>
      </c>
      <c r="O77" s="175" t="n">
        <v>12</v>
      </c>
      <c r="P77" s="174">
        <f>(COUNTIF(BASE01[Columna4],O77)*3)</f>
        <v/>
      </c>
      <c r="Q77" s="174">
        <f>(COUNTIF(BASE01[Columna5],O77)*2)</f>
        <v/>
      </c>
      <c r="R77" s="174">
        <f>COUNTIF(BASE01[Columna53],O77)</f>
        <v/>
      </c>
      <c r="S77" s="431">
        <f>SUM(P77,Q77,R77)</f>
        <v/>
      </c>
      <c r="T77" s="175" t="n">
        <v>12</v>
      </c>
      <c r="U77" s="174">
        <f>(COUNTIF(BASE01[Columna7],T77)*3)</f>
        <v/>
      </c>
      <c r="V77" s="174">
        <f>(COUNTIF(BASE01[Columna8],T77)*2)</f>
        <v/>
      </c>
      <c r="W77" s="174">
        <f>COUNTIF(BASE01[Columna83],T77)</f>
        <v/>
      </c>
      <c r="X77" s="431">
        <f>SUM(U77,V77,W77)</f>
        <v/>
      </c>
      <c r="Y77" s="175" t="n">
        <v>12</v>
      </c>
      <c r="Z77" s="174">
        <f>(COUNTIF(BASE01[Columna10],Y77)*3)</f>
        <v/>
      </c>
      <c r="AA77" s="174">
        <f>(COUNTIF(BASE01[Columna11],Y77)*2)</f>
        <v/>
      </c>
      <c r="AB77" s="174">
        <f>COUNTIF(BASE01[Columna113],Y77)</f>
        <v/>
      </c>
      <c r="AC77" s="431">
        <f>SUM(Z77,AA77,AB77)</f>
        <v/>
      </c>
      <c r="AD77" s="175" t="n">
        <v>12</v>
      </c>
      <c r="AE77" s="174">
        <f>(COUNTIF(BASE01[1RA],AD77)*3)</f>
        <v/>
      </c>
      <c r="AF77" s="174">
        <f>(COUNTIF(BASE01[2DA],AD77)*2)</f>
        <v/>
      </c>
      <c r="AG77" s="174">
        <f>COUNTIF(BASE01[2DA2],AD77)</f>
        <v/>
      </c>
      <c r="AH77" s="431">
        <f>SUM(AE77,AF77,AG77)</f>
        <v/>
      </c>
      <c r="AI77" s="175" t="n">
        <v>12</v>
      </c>
      <c r="AJ77" s="174">
        <f>(COUNTIF(BASE01[Columna16],AI77)*3)</f>
        <v/>
      </c>
      <c r="AK77" s="174">
        <f>(COUNTIF(BASE01[Columna17],AI77)*2)</f>
        <v/>
      </c>
      <c r="AL77" s="174">
        <f>COUNTIF(BASE01[Columna173],AI77)</f>
        <v/>
      </c>
      <c r="AM77" s="431">
        <f>SUM(AJ77,AK77,AL77)</f>
        <v/>
      </c>
      <c r="AN77" s="175" t="n">
        <v>2</v>
      </c>
      <c r="AO77" s="174">
        <f>(COUNTIF(BASE01[123],AN77)*3)</f>
        <v/>
      </c>
      <c r="AP77" s="174">
        <f>(COUNTIF(BASE01[555],AN77)*2)</f>
        <v/>
      </c>
      <c r="AQ77" s="174">
        <f>COUNTIF(BASE01[556],AN77)</f>
        <v/>
      </c>
      <c r="AR77" s="431">
        <f>SUM(AO77,AP77,AQ77)</f>
        <v/>
      </c>
      <c r="AS77" s="175" t="n">
        <v>12</v>
      </c>
      <c r="AT77" s="174">
        <f>(COUNTIF(BASE01[AAAA],AS77)*3)</f>
        <v/>
      </c>
      <c r="AU77" s="174">
        <f>(COUNTIF(BASE01[BBBB],AS77)*2)</f>
        <v/>
      </c>
      <c r="AV77" s="174">
        <f>COUNTIF(BASE01[Columna13],AS77)</f>
        <v/>
      </c>
      <c r="AW77" s="431">
        <f>SUM(AT77,AU77,AV77)</f>
        <v/>
      </c>
      <c r="AX77" s="175" t="n">
        <v>11</v>
      </c>
      <c r="AY77" s="174">
        <f>(COUNTIF(BASE01[Columna25],AX77)*3)</f>
        <v/>
      </c>
      <c r="AZ77" s="174">
        <f>(COUNTIF(BASE01[Columna26],AX77)*2)</f>
        <v/>
      </c>
      <c r="BA77" s="174">
        <f>COUNTIF(BASE01[Columna263],AX77)</f>
        <v/>
      </c>
      <c r="BB77" s="431">
        <f>SUM(AY77,AZ77,BA77)</f>
        <v/>
      </c>
      <c r="BC77" s="175" t="n">
        <v>10</v>
      </c>
      <c r="BD77" s="174">
        <f>(COUNTIF(BASE01[Columna272],BC77)*3)</f>
        <v/>
      </c>
      <c r="BE77" s="174">
        <f>(COUNTIF(BASE01[Columna273],BC77)*2)</f>
        <v/>
      </c>
      <c r="BF77" s="174">
        <f>COUNTIF(BASE01[Columna2732],BC77)</f>
        <v/>
      </c>
      <c r="BG77" s="431">
        <f>SUM(BD77,BE77,BF77)</f>
        <v/>
      </c>
      <c r="BH77" s="175" t="n">
        <v>12</v>
      </c>
      <c r="BI77" s="174">
        <f>(COUNTIF(BASE01[Columna276],BH77)*3)</f>
        <v/>
      </c>
      <c r="BJ77" s="174">
        <f>(COUNTIF(BASE01[Columna277],BH77)*2)</f>
        <v/>
      </c>
      <c r="BK77" s="174">
        <f>COUNTIF(BASE01[Columna2772],BH77)</f>
        <v/>
      </c>
      <c r="BL77" s="431">
        <f>SUM(BI77,BJ77,BK77)</f>
        <v/>
      </c>
      <c r="BM77" s="175" t="n">
        <v>7</v>
      </c>
      <c r="BN77" s="174">
        <f>(COUNTIF(BASE01[Columna280],BM77)*3)</f>
        <v/>
      </c>
      <c r="BO77" s="174">
        <f>(COUNTIF(BASE01[Columna281],BM77)*2)</f>
        <v/>
      </c>
      <c r="BP77" s="174">
        <f>COUNTIF(BASE01[Columna2812],BM77)</f>
        <v/>
      </c>
      <c r="BQ77" s="111">
        <f>SUM(BN77,BO77,BP77)</f>
        <v/>
      </c>
      <c r="BR77" s="173" t="n">
        <v>7</v>
      </c>
      <c r="BS77" s="174">
        <f>(COUNTIF(BASE01[Columna2802],BR77)*3)</f>
        <v/>
      </c>
      <c r="BT77" s="174">
        <f>(COUNTIF(BASE01[Columna2813],BR77)*2)</f>
        <v/>
      </c>
      <c r="BU77" s="174">
        <f>COUNTIF(BASE01[Columna28124],BR77)</f>
        <v/>
      </c>
      <c r="BV77" s="111">
        <f>SUM(BS77,BT77,BU77)</f>
        <v/>
      </c>
      <c r="BW77" s="175" t="n">
        <v>7</v>
      </c>
      <c r="BX77" s="174">
        <f>(COUNTIF(BASE01[Columna2803],BW77)*3)</f>
        <v/>
      </c>
      <c r="BY77" s="174">
        <f>(COUNTIF(BASE01[Columna2814],BW77)*2)</f>
        <v/>
      </c>
      <c r="BZ77" s="174">
        <f>COUNTIF(BASE01[Columna28125],BW77)</f>
        <v/>
      </c>
      <c r="CA77" s="111">
        <f>SUM(BX77,BY77,BZ77)</f>
        <v/>
      </c>
      <c r="CB77" s="175" t="n">
        <v>7</v>
      </c>
      <c r="CC77" s="174">
        <f>(COUNTIF(BASE01[Columna2804],CB77)*3)</f>
        <v/>
      </c>
      <c r="CD77" s="174">
        <f>(COUNTIF(BASE01[Columna2815],CB77)*2)</f>
        <v/>
      </c>
      <c r="CE77" s="174">
        <f>COUNTIF(BASE01[Columna28126],CB77)</f>
        <v/>
      </c>
      <c r="CF77" s="111">
        <f>SUM(CC77,CD77,CE77)</f>
        <v/>
      </c>
      <c r="CG77" s="105" t="n"/>
      <c r="CH77" s="105" t="n"/>
      <c r="DO77" s="393">
        <f>IF(DP77="","",$DO$59)</f>
        <v/>
      </c>
      <c r="DP77" s="396" t="n"/>
      <c r="DQ77" s="396" t="n"/>
      <c r="DR77" s="396" t="n"/>
      <c r="EG77" s="393">
        <f>IF(EH77="","",$EG$59)</f>
        <v/>
      </c>
      <c r="EH77" s="396" t="n"/>
      <c r="EI77" s="396" t="n"/>
      <c r="EJ77" s="396" t="n"/>
    </row>
    <row r="78" ht="27.95" customFormat="1" customHeight="1" s="112">
      <c r="B78" s="104" t="n"/>
      <c r="C78" s="105" t="n"/>
      <c r="D78" s="105" t="n"/>
      <c r="E78" s="109" t="n">
        <v>13</v>
      </c>
      <c r="F78" s="110">
        <f>(COUNTIF(BASE01[1],E78)*3)</f>
        <v/>
      </c>
      <c r="G78" s="174">
        <f>(COUNTIF(BASE01[2],E78)*2)</f>
        <v/>
      </c>
      <c r="H78" s="174">
        <f>COUNTIF(BASE01[22],E78)</f>
        <v/>
      </c>
      <c r="I78" s="431">
        <f>SUM(F78,G78,H78)</f>
        <v/>
      </c>
      <c r="J78" s="175" t="n">
        <v>13</v>
      </c>
      <c r="K78" s="174">
        <f>(COUNTIF(BASE01[12],J78)*3)</f>
        <v/>
      </c>
      <c r="L78" s="174">
        <f>(COUNTIF(BASE01[Columna2],J78)*2)</f>
        <v/>
      </c>
      <c r="M78" s="174">
        <f>COUNTIF(BASE01[Columna23],J78)</f>
        <v/>
      </c>
      <c r="N78" s="431">
        <f>SUM(K78,L78,M78)</f>
        <v/>
      </c>
      <c r="O78" s="175" t="n">
        <v>13</v>
      </c>
      <c r="P78" s="174">
        <f>(COUNTIF(BASE01[Columna4],O78)*3)</f>
        <v/>
      </c>
      <c r="Q78" s="174">
        <f>(COUNTIF(BASE01[Columna5],O78)*2)</f>
        <v/>
      </c>
      <c r="R78" s="174">
        <f>COUNTIF(BASE01[Columna53],O78)</f>
        <v/>
      </c>
      <c r="S78" s="431">
        <f>SUM(P78,Q78,R78)</f>
        <v/>
      </c>
      <c r="T78" s="175" t="n">
        <v>13</v>
      </c>
      <c r="U78" s="174">
        <f>(COUNTIF(BASE01[Columna7],T78)*3)</f>
        <v/>
      </c>
      <c r="V78" s="174">
        <f>(COUNTIF(BASE01[Columna8],T78)*2)</f>
        <v/>
      </c>
      <c r="W78" s="174">
        <f>COUNTIF(BASE01[Columna83],T78)</f>
        <v/>
      </c>
      <c r="X78" s="431">
        <f>SUM(U78,V78,W78)</f>
        <v/>
      </c>
      <c r="Y78" s="175" t="n">
        <v>13</v>
      </c>
      <c r="Z78" s="174">
        <f>(COUNTIF(BASE01[Columna10],Y78)*3)</f>
        <v/>
      </c>
      <c r="AA78" s="174">
        <f>(COUNTIF(BASE01[Columna11],Y78)*2)</f>
        <v/>
      </c>
      <c r="AB78" s="174">
        <f>COUNTIF(BASE01[Columna113],Y78)</f>
        <v/>
      </c>
      <c r="AC78" s="431">
        <f>SUM(Z78,AA78,AB78)</f>
        <v/>
      </c>
      <c r="AD78" s="175" t="n">
        <v>13</v>
      </c>
      <c r="AE78" s="174">
        <f>(COUNTIF(BASE01[1RA],AD78)*3)</f>
        <v/>
      </c>
      <c r="AF78" s="174">
        <f>(COUNTIF(BASE01[2DA],AD78)*2)</f>
        <v/>
      </c>
      <c r="AG78" s="174">
        <f>COUNTIF(BASE01[2DA2],AD78)</f>
        <v/>
      </c>
      <c r="AH78" s="431">
        <f>SUM(AE78,AF78,AG78)</f>
        <v/>
      </c>
      <c r="AI78" s="175" t="n">
        <v>13</v>
      </c>
      <c r="AJ78" s="174">
        <f>(COUNTIF(BASE01[Columna16],AI78)*3)</f>
        <v/>
      </c>
      <c r="AK78" s="174">
        <f>(COUNTIF(BASE01[Columna17],AI78)*2)</f>
        <v/>
      </c>
      <c r="AL78" s="174">
        <f>COUNTIF(BASE01[Columna173],AI78)</f>
        <v/>
      </c>
      <c r="AM78" s="431">
        <f>SUM(AJ78,AK78,AL78)</f>
        <v/>
      </c>
      <c r="AN78" s="175" t="n">
        <v>13</v>
      </c>
      <c r="AO78" s="174">
        <f>(COUNTIF(BASE01[123],AN78)*3)</f>
        <v/>
      </c>
      <c r="AP78" s="174">
        <f>(COUNTIF(BASE01[555],AN78)*2)</f>
        <v/>
      </c>
      <c r="AQ78" s="174">
        <f>COUNTIF(BASE01[556],AN78)</f>
        <v/>
      </c>
      <c r="AR78" s="431">
        <f>SUM(AO78,AP78,AQ78)</f>
        <v/>
      </c>
      <c r="AS78" s="175" t="n">
        <v>13</v>
      </c>
      <c r="AT78" s="174">
        <f>(COUNTIF(BASE01[AAAA],AS78)*3)</f>
        <v/>
      </c>
      <c r="AU78" s="174">
        <f>(COUNTIF(BASE01[BBBB],AS78)*2)</f>
        <v/>
      </c>
      <c r="AV78" s="174">
        <f>COUNTIF(BASE01[Columna13],AS78)</f>
        <v/>
      </c>
      <c r="AW78" s="431">
        <f>SUM(AT78,AU78,AV78)</f>
        <v/>
      </c>
      <c r="AX78" s="175" t="n">
        <v>13</v>
      </c>
      <c r="AY78" s="174">
        <f>(COUNTIF(BASE01[Columna25],AX78)*3)</f>
        <v/>
      </c>
      <c r="AZ78" s="174">
        <f>(COUNTIF(BASE01[Columna26],AX78)*2)</f>
        <v/>
      </c>
      <c r="BA78" s="174">
        <f>COUNTIF(BASE01[Columna263],AX78)</f>
        <v/>
      </c>
      <c r="BB78" s="431">
        <f>SUM(AY78,AZ78,BA78)</f>
        <v/>
      </c>
      <c r="BC78" s="175" t="n">
        <v>13</v>
      </c>
      <c r="BD78" s="174">
        <f>(COUNTIF(BASE01[Columna272],BC78)*3)</f>
        <v/>
      </c>
      <c r="BE78" s="174">
        <f>(COUNTIF(BASE01[Columna273],BC78)*2)</f>
        <v/>
      </c>
      <c r="BF78" s="174">
        <f>COUNTIF(BASE01[Columna2732],BC78)</f>
        <v/>
      </c>
      <c r="BG78" s="431">
        <f>SUM(BD78,BE78,BF78)</f>
        <v/>
      </c>
      <c r="BH78" s="175" t="n">
        <v>13</v>
      </c>
      <c r="BI78" s="174">
        <f>(COUNTIF(BASE01[Columna276],BH78)*3)</f>
        <v/>
      </c>
      <c r="BJ78" s="174">
        <f>(COUNTIF(BASE01[Columna277],BH78)*2)</f>
        <v/>
      </c>
      <c r="BK78" s="174">
        <f>COUNTIF(BASE01[Columna2772],BH78)</f>
        <v/>
      </c>
      <c r="BL78" s="431">
        <f>SUM(BI78,BJ78,BK78)</f>
        <v/>
      </c>
      <c r="BM78" s="175" t="n">
        <v>11</v>
      </c>
      <c r="BN78" s="174">
        <f>(COUNTIF(BASE01[Columna280],BM78)*3)</f>
        <v/>
      </c>
      <c r="BO78" s="174">
        <f>(COUNTIF(BASE01[Columna281],BM78)*2)</f>
        <v/>
      </c>
      <c r="BP78" s="174">
        <f>COUNTIF(BASE01[Columna2812],BM78)</f>
        <v/>
      </c>
      <c r="BQ78" s="111">
        <f>SUM(BN78,BO78,BP78)</f>
        <v/>
      </c>
      <c r="BR78" s="173" t="n">
        <v>11</v>
      </c>
      <c r="BS78" s="174">
        <f>(COUNTIF(BASE01[Columna2802],BR78)*3)</f>
        <v/>
      </c>
      <c r="BT78" s="174">
        <f>(COUNTIF(BASE01[Columna2813],BR78)*2)</f>
        <v/>
      </c>
      <c r="BU78" s="174">
        <f>COUNTIF(BASE01[Columna28124],BR78)</f>
        <v/>
      </c>
      <c r="BV78" s="111">
        <f>SUM(BS78,BT78,BU78)</f>
        <v/>
      </c>
      <c r="BW78" s="175" t="n">
        <v>11</v>
      </c>
      <c r="BX78" s="174">
        <f>(COUNTIF(BASE01[Columna2803],BW78)*3)</f>
        <v/>
      </c>
      <c r="BY78" s="174">
        <f>(COUNTIF(BASE01[Columna2814],BW78)*2)</f>
        <v/>
      </c>
      <c r="BZ78" s="174">
        <f>COUNTIF(BASE01[Columna28125],BW78)</f>
        <v/>
      </c>
      <c r="CA78" s="111">
        <f>SUM(BX78,BY78,BZ78)</f>
        <v/>
      </c>
      <c r="CB78" s="175" t="n">
        <v>11</v>
      </c>
      <c r="CC78" s="174">
        <f>(COUNTIF(BASE01[Columna2804],CB78)*3)</f>
        <v/>
      </c>
      <c r="CD78" s="174">
        <f>(COUNTIF(BASE01[Columna2815],CB78)*2)</f>
        <v/>
      </c>
      <c r="CE78" s="174">
        <f>COUNTIF(BASE01[Columna28126],CB78)</f>
        <v/>
      </c>
      <c r="CF78" s="111">
        <f>SUM(CC78,CD78,CE78)</f>
        <v/>
      </c>
      <c r="CG78" s="105" t="n"/>
      <c r="CH78" s="105" t="n"/>
      <c r="DO78" s="393">
        <f>IF(DP78="","",$DO$59)</f>
        <v/>
      </c>
      <c r="DP78" s="396" t="n"/>
      <c r="DQ78" s="396" t="n"/>
      <c r="DR78" s="396" t="n"/>
      <c r="EG78" s="393">
        <f>IF(EH78="","",$EG$59)</f>
        <v/>
      </c>
      <c r="EH78" s="396" t="n"/>
      <c r="EI78" s="396" t="n"/>
      <c r="EJ78" s="396" t="n"/>
    </row>
    <row r="79" ht="27.95" customFormat="1" customHeight="1" s="112" thickBot="1">
      <c r="B79" s="104" t="n"/>
      <c r="C79" s="105" t="n"/>
      <c r="D79" s="105" t="n"/>
      <c r="E79" s="113" t="n">
        <v>14</v>
      </c>
      <c r="F79" s="114">
        <f>(COUNTIF(BASE01[1],E79)*3)</f>
        <v/>
      </c>
      <c r="G79" s="115">
        <f>(COUNTIF(BASE01[2],E79)*2)</f>
        <v/>
      </c>
      <c r="H79" s="115">
        <f>COUNTIF(BASE01[22],E79)</f>
        <v/>
      </c>
      <c r="I79" s="116">
        <f>SUM(F79,G79,H79)</f>
        <v/>
      </c>
      <c r="J79" s="117" t="n">
        <v>14</v>
      </c>
      <c r="K79" s="115">
        <f>(COUNTIF(BASE01[12],J79)*3)</f>
        <v/>
      </c>
      <c r="L79" s="115">
        <f>(COUNTIF(BASE01[Columna2],J79)*2)</f>
        <v/>
      </c>
      <c r="M79" s="115">
        <f>COUNTIF(BASE01[Columna23],J79)</f>
        <v/>
      </c>
      <c r="N79" s="116">
        <f>SUM(K79,L79,M79)</f>
        <v/>
      </c>
      <c r="O79" s="117" t="n">
        <v>14</v>
      </c>
      <c r="P79" s="115">
        <f>(COUNTIF(BASE01[Columna4],O79)*3)</f>
        <v/>
      </c>
      <c r="Q79" s="115">
        <f>(COUNTIF(BASE01[Columna5],O79)*2)</f>
        <v/>
      </c>
      <c r="R79" s="115">
        <f>COUNTIF(BASE01[Columna53],O79)</f>
        <v/>
      </c>
      <c r="S79" s="116">
        <f>SUM(P79,Q79,R79)</f>
        <v/>
      </c>
      <c r="T79" s="117" t="n">
        <v>14</v>
      </c>
      <c r="U79" s="115">
        <f>(COUNTIF(BASE01[Columna7],T79)*3)</f>
        <v/>
      </c>
      <c r="V79" s="115">
        <f>(COUNTIF(BASE01[Columna8],T79)*2)</f>
        <v/>
      </c>
      <c r="W79" s="115">
        <f>COUNTIF(BASE01[Columna83],T79)</f>
        <v/>
      </c>
      <c r="X79" s="116">
        <f>SUM(U79,V79,W79)</f>
        <v/>
      </c>
      <c r="Y79" s="117" t="n">
        <v>14</v>
      </c>
      <c r="Z79" s="115">
        <f>(COUNTIF(BASE01[Columna10],Y79)*3)</f>
        <v/>
      </c>
      <c r="AA79" s="115">
        <f>(COUNTIF(BASE01[Columna11],Y79)*2)</f>
        <v/>
      </c>
      <c r="AB79" s="115">
        <f>COUNTIF(BASE01[Columna113],Y79)</f>
        <v/>
      </c>
      <c r="AC79" s="116">
        <f>SUM(Z79,AA79,AB79)</f>
        <v/>
      </c>
      <c r="AD79" s="117" t="n">
        <v>14</v>
      </c>
      <c r="AE79" s="115">
        <f>(COUNTIF(BASE01[1RA],AD79)*3)</f>
        <v/>
      </c>
      <c r="AF79" s="115">
        <f>(COUNTIF(BASE01[2DA],AD79)*2)</f>
        <v/>
      </c>
      <c r="AG79" s="115">
        <f>COUNTIF(BASE01[2DA2],AD79)</f>
        <v/>
      </c>
      <c r="AH79" s="116">
        <f>SUM(AE79,AF79,AG79)</f>
        <v/>
      </c>
      <c r="AI79" s="117" t="n">
        <v>14</v>
      </c>
      <c r="AJ79" s="115">
        <f>(COUNTIF(BASE01[Columna16],AI79)*3)</f>
        <v/>
      </c>
      <c r="AK79" s="115">
        <f>(COUNTIF(BASE01[Columna17],AI79)*2)</f>
        <v/>
      </c>
      <c r="AL79" s="115">
        <f>COUNTIF(BASE01[Columna173],AI79)</f>
        <v/>
      </c>
      <c r="AM79" s="116">
        <f>SUM(AJ79,AK79,AL79)</f>
        <v/>
      </c>
      <c r="AN79" s="117" t="n">
        <v>14</v>
      </c>
      <c r="AO79" s="115">
        <f>(COUNTIF(BASE01[123],AN79)*3)</f>
        <v/>
      </c>
      <c r="AP79" s="115">
        <f>(COUNTIF(BASE01[555],AN79)*2)</f>
        <v/>
      </c>
      <c r="AQ79" s="115">
        <f>COUNTIF(BASE01[556],AN79)</f>
        <v/>
      </c>
      <c r="AR79" s="116">
        <f>SUM(AO79,AP79,AQ79)</f>
        <v/>
      </c>
      <c r="AS79" s="117" t="n">
        <v>14</v>
      </c>
      <c r="AT79" s="115">
        <f>(COUNTIF(BASE01[AAAA],AS79)*3)</f>
        <v/>
      </c>
      <c r="AU79" s="115">
        <f>(COUNTIF(BASE01[BBBB],AS79)*2)</f>
        <v/>
      </c>
      <c r="AV79" s="115">
        <f>COUNTIF(BASE01[Columna13],AS79)</f>
        <v/>
      </c>
      <c r="AW79" s="116">
        <f>SUM(AT79,AU79,AV79)</f>
        <v/>
      </c>
      <c r="AX79" s="117" t="n">
        <v>14</v>
      </c>
      <c r="AY79" s="115">
        <f>(COUNTIF(BASE01[Columna25],AX79)*3)</f>
        <v/>
      </c>
      <c r="AZ79" s="115">
        <f>(COUNTIF(BASE01[Columna26],AX79)*2)</f>
        <v/>
      </c>
      <c r="BA79" s="115">
        <f>COUNTIF(BASE01[Columna263],AX79)</f>
        <v/>
      </c>
      <c r="BB79" s="116">
        <f>SUM(AY79,AZ79,BA79)</f>
        <v/>
      </c>
      <c r="BC79" s="117" t="n">
        <v>14</v>
      </c>
      <c r="BD79" s="115">
        <f>(COUNTIF(BASE01[Columna272],BC79)*3)</f>
        <v/>
      </c>
      <c r="BE79" s="115">
        <f>(COUNTIF(BASE01[Columna273],BC79)*2)</f>
        <v/>
      </c>
      <c r="BF79" s="115">
        <f>COUNTIF(BASE01[Columna2732],BC79)</f>
        <v/>
      </c>
      <c r="BG79" s="116">
        <f>SUM(BD79,BE79,BF79)</f>
        <v/>
      </c>
      <c r="BH79" s="117" t="n">
        <v>14</v>
      </c>
      <c r="BI79" s="115">
        <f>(COUNTIF(BASE01[Columna276],BH79)*3)</f>
        <v/>
      </c>
      <c r="BJ79" s="115">
        <f>(COUNTIF(BASE01[Columna277],BH79)*2)</f>
        <v/>
      </c>
      <c r="BK79" s="115">
        <f>COUNTIF(BASE01[Columna2772],BH79)</f>
        <v/>
      </c>
      <c r="BL79" s="116">
        <f>SUM(BI79,BJ79,BK79)</f>
        <v/>
      </c>
      <c r="BM79" s="117" t="n">
        <v>14</v>
      </c>
      <c r="BN79" s="115">
        <f>(COUNTIF(BASE01[Columna280],BM79)*3)</f>
        <v/>
      </c>
      <c r="BO79" s="115">
        <f>(COUNTIF(BASE01[Columna281],BM79)*2)</f>
        <v/>
      </c>
      <c r="BP79" s="115">
        <f>COUNTIF(BASE01[Columna2812],BM79)</f>
        <v/>
      </c>
      <c r="BQ79" s="118">
        <f>SUM(BN79,BO79,BP79)</f>
        <v/>
      </c>
      <c r="BR79" s="176" t="n">
        <v>14</v>
      </c>
      <c r="BS79" s="115">
        <f>(COUNTIF(BASE01[Columna2802],BR79)*3)</f>
        <v/>
      </c>
      <c r="BT79" s="115">
        <f>(COUNTIF(BASE01[Columna2813],BR79)*2)</f>
        <v/>
      </c>
      <c r="BU79" s="115">
        <f>COUNTIF(BASE01[Columna28124],BR79)</f>
        <v/>
      </c>
      <c r="BV79" s="118">
        <f>SUM(BS79,BT79,BU79)</f>
        <v/>
      </c>
      <c r="BW79" s="117" t="n">
        <v>14</v>
      </c>
      <c r="BX79" s="115">
        <f>(COUNTIF(BASE01[Columna2803],BW79)*3)</f>
        <v/>
      </c>
      <c r="BY79" s="115">
        <f>(COUNTIF(BASE01[Columna2814],BW79)*2)</f>
        <v/>
      </c>
      <c r="BZ79" s="115">
        <f>COUNTIF(BASE01[Columna28125],BW79)</f>
        <v/>
      </c>
      <c r="CA79" s="118">
        <f>SUM(BX79,BY79,BZ79)</f>
        <v/>
      </c>
      <c r="CB79" s="117" t="n">
        <v>14</v>
      </c>
      <c r="CC79" s="115">
        <f>(COUNTIF(BASE01[Columna2804],CB79)*3)</f>
        <v/>
      </c>
      <c r="CD79" s="115">
        <f>(COUNTIF(BASE01[Columna2815],CB79)*2)</f>
        <v/>
      </c>
      <c r="CE79" s="115">
        <f>COUNTIF(BASE01[Columna28126],CB79)</f>
        <v/>
      </c>
      <c r="CF79" s="118">
        <f>SUM(CC79,CD79,CE79)</f>
        <v/>
      </c>
      <c r="CG79" s="105" t="n"/>
      <c r="CH79" s="105" t="n"/>
      <c r="DO79" s="393">
        <f>IF(DP79="","",$DO$59)</f>
        <v/>
      </c>
      <c r="DP79" s="396" t="n"/>
      <c r="DQ79" s="396" t="n"/>
      <c r="DR79" s="396" t="n"/>
      <c r="EG79" s="393">
        <f>IF(EH79="","",$EG$59)</f>
        <v/>
      </c>
      <c r="EH79" s="396" t="n"/>
      <c r="EI79" s="396" t="n"/>
      <c r="EJ79" s="396" t="n"/>
    </row>
    <row r="80" ht="20.1" customFormat="1" customHeight="1" s="112">
      <c r="B80" s="104" t="n"/>
      <c r="C80" s="105" t="n"/>
      <c r="D80" s="105" t="n"/>
      <c r="E80" s="105" t="n"/>
      <c r="F80" s="105" t="n"/>
      <c r="G80" s="105" t="n">
        <v>1</v>
      </c>
      <c r="H80" s="105" t="n"/>
      <c r="I80" s="105" t="n"/>
      <c r="J80" s="105" t="n"/>
      <c r="K80" s="105" t="n"/>
      <c r="L80" s="105" t="n">
        <v>2</v>
      </c>
      <c r="M80" s="105" t="n"/>
      <c r="N80" s="105" t="n"/>
      <c r="O80" s="105" t="n"/>
      <c r="P80" s="105" t="n"/>
      <c r="Q80" s="105" t="n">
        <v>3</v>
      </c>
      <c r="R80" s="105" t="n"/>
      <c r="S80" s="105" t="n"/>
      <c r="T80" s="105" t="n"/>
      <c r="U80" s="105" t="n"/>
      <c r="V80" s="105" t="n">
        <v>4</v>
      </c>
      <c r="W80" s="105" t="n"/>
      <c r="X80" s="105" t="n"/>
      <c r="Y80" s="105" t="n"/>
      <c r="Z80" s="105" t="n"/>
      <c r="AA80" s="105" t="n">
        <v>5</v>
      </c>
      <c r="AB80" s="105" t="n"/>
      <c r="AC80" s="105" t="n"/>
      <c r="AD80" s="105" t="n"/>
      <c r="AE80" s="105" t="n"/>
      <c r="AF80" s="105" t="n">
        <v>6</v>
      </c>
      <c r="AG80" s="105" t="n"/>
      <c r="AH80" s="105" t="n"/>
      <c r="AI80" s="105" t="n"/>
      <c r="AJ80" s="105" t="n"/>
      <c r="AK80" s="105" t="n">
        <v>7</v>
      </c>
      <c r="AL80" s="105" t="n"/>
      <c r="AM80" s="105" t="n"/>
      <c r="AN80" s="105" t="n"/>
      <c r="AO80" s="105" t="n"/>
      <c r="AP80" s="105" t="n">
        <v>8</v>
      </c>
      <c r="AQ80" s="105" t="n"/>
      <c r="AR80" s="105" t="n"/>
      <c r="AS80" s="105" t="n"/>
      <c r="AT80" s="105" t="n"/>
      <c r="AU80" s="105" t="n">
        <v>9</v>
      </c>
      <c r="AV80" s="105" t="n"/>
      <c r="AW80" s="105" t="n"/>
      <c r="AX80" s="105" t="n"/>
      <c r="AY80" s="105" t="n"/>
      <c r="AZ80" s="105" t="n">
        <v>10</v>
      </c>
      <c r="BA80" s="105" t="n"/>
      <c r="BB80" s="105" t="n"/>
      <c r="BC80" s="105" t="n"/>
      <c r="BD80" s="105" t="n"/>
      <c r="BE80" s="105" t="n">
        <v>11</v>
      </c>
      <c r="BF80" s="105" t="n"/>
      <c r="BG80" s="119" t="n"/>
      <c r="BH80" s="105" t="n"/>
      <c r="BI80" s="105" t="n"/>
      <c r="BJ80" s="105" t="n">
        <v>12</v>
      </c>
      <c r="BK80" s="105" t="n"/>
      <c r="BL80" s="119" t="n"/>
      <c r="BM80" s="105" t="n"/>
      <c r="BN80" s="105" t="n"/>
      <c r="BO80" s="105" t="n">
        <v>13</v>
      </c>
      <c r="BP80" s="105" t="n"/>
      <c r="BQ80" s="105" t="n"/>
      <c r="BR80" s="105" t="n"/>
      <c r="BS80" s="105" t="n"/>
      <c r="BT80" s="105" t="n">
        <v>14</v>
      </c>
      <c r="BU80" s="105" t="n"/>
      <c r="BV80" s="105" t="n"/>
      <c r="BW80" s="105" t="n"/>
      <c r="BX80" s="105" t="n"/>
      <c r="BY80" s="105" t="n">
        <v>15</v>
      </c>
      <c r="BZ80" s="105" t="n"/>
      <c r="CA80" s="105" t="n"/>
      <c r="CB80" s="105" t="n"/>
      <c r="CC80" s="105" t="n"/>
      <c r="CD80" s="105" t="n">
        <v>16</v>
      </c>
      <c r="CE80" s="105" t="n"/>
      <c r="CF80" s="105" t="n"/>
      <c r="CG80" s="105" t="n"/>
      <c r="CH80" s="105" t="n"/>
      <c r="DO80" s="393">
        <f>IF(DP80="","",$DO$59)</f>
        <v/>
      </c>
      <c r="DP80" s="393" t="n"/>
      <c r="DQ80" s="393" t="n"/>
      <c r="DR80" s="393" t="n"/>
      <c r="EG80" s="393">
        <f>IF(EH80="","",$EG$59)</f>
        <v/>
      </c>
      <c r="EH80" s="396" t="n"/>
      <c r="EI80" s="396" t="n"/>
      <c r="EJ80" s="396" t="n"/>
    </row>
    <row r="81" ht="15.75" customHeight="1" s="568" thickBot="1">
      <c r="B81" s="104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  <c r="Z81" s="105" t="n"/>
      <c r="AA81" s="105" t="n"/>
      <c r="AB81" s="105" t="n"/>
      <c r="AC81" s="105" t="n"/>
      <c r="AD81" s="105" t="n"/>
      <c r="AE81" s="105" t="n"/>
      <c r="AF81" s="105" t="n"/>
      <c r="AG81" s="105" t="n"/>
      <c r="AH81" s="105" t="n"/>
      <c r="AI81" s="105" t="n"/>
      <c r="AJ81" s="105" t="n"/>
      <c r="AK81" s="105" t="n"/>
      <c r="AL81" s="105" t="n"/>
      <c r="AM81" s="105" t="n"/>
      <c r="AN81" s="105" t="n"/>
      <c r="AO81" s="105" t="n"/>
      <c r="AP81" s="105" t="n"/>
      <c r="AQ81" s="105" t="n"/>
      <c r="AR81" s="105" t="n"/>
      <c r="AS81" s="105" t="n"/>
      <c r="AT81" s="105" t="n"/>
      <c r="AU81" s="105" t="n"/>
      <c r="AV81" s="105" t="n"/>
      <c r="AW81" s="105" t="n"/>
      <c r="AX81" s="105" t="n"/>
      <c r="AY81" s="105" t="n"/>
      <c r="AZ81" s="105" t="n"/>
      <c r="BA81" s="105" t="n"/>
      <c r="BB81" s="105" t="n"/>
      <c r="BC81" s="105" t="n"/>
      <c r="BD81" s="105" t="n"/>
      <c r="BE81" s="105" t="n"/>
      <c r="BF81" s="105" t="n"/>
      <c r="BG81" s="119" t="n"/>
      <c r="BH81" s="105" t="n"/>
      <c r="BI81" s="105" t="n"/>
      <c r="BJ81" s="105" t="n"/>
      <c r="BK81" s="105" t="n"/>
      <c r="BL81" s="119" t="n"/>
      <c r="BM81" s="105" t="n"/>
      <c r="BN81" s="105" t="n"/>
      <c r="BO81" s="105" t="n"/>
      <c r="BP81" s="105" t="n"/>
      <c r="BQ81" s="105" t="n"/>
      <c r="BR81" s="105" t="n"/>
      <c r="BS81" s="105" t="n"/>
      <c r="BT81" s="105" t="n"/>
      <c r="BU81" s="105" t="n"/>
      <c r="BV81" s="105" t="n"/>
      <c r="BW81" s="105" t="n"/>
      <c r="BX81" s="105" t="n"/>
      <c r="BY81" s="105" t="n"/>
      <c r="BZ81" s="105" t="n"/>
      <c r="CA81" s="105" t="n"/>
      <c r="CB81" s="105" t="n"/>
      <c r="CC81" s="105" t="n"/>
      <c r="CD81" s="105" t="n"/>
      <c r="CE81" s="105" t="n"/>
      <c r="CF81" s="105" t="n"/>
      <c r="CG81" s="105" t="n"/>
      <c r="CH81" s="105" t="n"/>
      <c r="DA81" s="112" t="n"/>
      <c r="DO81" s="393">
        <f>IF(DP81="","",$DO$59)</f>
        <v/>
      </c>
      <c r="EG81" s="393">
        <f>IF(EH81="","",$EG$59)</f>
        <v/>
      </c>
      <c r="EH81" s="393" t="n"/>
      <c r="EI81" s="393" t="n"/>
      <c r="EJ81" s="393" t="n"/>
    </row>
    <row r="82" ht="36" customHeight="1" s="568">
      <c r="A82" s="3" t="n"/>
      <c r="B82" s="120" t="n"/>
      <c r="C82" s="121" t="n"/>
      <c r="D82" s="122" t="n"/>
      <c r="E82" s="122" t="n"/>
      <c r="F82" s="122" t="n"/>
      <c r="G82" s="122" t="n"/>
      <c r="H82" s="122" t="n"/>
      <c r="I82" s="121" t="n"/>
      <c r="J82" s="121" t="inlineStr">
        <is>
          <t>CATEDRA PRONOSTICADORES GANADORES Y PULSO RHD</t>
        </is>
      </c>
      <c r="K82" s="121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  <c r="X82" s="122" t="n"/>
      <c r="Y82" s="122" t="n"/>
      <c r="Z82" s="122" t="n"/>
      <c r="AA82" s="122" t="n"/>
      <c r="AB82" s="122" t="n"/>
      <c r="AC82" s="122" t="n"/>
      <c r="AD82" s="122" t="n"/>
      <c r="AE82" s="121" t="n"/>
      <c r="AF82" s="123" t="n"/>
      <c r="AG82" s="121" t="inlineStr">
        <is>
          <t>DOMINGO</t>
        </is>
      </c>
      <c r="AH82" s="123" t="n"/>
      <c r="AI82" s="123" t="n"/>
      <c r="AJ82" s="121" t="n"/>
      <c r="AK82" s="123" t="n"/>
      <c r="AL82" s="124">
        <f>D3</f>
        <v/>
      </c>
      <c r="AM82" s="122" t="n"/>
      <c r="AN82" s="122" t="n"/>
      <c r="AO82" s="122" t="n"/>
      <c r="AP82" s="122" t="n"/>
      <c r="AQ82" s="122" t="n"/>
      <c r="AR82" s="122" t="n"/>
      <c r="AS82" s="122" t="n"/>
      <c r="AT82" s="122" t="n"/>
      <c r="AU82" s="122" t="n"/>
      <c r="AV82" s="122" t="n"/>
      <c r="AW82" s="122" t="n"/>
      <c r="AX82" s="125" t="n"/>
      <c r="AY82" s="122" t="n"/>
      <c r="AZ82" s="122" t="n"/>
      <c r="BA82" s="122" t="n"/>
      <c r="BB82" s="122" t="n"/>
      <c r="BC82" s="122" t="n"/>
      <c r="BD82" s="122" t="n"/>
      <c r="BE82" s="122" t="n"/>
      <c r="BF82" s="126" t="n"/>
      <c r="BG82" s="125" t="n"/>
      <c r="BH82" s="122" t="n"/>
      <c r="BI82" s="122" t="n"/>
      <c r="BJ82" s="122" t="n"/>
      <c r="BK82" s="122" t="n"/>
      <c r="BL82" s="122" t="n"/>
      <c r="BM82" s="122" t="n"/>
      <c r="BN82" s="122" t="n"/>
      <c r="BO82" s="126" t="n"/>
      <c r="BP82" s="125" t="n"/>
      <c r="BQ82" s="105" t="n"/>
      <c r="BR82" s="105" t="n"/>
      <c r="BS82" s="105" t="n"/>
      <c r="BT82" s="105" t="n"/>
      <c r="BU82" s="105" t="n"/>
      <c r="BV82" s="105" t="n"/>
      <c r="BW82" s="105" t="n"/>
      <c r="BX82" s="105" t="n"/>
      <c r="BY82" s="105" t="n"/>
      <c r="BZ82" s="105" t="n"/>
      <c r="CA82" s="105" t="n"/>
      <c r="CB82" s="105" t="n"/>
      <c r="CC82" s="105" t="n"/>
      <c r="CD82" s="105" t="n"/>
      <c r="CE82" s="105" t="n"/>
      <c r="CF82" s="105" t="n"/>
      <c r="CG82" s="105" t="n"/>
      <c r="DO82" s="393">
        <f>IF(DP82="","",$DO$59)</f>
        <v/>
      </c>
      <c r="EG82" s="393">
        <f>IF(EH82="","",$EG$59)</f>
        <v/>
      </c>
      <c r="EH82" s="393" t="n"/>
      <c r="EI82" s="393" t="n"/>
      <c r="EJ82" s="393" t="n"/>
    </row>
    <row r="83" ht="36" customHeight="1" s="568">
      <c r="A83" s="3" t="n"/>
      <c r="B83" s="609">
        <f>E4</f>
        <v/>
      </c>
      <c r="C83" s="184" t="n"/>
      <c r="D83" s="184" t="n"/>
      <c r="E83" s="185" t="n"/>
      <c r="F83" s="610">
        <f>J4</f>
        <v/>
      </c>
      <c r="G83" s="187" t="n"/>
      <c r="H83" s="187" t="n"/>
      <c r="I83" s="187" t="n"/>
      <c r="J83" s="187" t="n"/>
      <c r="K83" s="187" t="n"/>
      <c r="L83" s="187" t="n"/>
      <c r="M83" s="187" t="n"/>
      <c r="N83" s="188" t="n"/>
      <c r="O83" s="610">
        <f>O4</f>
        <v/>
      </c>
      <c r="P83" s="187" t="n"/>
      <c r="Q83" s="187" t="n"/>
      <c r="R83" s="187" t="n"/>
      <c r="S83" s="187" t="n"/>
      <c r="T83" s="187" t="n"/>
      <c r="U83" s="187" t="n"/>
      <c r="V83" s="187" t="n"/>
      <c r="W83" s="188" t="n"/>
      <c r="X83" s="610">
        <f>T4</f>
        <v/>
      </c>
      <c r="Y83" s="187" t="n"/>
      <c r="Z83" s="187" t="n"/>
      <c r="AA83" s="187" t="n"/>
      <c r="AB83" s="187" t="n"/>
      <c r="AC83" s="187" t="n"/>
      <c r="AD83" s="187" t="n"/>
      <c r="AE83" s="187" t="n"/>
      <c r="AF83" s="188" t="n"/>
      <c r="AG83" s="610">
        <f>Y4</f>
        <v/>
      </c>
      <c r="AH83" s="187" t="n"/>
      <c r="AI83" s="187" t="n"/>
      <c r="AJ83" s="187" t="n"/>
      <c r="AK83" s="187" t="n"/>
      <c r="AL83" s="187" t="n"/>
      <c r="AM83" s="187" t="n"/>
      <c r="AN83" s="187" t="n"/>
      <c r="AO83" s="188" t="n"/>
      <c r="AP83" s="610">
        <f>AD4</f>
        <v/>
      </c>
      <c r="AQ83" s="187" t="n"/>
      <c r="AR83" s="187" t="n"/>
      <c r="AS83" s="187" t="n"/>
      <c r="AT83" s="187" t="n"/>
      <c r="AU83" s="187" t="n"/>
      <c r="AV83" s="187" t="n"/>
      <c r="AW83" s="187" t="n"/>
      <c r="AX83" s="188" t="n"/>
      <c r="AY83" s="610">
        <f>AI4</f>
        <v/>
      </c>
      <c r="AZ83" s="187" t="n"/>
      <c r="BA83" s="187" t="n"/>
      <c r="BB83" s="187" t="n"/>
      <c r="BC83" s="187" t="n"/>
      <c r="BD83" s="187" t="n"/>
      <c r="BE83" s="187" t="n"/>
      <c r="BF83" s="187" t="n"/>
      <c r="BG83" s="188" t="n"/>
      <c r="BH83" s="610">
        <f>AN4</f>
        <v/>
      </c>
      <c r="BI83" s="187" t="n"/>
      <c r="BJ83" s="187" t="n"/>
      <c r="BK83" s="187" t="n"/>
      <c r="BL83" s="187" t="n"/>
      <c r="BM83" s="187" t="n"/>
      <c r="BN83" s="187" t="n"/>
      <c r="BO83" s="187" t="n"/>
      <c r="BP83" s="188" t="n"/>
      <c r="BQ83" s="178" t="n"/>
      <c r="BR83" s="178" t="n"/>
      <c r="BS83" s="178" t="n"/>
      <c r="BT83" s="178" t="n"/>
      <c r="BU83" s="178" t="n"/>
      <c r="BV83" s="178" t="n"/>
      <c r="BW83" s="178" t="n"/>
      <c r="BX83" s="178" t="n"/>
      <c r="BY83" s="178" t="n"/>
      <c r="BZ83" s="178" t="n"/>
      <c r="CA83" s="178" t="n"/>
      <c r="CB83" s="178" t="n"/>
      <c r="CC83" s="178" t="n"/>
      <c r="CD83" s="178" t="n"/>
      <c r="CE83" s="178" t="n"/>
      <c r="CF83" s="178" t="n"/>
      <c r="CG83" s="178" t="n"/>
      <c r="EG83" s="393">
        <f>IF(EH83="","",$EG$59)</f>
        <v/>
      </c>
      <c r="EH83" s="393" t="n"/>
      <c r="EI83" s="393" t="n"/>
      <c r="EJ83" s="393" t="n"/>
    </row>
    <row r="84" ht="30" customHeight="1" s="568">
      <c r="A84" s="3" t="n"/>
      <c r="B84" s="127" t="inlineStr">
        <is>
          <t>N°</t>
        </is>
      </c>
      <c r="C84" s="129" t="inlineStr">
        <is>
          <t>EJEMPLAR</t>
        </is>
      </c>
      <c r="D84" s="129" t="n"/>
      <c r="E84" s="128" t="inlineStr">
        <is>
          <t>PTS</t>
        </is>
      </c>
      <c r="F84" s="127" t="inlineStr">
        <is>
          <t>N°</t>
        </is>
      </c>
      <c r="G84" s="129" t="inlineStr">
        <is>
          <t>EJEMPLAR</t>
        </is>
      </c>
      <c r="H84" s="129" t="n"/>
      <c r="I84" s="129" t="n"/>
      <c r="J84" s="129" t="n"/>
      <c r="K84" s="129" t="n"/>
      <c r="L84" s="129" t="n"/>
      <c r="M84" s="129" t="n"/>
      <c r="N84" s="128" t="inlineStr">
        <is>
          <t>PTS</t>
        </is>
      </c>
      <c r="O84" s="127" t="inlineStr">
        <is>
          <t>N°</t>
        </is>
      </c>
      <c r="P84" s="129" t="inlineStr">
        <is>
          <t>EJEMPLAR</t>
        </is>
      </c>
      <c r="Q84" s="129" t="n"/>
      <c r="R84" s="129" t="n"/>
      <c r="S84" s="129" t="n"/>
      <c r="T84" s="129" t="n"/>
      <c r="U84" s="129" t="n"/>
      <c r="V84" s="129" t="n"/>
      <c r="W84" s="128" t="inlineStr">
        <is>
          <t>PTS</t>
        </is>
      </c>
      <c r="X84" s="127" t="inlineStr">
        <is>
          <t>N°</t>
        </is>
      </c>
      <c r="Y84" s="129" t="inlineStr">
        <is>
          <t>EJEMPLAR</t>
        </is>
      </c>
      <c r="Z84" s="129" t="n"/>
      <c r="AA84" s="129" t="n"/>
      <c r="AB84" s="129" t="n"/>
      <c r="AC84" s="129" t="n"/>
      <c r="AD84" s="129" t="n"/>
      <c r="AE84" s="129" t="n"/>
      <c r="AF84" s="128" t="inlineStr">
        <is>
          <t>PTS</t>
        </is>
      </c>
      <c r="AG84" s="127" t="inlineStr">
        <is>
          <t>N°</t>
        </is>
      </c>
      <c r="AH84" s="129" t="inlineStr">
        <is>
          <t>EJEMPLAR</t>
        </is>
      </c>
      <c r="AI84" s="129" t="n"/>
      <c r="AJ84" s="129" t="n"/>
      <c r="AK84" s="129" t="n"/>
      <c r="AL84" s="129" t="n"/>
      <c r="AM84" s="129" t="n"/>
      <c r="AN84" s="129" t="n"/>
      <c r="AO84" s="128" t="inlineStr">
        <is>
          <t>PTS</t>
        </is>
      </c>
      <c r="AP84" s="127" t="inlineStr">
        <is>
          <t>N°</t>
        </is>
      </c>
      <c r="AQ84" s="129" t="inlineStr">
        <is>
          <t>EJEMPLAR</t>
        </is>
      </c>
      <c r="AR84" s="129" t="n"/>
      <c r="AS84" s="129" t="n"/>
      <c r="AT84" s="129" t="n"/>
      <c r="AU84" s="129" t="n"/>
      <c r="AV84" s="129" t="n"/>
      <c r="AW84" s="129" t="n"/>
      <c r="AX84" s="128" t="inlineStr">
        <is>
          <t>PTS</t>
        </is>
      </c>
      <c r="AY84" s="127" t="inlineStr">
        <is>
          <t>N°</t>
        </is>
      </c>
      <c r="AZ84" s="129" t="inlineStr">
        <is>
          <t>EJEMPLAR</t>
        </is>
      </c>
      <c r="BA84" s="129" t="n"/>
      <c r="BB84" s="129" t="n"/>
      <c r="BC84" s="129" t="n"/>
      <c r="BD84" s="129" t="n"/>
      <c r="BE84" s="129" t="n"/>
      <c r="BF84" s="129" t="n"/>
      <c r="BG84" s="128" t="inlineStr">
        <is>
          <t>PTS</t>
        </is>
      </c>
      <c r="BH84" s="127" t="inlineStr">
        <is>
          <t>N°</t>
        </is>
      </c>
      <c r="BI84" s="129" t="inlineStr">
        <is>
          <t>EJEMPLAR</t>
        </is>
      </c>
      <c r="BJ84" s="129" t="n"/>
      <c r="BK84" s="129" t="n"/>
      <c r="BL84" s="129" t="n"/>
      <c r="BM84" s="129" t="n"/>
      <c r="BN84" s="129" t="n"/>
      <c r="BO84" s="129" t="n"/>
      <c r="BP84" s="128" t="inlineStr">
        <is>
          <t>PTS</t>
        </is>
      </c>
      <c r="BQ84" s="105" t="n"/>
      <c r="BR84" s="105" t="n"/>
      <c r="BS84" s="105" t="n"/>
      <c r="BT84" s="105" t="n"/>
      <c r="BU84" s="105" t="n"/>
      <c r="BV84" s="105" t="n"/>
      <c r="BW84" s="105" t="n"/>
      <c r="BX84" s="105" t="n"/>
      <c r="BY84" s="105" t="n"/>
      <c r="BZ84" s="105" t="n"/>
      <c r="CA84" s="105" t="n"/>
      <c r="CB84" s="105" t="n"/>
      <c r="CC84" s="105" t="n"/>
      <c r="CD84" s="105" t="n"/>
      <c r="CE84" s="105" t="n"/>
      <c r="CF84" s="105" t="n"/>
      <c r="CG84" s="105" t="n"/>
      <c r="EG84" s="393">
        <f>IF(EH84="","",$EG$59)</f>
        <v/>
      </c>
      <c r="EH84" s="393" t="n"/>
      <c r="EI84" s="393" t="n"/>
      <c r="EJ84" s="393" t="n"/>
    </row>
    <row r="85" ht="30" customHeight="1" s="568">
      <c r="A85" s="3" t="n"/>
      <c r="B85" s="130">
        <f>E66</f>
        <v/>
      </c>
      <c r="C85" s="177">
        <f t="array" ref="C85">_xlfn._xlws.FILTER('[1]ALFABETICO SEM'!$M$1:$M$196, ('[1]ALFABETICO SEM'!$L$1:$L$196 = $B$83) * ('[1]ALFABETICO SEM'!$N$1:$N$196 = B85), " - ")</f>
        <v/>
      </c>
      <c r="D85" s="105" t="n"/>
      <c r="E85" s="131">
        <f>I66</f>
        <v/>
      </c>
      <c r="F85" s="130">
        <f>J66</f>
        <v/>
      </c>
      <c r="G85" s="177">
        <f t="array" ref="G85">_xlfn._xlws.FILTER('[1]ALFABETICO SEM'!$M$1:$M$196, ('[1]ALFABETICO SEM'!$L$1:$L$196 = $F$83) * ('[1]ALFABETICO SEM'!$N$1:$N$196 = F85), " - ")</f>
        <v/>
      </c>
      <c r="H85" s="178" t="n"/>
      <c r="I85" s="178" t="n"/>
      <c r="J85" s="178" t="n"/>
      <c r="K85" s="178" t="n"/>
      <c r="L85" s="178" t="n"/>
      <c r="M85" s="178" t="n"/>
      <c r="N85" s="131">
        <f>N66</f>
        <v/>
      </c>
      <c r="O85" s="130">
        <f>O66</f>
        <v/>
      </c>
      <c r="P85" s="177">
        <f t="array" ref="P85">_xlfn._xlws.FILTER('[1]ALFABETICO SEM'!$M$1:$M$196, ('[1]ALFABETICO SEM'!$L$1:$L$196 = O$83) * ('[1]ALFABETICO SEM'!$N$1:$N$196 = O85), " - ")</f>
        <v/>
      </c>
      <c r="Q85" s="178" t="n"/>
      <c r="R85" s="178" t="n"/>
      <c r="S85" s="178" t="n"/>
      <c r="T85" s="178" t="n"/>
      <c r="U85" s="178" t="n"/>
      <c r="V85" s="178" t="n"/>
      <c r="W85" s="131">
        <f>S66</f>
        <v/>
      </c>
      <c r="X85" s="130">
        <f>T66</f>
        <v/>
      </c>
      <c r="Y85" s="177">
        <f t="array" ref="Y85">_xlfn._xlws.FILTER('[1]ALFABETICO SEM'!$M$1:$M$196, ('[1]ALFABETICO SEM'!$L$1:$L$196 = X$83) * ('[1]ALFABETICO SEM'!$N$1:$N$196 = X85), " - ")</f>
        <v/>
      </c>
      <c r="Z85" s="144" t="n"/>
      <c r="AA85" s="144" t="n"/>
      <c r="AB85" s="144" t="n"/>
      <c r="AC85" s="144" t="n"/>
      <c r="AD85" s="144" t="n"/>
      <c r="AE85" s="144" t="n"/>
      <c r="AF85" s="143">
        <f>X66</f>
        <v/>
      </c>
      <c r="AG85" s="130">
        <f>Y66</f>
        <v/>
      </c>
      <c r="AH85" s="177">
        <f t="array" ref="AH85">_xlfn._xlws.FILTER('[1]ALFABETICO SEM'!$M$1:$M$196, ('[1]ALFABETICO SEM'!$L$1:$L$196 = AG$83) * ('[1]ALFABETICO SEM'!$N$1:$N$196 = AG85), " - ")</f>
        <v/>
      </c>
      <c r="AI85" s="144" t="n"/>
      <c r="AJ85" s="144" t="n"/>
      <c r="AK85" s="144" t="n"/>
      <c r="AL85" s="144" t="n"/>
      <c r="AM85" s="144" t="n"/>
      <c r="AN85" s="144" t="n"/>
      <c r="AO85" s="143">
        <f>AC66</f>
        <v/>
      </c>
      <c r="AP85" s="130">
        <f>AD66</f>
        <v/>
      </c>
      <c r="AQ85" s="177">
        <f t="array" ref="AQ85">_xlfn._xlws.FILTER('[1]ALFABETICO SEM'!$M$1:$M$196, ('[1]ALFABETICO SEM'!$L$1:$L$196 = AP$83) * ('[1]ALFABETICO SEM'!$N$1:$N$196 = AP85), " - ")</f>
        <v/>
      </c>
      <c r="AR85" s="178" t="n"/>
      <c r="AS85" s="178" t="n"/>
      <c r="AT85" s="178" t="n"/>
      <c r="AU85" s="178" t="n"/>
      <c r="AV85" s="178" t="n"/>
      <c r="AW85" s="178" t="n"/>
      <c r="AX85" s="131">
        <f>AH66</f>
        <v/>
      </c>
      <c r="AY85" s="130">
        <f>AI66</f>
        <v/>
      </c>
      <c r="AZ85" s="177">
        <f t="array" ref="AZ85">_xlfn._xlws.FILTER('[1]ALFABETICO SEM'!$M$1:$M$196, ('[1]ALFABETICO SEM'!$L$1:$L$196 = AY$83) * ('[1]ALFABETICO SEM'!$N$1:$N$196 = AY85), " - ")</f>
        <v/>
      </c>
      <c r="BA85" s="144" t="n"/>
      <c r="BB85" s="144" t="n"/>
      <c r="BC85" s="144" t="n"/>
      <c r="BD85" s="144" t="n"/>
      <c r="BE85" s="144" t="n"/>
      <c r="BF85" s="144" t="n"/>
      <c r="BG85" s="143">
        <f>AM66</f>
        <v/>
      </c>
      <c r="BH85" s="130">
        <f>AN66</f>
        <v/>
      </c>
      <c r="BI85" s="177">
        <f t="array" ref="BI85">_xlfn._xlws.FILTER('[1]ALFABETICO SEM'!$M$1:$M$196, ('[1]ALFABETICO SEM'!$L$1:$L$196 = BH$83) * ('[1]ALFABETICO SEM'!$N$1:$N$196 = BH85), " - ")</f>
        <v/>
      </c>
      <c r="BJ85" s="144" t="n"/>
      <c r="BK85" s="144" t="n"/>
      <c r="BL85" s="144" t="n"/>
      <c r="BM85" s="144" t="n"/>
      <c r="BN85" s="144" t="n"/>
      <c r="BO85" s="144" t="n"/>
      <c r="BP85" s="143">
        <f>AR66</f>
        <v/>
      </c>
      <c r="BQ85" s="105" t="n"/>
      <c r="BR85" s="105" t="n"/>
      <c r="BS85" s="105" t="n"/>
      <c r="BT85" s="105" t="n"/>
      <c r="BU85" s="105" t="n"/>
      <c r="BV85" s="105" t="n"/>
      <c r="BW85" s="105" t="n"/>
      <c r="BX85" s="105" t="n"/>
      <c r="BY85" s="105" t="n"/>
      <c r="BZ85" s="105" t="n"/>
      <c r="CA85" s="105" t="n"/>
      <c r="CB85" s="105" t="n"/>
      <c r="CC85" s="105" t="n"/>
      <c r="CD85" s="105" t="n"/>
      <c r="CE85" s="105" t="n"/>
      <c r="CF85" s="105" t="n"/>
      <c r="CG85" s="105" t="n"/>
      <c r="EG85" s="393">
        <f>IF(EH85="","",$EG$59)</f>
        <v/>
      </c>
      <c r="EH85" s="393" t="n"/>
      <c r="EI85" s="393" t="n"/>
      <c r="EJ85" s="393" t="n"/>
    </row>
    <row r="86" ht="30" customHeight="1" s="568">
      <c r="A86" s="3" t="n"/>
      <c r="B86" s="130">
        <f>E67</f>
        <v/>
      </c>
      <c r="C86" s="177">
        <f t="array" ref="C86">_xlfn._xlws.FILTER('[1]ALFABETICO SEM'!$M$1:$M$196, ('[1]ALFABETICO SEM'!$L$1:$L$196 = $B$83) * ('[1]ALFABETICO SEM'!$N$1:$N$196 = B86), " - ")</f>
        <v/>
      </c>
      <c r="D86" s="105" t="n"/>
      <c r="E86" s="131">
        <f>I67</f>
        <v/>
      </c>
      <c r="F86" s="130">
        <f>J67</f>
        <v/>
      </c>
      <c r="G86" s="177">
        <f t="array" ref="G86">_xlfn._xlws.FILTER('[1]ALFABETICO SEM'!$M$1:$M$196, ('[1]ALFABETICO SEM'!$L$1:$L$196 = $F$83) * ('[1]ALFABETICO SEM'!$N$1:$N$196 = F86), " - ")</f>
        <v/>
      </c>
      <c r="H86" s="144" t="n"/>
      <c r="I86" s="144" t="n"/>
      <c r="J86" s="144" t="n"/>
      <c r="K86" s="144" t="n"/>
      <c r="L86" s="144" t="n"/>
      <c r="M86" s="144" t="n"/>
      <c r="N86" s="143">
        <f>N67</f>
        <v/>
      </c>
      <c r="O86" s="130">
        <f>O67</f>
        <v/>
      </c>
      <c r="P86" s="177">
        <f t="array" ref="P86">_xlfn._xlws.FILTER('[1]ALFABETICO SEM'!$M$1:$M$196, ('[1]ALFABETICO SEM'!$L$1:$L$196 = O$83) * ('[1]ALFABETICO SEM'!$N$1:$N$196 = O86), " - ")</f>
        <v/>
      </c>
      <c r="Q86" s="178" t="n"/>
      <c r="R86" s="178" t="n"/>
      <c r="S86" s="178" t="n"/>
      <c r="T86" s="178" t="n"/>
      <c r="U86" s="178" t="n"/>
      <c r="V86" s="178" t="n"/>
      <c r="W86" s="131">
        <f>S67</f>
        <v/>
      </c>
      <c r="X86" s="130">
        <f>T67</f>
        <v/>
      </c>
      <c r="Y86" s="177">
        <f t="array" ref="Y86">_xlfn._xlws.FILTER('[1]ALFABETICO SEM'!$M$1:$M$196, ('[1]ALFABETICO SEM'!$L$1:$L$196 = X$83) * ('[1]ALFABETICO SEM'!$N$1:$N$196 = X86), " - ")</f>
        <v/>
      </c>
      <c r="Z86" s="178" t="n"/>
      <c r="AA86" s="178" t="n"/>
      <c r="AB86" s="178" t="n"/>
      <c r="AC86" s="178" t="n"/>
      <c r="AD86" s="178" t="n"/>
      <c r="AE86" s="178" t="n"/>
      <c r="AF86" s="131">
        <f>X67</f>
        <v/>
      </c>
      <c r="AG86" s="130">
        <f>Y67</f>
        <v/>
      </c>
      <c r="AH86" s="177">
        <f t="array" ref="AH86">_xlfn._xlws.FILTER('[1]ALFABETICO SEM'!$M$1:$M$196, ('[1]ALFABETICO SEM'!$L$1:$L$196 = AG$83) * ('[1]ALFABETICO SEM'!$N$1:$N$196 = AG86), " - ")</f>
        <v/>
      </c>
      <c r="AI86" s="178" t="n"/>
      <c r="AJ86" s="178" t="n"/>
      <c r="AK86" s="178" t="n"/>
      <c r="AL86" s="178" t="n"/>
      <c r="AM86" s="178" t="n"/>
      <c r="AN86" s="178" t="n"/>
      <c r="AO86" s="131">
        <f>AC67</f>
        <v/>
      </c>
      <c r="AP86" s="130">
        <f>AD67</f>
        <v/>
      </c>
      <c r="AQ86" s="177">
        <f t="array" ref="AQ86">_xlfn._xlws.FILTER('[1]ALFABETICO SEM'!$M$1:$M$196, ('[1]ALFABETICO SEM'!$L$1:$L$196 = AP$83) * ('[1]ALFABETICO SEM'!$N$1:$N$196 = AP86), " - ")</f>
        <v/>
      </c>
      <c r="AR86" s="144" t="n"/>
      <c r="AS86" s="144" t="n"/>
      <c r="AT86" s="144" t="n"/>
      <c r="AU86" s="144" t="n"/>
      <c r="AV86" s="144" t="n"/>
      <c r="AW86" s="144" t="n"/>
      <c r="AX86" s="143">
        <f>AH67</f>
        <v/>
      </c>
      <c r="AY86" s="130">
        <f>AI67</f>
        <v/>
      </c>
      <c r="AZ86" s="177">
        <f t="array" ref="AZ86">_xlfn._xlws.FILTER('[1]ALFABETICO SEM'!$M$1:$M$196, ('[1]ALFABETICO SEM'!$L$1:$L$196 = AY$83) * ('[1]ALFABETICO SEM'!$N$1:$N$196 = AY86), " - ")</f>
        <v/>
      </c>
      <c r="BA86" s="178" t="n"/>
      <c r="BB86" s="178" t="n"/>
      <c r="BC86" s="178" t="n"/>
      <c r="BD86" s="178" t="n"/>
      <c r="BE86" s="178" t="n"/>
      <c r="BF86" s="178" t="n"/>
      <c r="BG86" s="131">
        <f>AM67</f>
        <v/>
      </c>
      <c r="BH86" s="130">
        <f>AN67</f>
        <v/>
      </c>
      <c r="BI86" s="177">
        <f t="array" ref="BI86">_xlfn._xlws.FILTER('[1]ALFABETICO SEM'!$M$1:$M$196, ('[1]ALFABETICO SEM'!$L$1:$L$196 = BH$83) * ('[1]ALFABETICO SEM'!$N$1:$N$196 = BH86), " - ")</f>
        <v/>
      </c>
      <c r="BJ86" s="178" t="n"/>
      <c r="BK86" s="178" t="n"/>
      <c r="BL86" s="178" t="n"/>
      <c r="BM86" s="178" t="n"/>
      <c r="BN86" s="178" t="n"/>
      <c r="BO86" s="178" t="n"/>
      <c r="BP86" s="143">
        <f>AR67</f>
        <v/>
      </c>
      <c r="BQ86" s="105" t="n"/>
      <c r="BR86" s="105" t="n"/>
      <c r="BS86" s="105" t="n"/>
      <c r="BT86" s="105" t="n"/>
      <c r="BU86" s="105" t="n"/>
      <c r="BV86" s="105" t="n"/>
      <c r="BW86" s="105" t="n"/>
      <c r="BX86" s="105" t="n"/>
      <c r="BY86" s="105" t="n"/>
      <c r="BZ86" s="105" t="n"/>
      <c r="CA86" s="105" t="n"/>
      <c r="CB86" s="105" t="n"/>
      <c r="CC86" s="105" t="n"/>
      <c r="CD86" s="105" t="n"/>
      <c r="CE86" s="105" t="n"/>
      <c r="CF86" s="105" t="n"/>
      <c r="CG86" s="105" t="n"/>
      <c r="EG86" s="393">
        <f>IF(EH86="","",$EG$59)</f>
        <v/>
      </c>
      <c r="EH86" s="393" t="n"/>
      <c r="EI86" s="393" t="n"/>
      <c r="EJ86" s="393" t="n"/>
    </row>
    <row r="87" ht="24.75" customHeight="1" s="568">
      <c r="A87" s="3" t="n"/>
      <c r="B87" s="130">
        <f>E68</f>
        <v/>
      </c>
      <c r="C87" s="177">
        <f t="array" ref="C87">_xlfn._xlws.FILTER('[1]ALFABETICO SEM'!$M$1:$M$196, ('[1]ALFABETICO SEM'!$L$1:$L$196 = $B$83) * ('[1]ALFABETICO SEM'!$N$1:$N$196 = B87), " - ")</f>
        <v/>
      </c>
      <c r="D87" s="142" t="n"/>
      <c r="E87" s="143">
        <f>I68</f>
        <v/>
      </c>
      <c r="F87" s="130">
        <f>J68</f>
        <v/>
      </c>
      <c r="G87" s="177">
        <f t="array" ref="G87">_xlfn._xlws.FILTER('[1]ALFABETICO SEM'!$M$1:$M$196, ('[1]ALFABETICO SEM'!$L$1:$L$196 = $F$83) * ('[1]ALFABETICO SEM'!$N$1:$N$196 = F87), " - ")</f>
        <v/>
      </c>
      <c r="H87" s="178" t="n"/>
      <c r="I87" s="178" t="n"/>
      <c r="J87" s="178" t="n"/>
      <c r="K87" s="178" t="n"/>
      <c r="L87" s="178" t="n"/>
      <c r="M87" s="178" t="n"/>
      <c r="N87" s="131">
        <f>N68</f>
        <v/>
      </c>
      <c r="O87" s="130">
        <f>O68</f>
        <v/>
      </c>
      <c r="P87" s="177">
        <f t="array" ref="P87">_xlfn._xlws.FILTER('[1]ALFABETICO SEM'!$M$1:$M$196, ('[1]ALFABETICO SEM'!$L$1:$L$196 = O$83) * ('[1]ALFABETICO SEM'!$N$1:$N$196 = O87), " - ")</f>
        <v/>
      </c>
      <c r="Q87" s="144" t="n"/>
      <c r="R87" s="144" t="n"/>
      <c r="S87" s="144" t="n"/>
      <c r="T87" s="144" t="n"/>
      <c r="U87" s="144" t="n"/>
      <c r="V87" s="144" t="n"/>
      <c r="W87" s="143">
        <f>S68</f>
        <v/>
      </c>
      <c r="X87" s="130">
        <f>T68</f>
        <v/>
      </c>
      <c r="Y87" s="177">
        <f t="array" ref="Y87">_xlfn._xlws.FILTER('[1]ALFABETICO SEM'!$M$1:$M$196, ('[1]ALFABETICO SEM'!$L$1:$L$196 = X$83) * ('[1]ALFABETICO SEM'!$N$1:$N$196 = X87), " - ")</f>
        <v/>
      </c>
      <c r="Z87" s="178" t="n"/>
      <c r="AA87" s="178" t="n"/>
      <c r="AB87" s="178" t="n"/>
      <c r="AC87" s="178" t="n"/>
      <c r="AD87" s="178" t="n"/>
      <c r="AE87" s="178" t="n"/>
      <c r="AF87" s="131">
        <f>X68</f>
        <v/>
      </c>
      <c r="AG87" s="130">
        <f>Y68</f>
        <v/>
      </c>
      <c r="AH87" s="177">
        <f t="array" ref="AH87">_xlfn._xlws.FILTER('[1]ALFABETICO SEM'!$M$1:$M$196, ('[1]ALFABETICO SEM'!$L$1:$L$196 = AG$83) * ('[1]ALFABETICO SEM'!$N$1:$N$196 = AG87), " - ")</f>
        <v/>
      </c>
      <c r="AI87" s="178" t="n"/>
      <c r="AJ87" s="178" t="n"/>
      <c r="AK87" s="178" t="n"/>
      <c r="AL87" s="178" t="n"/>
      <c r="AM87" s="178" t="n"/>
      <c r="AN87" s="178" t="n"/>
      <c r="AO87" s="131">
        <f>AC68</f>
        <v/>
      </c>
      <c r="AP87" s="130">
        <f>AD68</f>
        <v/>
      </c>
      <c r="AQ87" s="177">
        <f t="array" ref="AQ87">_xlfn._xlws.FILTER('[1]ALFABETICO SEM'!$M$1:$M$196, ('[1]ALFABETICO SEM'!$L$1:$L$196 = AP$83) * ('[1]ALFABETICO SEM'!$N$1:$N$196 = AP87), " - ")</f>
        <v/>
      </c>
      <c r="AR87" s="178" t="n"/>
      <c r="AS87" s="178" t="n"/>
      <c r="AT87" s="178" t="n"/>
      <c r="AU87" s="178" t="n"/>
      <c r="AV87" s="178" t="n"/>
      <c r="AW87" s="178" t="n"/>
      <c r="AX87" s="131">
        <f>AH68</f>
        <v/>
      </c>
      <c r="AY87" s="130">
        <f>AI68</f>
        <v/>
      </c>
      <c r="AZ87" s="177">
        <f t="array" ref="AZ87">_xlfn._xlws.FILTER('[1]ALFABETICO SEM'!$M$1:$M$196, ('[1]ALFABETICO SEM'!$L$1:$L$196 = AY$83) * ('[1]ALFABETICO SEM'!$N$1:$N$196 = AY87), " - ")</f>
        <v/>
      </c>
      <c r="BA87" s="178" t="n"/>
      <c r="BB87" s="178" t="n"/>
      <c r="BC87" s="178" t="n"/>
      <c r="BD87" s="178" t="n"/>
      <c r="BE87" s="178" t="n"/>
      <c r="BF87" s="178" t="n"/>
      <c r="BG87" s="131">
        <f>AM68</f>
        <v/>
      </c>
      <c r="BH87" s="130">
        <f>AN68</f>
        <v/>
      </c>
      <c r="BI87" s="177">
        <f t="array" ref="BI87">_xlfn._xlws.FILTER('[1]ALFABETICO SEM'!$M$1:$M$196, ('[1]ALFABETICO SEM'!$L$1:$L$196 = BH$83) * ('[1]ALFABETICO SEM'!$N$1:$N$196 = BH87), " - ")</f>
        <v/>
      </c>
      <c r="BJ87" s="178" t="n"/>
      <c r="BK87" s="178" t="n"/>
      <c r="BL87" s="178" t="n"/>
      <c r="BM87" s="178" t="n"/>
      <c r="BN87" s="178" t="n"/>
      <c r="BO87" s="178" t="n"/>
      <c r="BP87" s="143">
        <f>AR68</f>
        <v/>
      </c>
      <c r="BQ87" s="105" t="n"/>
      <c r="BR87" s="105" t="n"/>
      <c r="BS87" s="105" t="n"/>
      <c r="BT87" s="105" t="n"/>
      <c r="BU87" s="105" t="n"/>
      <c r="BV87" s="105" t="n"/>
      <c r="BW87" s="105" t="n"/>
      <c r="BX87" s="105" t="n"/>
      <c r="BY87" s="105" t="n"/>
      <c r="BZ87" s="105" t="n"/>
      <c r="CA87" s="105" t="n"/>
      <c r="CB87" s="105" t="n"/>
      <c r="CC87" s="105" t="n"/>
      <c r="CD87" s="105" t="n"/>
      <c r="CE87" s="105" t="n"/>
      <c r="CF87" s="105" t="n"/>
      <c r="CG87" s="105" t="n"/>
      <c r="EG87" s="393">
        <f>IF(EH87="","",$EG$59)</f>
        <v/>
      </c>
      <c r="EH87" s="393" t="n"/>
      <c r="EI87" s="393" t="n"/>
      <c r="EJ87" s="393" t="n"/>
    </row>
    <row r="88" ht="30" customHeight="1" s="568">
      <c r="A88" s="3" t="n"/>
      <c r="B88" s="130">
        <f>E69</f>
        <v/>
      </c>
      <c r="C88" s="177">
        <f t="array" ref="C88">_xlfn._xlws.FILTER('[1]ALFABETICO SEM'!$M$1:$M$196, ('[1]ALFABETICO SEM'!$L$1:$L$196 = $B$83) * ('[1]ALFABETICO SEM'!$N$1:$N$196 = B88), " - ")</f>
        <v/>
      </c>
      <c r="D88" s="105" t="n"/>
      <c r="E88" s="131">
        <f>I69</f>
        <v/>
      </c>
      <c r="F88" s="130">
        <f>J69</f>
        <v/>
      </c>
      <c r="G88" s="177">
        <f t="array" ref="G88">_xlfn._xlws.FILTER('[1]ALFABETICO SEM'!$M$1:$M$196, ('[1]ALFABETICO SEM'!$L$1:$L$196 = $F$83) * ('[1]ALFABETICO SEM'!$N$1:$N$196 = F88), " - ")</f>
        <v/>
      </c>
      <c r="H88" s="178" t="n"/>
      <c r="I88" s="178" t="n"/>
      <c r="J88" s="178" t="n"/>
      <c r="K88" s="178" t="n"/>
      <c r="L88" s="178" t="n"/>
      <c r="M88" s="178" t="n"/>
      <c r="N88" s="131">
        <f>N69</f>
        <v/>
      </c>
      <c r="O88" s="130">
        <f>O69</f>
        <v/>
      </c>
      <c r="P88" s="177">
        <f t="array" ref="P88">_xlfn._xlws.FILTER('[1]ALFABETICO SEM'!$M$1:$M$196, ('[1]ALFABETICO SEM'!$L$1:$L$196 = O$83) * ('[1]ALFABETICO SEM'!$N$1:$N$196 = O88), " - ")</f>
        <v/>
      </c>
      <c r="Q88" s="178" t="n"/>
      <c r="R88" s="178" t="n"/>
      <c r="S88" s="178" t="n"/>
      <c r="T88" s="178" t="n"/>
      <c r="U88" s="178" t="n"/>
      <c r="V88" s="178" t="n"/>
      <c r="W88" s="131">
        <f>S69</f>
        <v/>
      </c>
      <c r="X88" s="130">
        <f>T69</f>
        <v/>
      </c>
      <c r="Y88" s="177">
        <f t="array" ref="Y88">_xlfn._xlws.FILTER('[1]ALFABETICO SEM'!$M$1:$M$196, ('[1]ALFABETICO SEM'!$L$1:$L$196 = X$83) * ('[1]ALFABETICO SEM'!$N$1:$N$196 = X88), " - ")</f>
        <v/>
      </c>
      <c r="Z88" s="178" t="n"/>
      <c r="AA88" s="178" t="n"/>
      <c r="AB88" s="178" t="n"/>
      <c r="AC88" s="178" t="n"/>
      <c r="AD88" s="178" t="n"/>
      <c r="AE88" s="178" t="n"/>
      <c r="AF88" s="131">
        <f>X69</f>
        <v/>
      </c>
      <c r="AG88" s="130">
        <f>Y69</f>
        <v/>
      </c>
      <c r="AH88" s="177">
        <f t="array" ref="AH88">_xlfn._xlws.FILTER('[1]ALFABETICO SEM'!$M$1:$M$196, ('[1]ALFABETICO SEM'!$L$1:$L$196 = AG$83) * ('[1]ALFABETICO SEM'!$N$1:$N$196 = AG88), " - ")</f>
        <v/>
      </c>
      <c r="AI88" s="178" t="n"/>
      <c r="AJ88" s="178" t="n"/>
      <c r="AK88" s="178" t="n"/>
      <c r="AL88" s="178" t="n"/>
      <c r="AM88" s="178" t="n"/>
      <c r="AN88" s="178" t="n"/>
      <c r="AO88" s="131">
        <f>AC69</f>
        <v/>
      </c>
      <c r="AP88" s="130">
        <f>AD69</f>
        <v/>
      </c>
      <c r="AQ88" s="177">
        <f t="array" ref="AQ88">_xlfn._xlws.FILTER('[1]ALFABETICO SEM'!$M$1:$M$196, ('[1]ALFABETICO SEM'!$L$1:$L$196 = AP$83) * ('[1]ALFABETICO SEM'!$N$1:$N$196 = AP88), " - ")</f>
        <v/>
      </c>
      <c r="AR88" s="178" t="n"/>
      <c r="AS88" s="178" t="n"/>
      <c r="AT88" s="178" t="n"/>
      <c r="AU88" s="178" t="n"/>
      <c r="AV88" s="178" t="n"/>
      <c r="AW88" s="178" t="n"/>
      <c r="AX88" s="131">
        <f>AH69</f>
        <v/>
      </c>
      <c r="AY88" s="130">
        <f>AI69</f>
        <v/>
      </c>
      <c r="AZ88" s="177">
        <f t="array" ref="AZ88">_xlfn._xlws.FILTER('[1]ALFABETICO SEM'!$M$1:$M$196, ('[1]ALFABETICO SEM'!$L$1:$L$196 = AY$83) * ('[1]ALFABETICO SEM'!$N$1:$N$196 = AY88), " - ")</f>
        <v/>
      </c>
      <c r="BA88" s="178" t="n"/>
      <c r="BB88" s="178" t="n"/>
      <c r="BC88" s="178" t="n"/>
      <c r="BD88" s="178" t="n"/>
      <c r="BE88" s="178" t="n"/>
      <c r="BF88" s="178" t="n"/>
      <c r="BG88" s="131">
        <f>AM69</f>
        <v/>
      </c>
      <c r="BH88" s="130">
        <f>AN69</f>
        <v/>
      </c>
      <c r="BI88" s="177">
        <f t="array" ref="BI88">_xlfn._xlws.FILTER('[1]ALFABETICO SEM'!$M$1:$M$196, ('[1]ALFABETICO SEM'!$L$1:$L$196 = BH$83) * ('[1]ALFABETICO SEM'!$N$1:$N$196 = BH88), " - ")</f>
        <v/>
      </c>
      <c r="BJ88" s="178" t="n"/>
      <c r="BK88" s="178" t="n"/>
      <c r="BL88" s="178" t="n"/>
      <c r="BM88" s="178" t="n"/>
      <c r="BN88" s="178" t="n"/>
      <c r="BO88" s="178" t="n"/>
      <c r="BP88" s="143">
        <f>AR69</f>
        <v/>
      </c>
      <c r="BQ88" s="105" t="n"/>
      <c r="BR88" s="105" t="n"/>
      <c r="BS88" s="105" t="n"/>
      <c r="BT88" s="105" t="n"/>
      <c r="BU88" s="105" t="n"/>
      <c r="BV88" s="105" t="n"/>
      <c r="BW88" s="105" t="n"/>
      <c r="BX88" s="105" t="n"/>
      <c r="BY88" s="105" t="n"/>
      <c r="BZ88" s="105" t="n"/>
      <c r="CA88" s="105" t="n"/>
      <c r="CB88" s="105" t="n"/>
      <c r="CC88" s="105" t="n"/>
      <c r="CD88" s="105" t="n"/>
      <c r="CE88" s="105" t="n"/>
      <c r="CF88" s="105" t="n"/>
      <c r="CG88" s="105" t="n"/>
      <c r="EG88" s="393">
        <f>IF(EH88="","",$EG$59)</f>
        <v/>
      </c>
      <c r="EH88" s="393" t="n"/>
      <c r="EI88" s="393" t="n"/>
      <c r="EJ88" s="393" t="n"/>
    </row>
    <row r="89" ht="30" customHeight="1" s="568">
      <c r="A89" s="3" t="n"/>
      <c r="B89" s="130">
        <f>E70</f>
        <v/>
      </c>
      <c r="C89" s="177">
        <f t="array" ref="C89">_xlfn._xlws.FILTER('[1]ALFABETICO SEM'!$M$1:$M$196, ('[1]ALFABETICO SEM'!$L$1:$L$196 = $B$83) * ('[1]ALFABETICO SEM'!$N$1:$N$196 = B89), " - ")</f>
        <v/>
      </c>
      <c r="D89" s="105" t="n"/>
      <c r="E89" s="131">
        <f>I70</f>
        <v/>
      </c>
      <c r="F89" s="130">
        <f>J70</f>
        <v/>
      </c>
      <c r="G89" s="177">
        <f t="array" ref="G89">_xlfn._xlws.FILTER('[1]ALFABETICO SEM'!$M$1:$M$196, ('[1]ALFABETICO SEM'!$L$1:$L$196 = $F$83) * ('[1]ALFABETICO SEM'!$N$1:$N$196 = F89), " - ")</f>
        <v/>
      </c>
      <c r="H89" s="178" t="n"/>
      <c r="I89" s="178" t="n"/>
      <c r="J89" s="178" t="n"/>
      <c r="K89" s="178" t="n"/>
      <c r="L89" s="178" t="n"/>
      <c r="M89" s="178" t="n"/>
      <c r="N89" s="131">
        <f>N70</f>
        <v/>
      </c>
      <c r="O89" s="130">
        <f>O70</f>
        <v/>
      </c>
      <c r="P89" s="177">
        <f t="array" ref="P89">_xlfn._xlws.FILTER('[1]ALFABETICO SEM'!$M$1:$M$196, ('[1]ALFABETICO SEM'!$L$1:$L$196 = O$83) * ('[1]ALFABETICO SEM'!$N$1:$N$196 = O89), " - ")</f>
        <v/>
      </c>
      <c r="Q89" s="178" t="n"/>
      <c r="R89" s="178" t="n"/>
      <c r="S89" s="178" t="n"/>
      <c r="T89" s="178" t="n"/>
      <c r="U89" s="178" t="n"/>
      <c r="V89" s="178" t="n"/>
      <c r="W89" s="131">
        <f>S70</f>
        <v/>
      </c>
      <c r="X89" s="130">
        <f>T70</f>
        <v/>
      </c>
      <c r="Y89" s="177">
        <f t="array" ref="Y89">_xlfn._xlws.FILTER('[1]ALFABETICO SEM'!$M$1:$M$196, ('[1]ALFABETICO SEM'!$L$1:$L$196 = X$83) * ('[1]ALFABETICO SEM'!$N$1:$N$196 = X89), " - ")</f>
        <v/>
      </c>
      <c r="Z89" s="178" t="n"/>
      <c r="AA89" s="178" t="n"/>
      <c r="AB89" s="178" t="n"/>
      <c r="AC89" s="178" t="n"/>
      <c r="AD89" s="178" t="n"/>
      <c r="AE89" s="178" t="n"/>
      <c r="AF89" s="131">
        <f>X70</f>
        <v/>
      </c>
      <c r="AG89" s="130">
        <f>Y70</f>
        <v/>
      </c>
      <c r="AH89" s="177">
        <f t="array" ref="AH89">_xlfn._xlws.FILTER('[1]ALFABETICO SEM'!$M$1:$M$196, ('[1]ALFABETICO SEM'!$L$1:$L$196 = AG$83) * ('[1]ALFABETICO SEM'!$N$1:$N$196 = AG89), " - ")</f>
        <v/>
      </c>
      <c r="AI89" s="178" t="n"/>
      <c r="AJ89" s="178" t="n"/>
      <c r="AK89" s="178" t="n"/>
      <c r="AL89" s="178" t="n"/>
      <c r="AM89" s="178" t="n"/>
      <c r="AN89" s="178" t="n"/>
      <c r="AO89" s="131">
        <f>AC70</f>
        <v/>
      </c>
      <c r="AP89" s="130">
        <f>AD70</f>
        <v/>
      </c>
      <c r="AQ89" s="177">
        <f t="array" ref="AQ89">_xlfn._xlws.FILTER('[1]ALFABETICO SEM'!$M$1:$M$196, ('[1]ALFABETICO SEM'!$L$1:$L$196 = AP$83) * ('[1]ALFABETICO SEM'!$N$1:$N$196 = AP89), " - ")</f>
        <v/>
      </c>
      <c r="AR89" s="178" t="n"/>
      <c r="AS89" s="178" t="n"/>
      <c r="AT89" s="178" t="n"/>
      <c r="AU89" s="178" t="n"/>
      <c r="AV89" s="178" t="n"/>
      <c r="AW89" s="178" t="n"/>
      <c r="AX89" s="131">
        <f>AH70</f>
        <v/>
      </c>
      <c r="AY89" s="130">
        <f>AI70</f>
        <v/>
      </c>
      <c r="AZ89" s="177">
        <f t="array" ref="AZ89">_xlfn._xlws.FILTER('[1]ALFABETICO SEM'!$M$1:$M$196, ('[1]ALFABETICO SEM'!$L$1:$L$196 = AY$83) * ('[1]ALFABETICO SEM'!$N$1:$N$196 = AY89), " - ")</f>
        <v/>
      </c>
      <c r="BA89" s="178" t="n"/>
      <c r="BB89" s="178" t="n"/>
      <c r="BC89" s="178" t="n"/>
      <c r="BD89" s="178" t="n"/>
      <c r="BE89" s="178" t="n"/>
      <c r="BF89" s="178" t="n"/>
      <c r="BG89" s="131">
        <f>AM70</f>
        <v/>
      </c>
      <c r="BH89" s="130">
        <f>AN70</f>
        <v/>
      </c>
      <c r="BI89" s="177">
        <f t="array" ref="BI89">_xlfn._xlws.FILTER('[1]ALFABETICO SEM'!$M$1:$M$196, ('[1]ALFABETICO SEM'!$L$1:$L$196 = BH$83) * ('[1]ALFABETICO SEM'!$N$1:$N$196 = BH89), " - ")</f>
        <v/>
      </c>
      <c r="BJ89" s="178" t="n"/>
      <c r="BK89" s="178" t="n"/>
      <c r="BL89" s="178" t="n"/>
      <c r="BM89" s="178" t="n"/>
      <c r="BN89" s="178" t="n"/>
      <c r="BO89" s="178" t="n"/>
      <c r="BP89" s="143">
        <f>AR70</f>
        <v/>
      </c>
      <c r="BQ89" s="105" t="n"/>
      <c r="BR89" s="105" t="n"/>
      <c r="BS89" s="105" t="n"/>
      <c r="BT89" s="105" t="n"/>
      <c r="BU89" s="105" t="n"/>
      <c r="BV89" s="105" t="n"/>
      <c r="BW89" s="105" t="n"/>
      <c r="BX89" s="105" t="n"/>
      <c r="BY89" s="105" t="n"/>
      <c r="BZ89" s="105" t="n"/>
      <c r="CA89" s="105" t="n"/>
      <c r="CB89" s="105" t="n"/>
      <c r="CC89" s="105" t="n"/>
      <c r="CD89" s="105" t="n"/>
      <c r="CE89" s="105" t="n"/>
      <c r="CF89" s="105" t="n"/>
      <c r="CG89" s="105" t="n"/>
      <c r="EG89" s="393">
        <f>IF(EH89="","",$EG$59)</f>
        <v/>
      </c>
      <c r="EH89" s="393" t="n"/>
      <c r="EI89" s="393" t="n"/>
      <c r="EJ89" s="393" t="n"/>
    </row>
    <row r="90" ht="24.75" customHeight="1" s="568">
      <c r="A90" s="3" t="n"/>
      <c r="B90" s="132">
        <f>E71</f>
        <v/>
      </c>
      <c r="C90" s="177">
        <f t="array" ref="C90">_xlfn._xlws.FILTER('[1]ALFABETICO SEM'!$M$1:$M$196, ('[1]ALFABETICO SEM'!$L$1:$L$196 = $B$83) * ('[1]ALFABETICO SEM'!$N$1:$N$196 = B90), " - ")</f>
        <v/>
      </c>
      <c r="D90" s="134" t="n"/>
      <c r="E90" s="135">
        <f>I71</f>
        <v/>
      </c>
      <c r="F90" s="132">
        <f>J71</f>
        <v/>
      </c>
      <c r="G90" s="177">
        <f t="array" ref="G90">_xlfn._xlws.FILTER('[1]ALFABETICO SEM'!$M$1:$M$196, ('[1]ALFABETICO SEM'!$L$1:$L$196 = $F$83) * ('[1]ALFABETICO SEM'!$N$1:$N$196 = F90), " - ")</f>
        <v/>
      </c>
      <c r="H90" s="136" t="n"/>
      <c r="I90" s="136" t="n"/>
      <c r="J90" s="136" t="n"/>
      <c r="K90" s="136" t="n"/>
      <c r="L90" s="136" t="n"/>
      <c r="M90" s="136" t="n"/>
      <c r="N90" s="135">
        <f>N71</f>
        <v/>
      </c>
      <c r="O90" s="132">
        <f>O71</f>
        <v/>
      </c>
      <c r="P90" s="177">
        <f t="array" ref="P90">_xlfn._xlws.FILTER('[1]ALFABETICO SEM'!$M$1:$M$196, ('[1]ALFABETICO SEM'!$L$1:$L$196 = O$83) * ('[1]ALFABETICO SEM'!$N$1:$N$196 = O90), " - ")</f>
        <v/>
      </c>
      <c r="Q90" s="136" t="n"/>
      <c r="R90" s="136" t="n"/>
      <c r="S90" s="136" t="n"/>
      <c r="T90" s="136" t="n"/>
      <c r="U90" s="136" t="n"/>
      <c r="V90" s="136" t="n"/>
      <c r="W90" s="135">
        <f>S71</f>
        <v/>
      </c>
      <c r="X90" s="132">
        <f>T71</f>
        <v/>
      </c>
      <c r="Y90" s="177">
        <f t="array" ref="Y90">_xlfn._xlws.FILTER('[1]ALFABETICO SEM'!$M$1:$M$196, ('[1]ALFABETICO SEM'!$L$1:$L$196 = X$83) * ('[1]ALFABETICO SEM'!$N$1:$N$196 = X90), " - ")</f>
        <v/>
      </c>
      <c r="Z90" s="136" t="n"/>
      <c r="AA90" s="136" t="n"/>
      <c r="AB90" s="136" t="n"/>
      <c r="AC90" s="136" t="n"/>
      <c r="AD90" s="136" t="n"/>
      <c r="AE90" s="136" t="n"/>
      <c r="AF90" s="135">
        <f>X71</f>
        <v/>
      </c>
      <c r="AG90" s="132">
        <f>Y71</f>
        <v/>
      </c>
      <c r="AH90" s="177">
        <f t="array" ref="AH90">_xlfn._xlws.FILTER('[1]ALFABETICO SEM'!$M$1:$M$196, ('[1]ALFABETICO SEM'!$L$1:$L$196 = AG$83) * ('[1]ALFABETICO SEM'!$N$1:$N$196 = AG90), " - ")</f>
        <v/>
      </c>
      <c r="AI90" s="136" t="n"/>
      <c r="AJ90" s="136" t="n"/>
      <c r="AK90" s="136" t="n"/>
      <c r="AL90" s="136" t="n"/>
      <c r="AM90" s="136" t="n"/>
      <c r="AN90" s="136" t="n"/>
      <c r="AO90" s="135">
        <f>AC71</f>
        <v/>
      </c>
      <c r="AP90" s="130">
        <f>AD71</f>
        <v/>
      </c>
      <c r="AQ90" s="177">
        <f t="array" ref="AQ90">_xlfn._xlws.FILTER('[1]ALFABETICO SEM'!$M$1:$M$196, ('[1]ALFABETICO SEM'!$L$1:$L$196 = AP$83) * ('[1]ALFABETICO SEM'!$N$1:$N$196 = AP90), " - ")</f>
        <v/>
      </c>
      <c r="AR90" s="136" t="n"/>
      <c r="AS90" s="136" t="n"/>
      <c r="AT90" s="136" t="n"/>
      <c r="AU90" s="136" t="n"/>
      <c r="AV90" s="136" t="n"/>
      <c r="AW90" s="136" t="n"/>
      <c r="AX90" s="131">
        <f>AH71</f>
        <v/>
      </c>
      <c r="AY90" s="130">
        <f>AI71</f>
        <v/>
      </c>
      <c r="AZ90" s="177">
        <f t="array" ref="AZ90">_xlfn._xlws.FILTER('[1]ALFABETICO SEM'!$M$1:$M$196, ('[1]ALFABETICO SEM'!$L$1:$L$196 = AY$83) * ('[1]ALFABETICO SEM'!$N$1:$N$196 = AY90), " - ")</f>
        <v/>
      </c>
      <c r="BA90" s="178" t="n"/>
      <c r="BB90" s="178" t="n"/>
      <c r="BC90" s="178" t="n"/>
      <c r="BD90" s="178" t="n"/>
      <c r="BE90" s="178" t="n"/>
      <c r="BF90" s="178" t="n"/>
      <c r="BG90" s="131">
        <f>AM71</f>
        <v/>
      </c>
      <c r="BH90" s="130">
        <f>AN71</f>
        <v/>
      </c>
      <c r="BI90" s="177">
        <f t="array" ref="BI90">_xlfn._xlws.FILTER('[1]ALFABETICO SEM'!$M$1:$M$196, ('[1]ALFABETICO SEM'!$L$1:$L$196 = BH$83) * ('[1]ALFABETICO SEM'!$N$1:$N$196 = BH90), " - ")</f>
        <v/>
      </c>
      <c r="BJ90" s="178" t="n"/>
      <c r="BK90" s="178" t="n"/>
      <c r="BL90" s="178" t="n"/>
      <c r="BM90" s="178" t="n"/>
      <c r="BN90" s="178" t="n"/>
      <c r="BO90" s="178" t="n"/>
      <c r="BP90" s="143">
        <f>AR71</f>
        <v/>
      </c>
      <c r="BQ90" s="105" t="n"/>
      <c r="BR90" s="105" t="n"/>
      <c r="BS90" s="105" t="n"/>
      <c r="BT90" s="105" t="n"/>
      <c r="BU90" s="105" t="n"/>
      <c r="BV90" s="105" t="n"/>
      <c r="BW90" s="105" t="n"/>
      <c r="BX90" s="105" t="n"/>
      <c r="BY90" s="105" t="n"/>
      <c r="BZ90" s="105" t="n"/>
      <c r="CA90" s="105" t="n"/>
      <c r="CB90" s="105" t="n"/>
      <c r="CC90" s="105" t="n"/>
      <c r="CD90" s="105" t="n"/>
      <c r="CE90" s="105" t="n"/>
      <c r="CF90" s="105" t="n"/>
      <c r="CG90" s="105" t="n"/>
      <c r="EG90" s="393">
        <f>IF(EH90="","",$EG$59)</f>
        <v/>
      </c>
      <c r="EH90" s="393" t="n"/>
      <c r="EI90" s="393" t="n"/>
      <c r="EJ90" s="393" t="n"/>
    </row>
    <row r="91" ht="30" customHeight="1" s="568">
      <c r="A91" s="3" t="n"/>
      <c r="B91" s="609">
        <f>(B5 + 1)</f>
        <v/>
      </c>
      <c r="C91" s="187" t="n"/>
      <c r="D91" s="187" t="n"/>
      <c r="E91" s="188" t="n"/>
      <c r="F91" s="609">
        <f>($B$5 + 2)</f>
        <v/>
      </c>
      <c r="G91" s="187" t="n"/>
      <c r="H91" s="187" t="n"/>
      <c r="I91" s="187" t="n"/>
      <c r="J91" s="187" t="n"/>
      <c r="K91" s="187" t="n"/>
      <c r="L91" s="187" t="n"/>
      <c r="M91" s="187" t="n"/>
      <c r="N91" s="188" t="n"/>
      <c r="O91" s="609">
        <f>($B$5 + 3)</f>
        <v/>
      </c>
      <c r="P91" s="187" t="n"/>
      <c r="Q91" s="187" t="n"/>
      <c r="R91" s="187" t="n"/>
      <c r="S91" s="187" t="n"/>
      <c r="T91" s="187" t="n"/>
      <c r="U91" s="187" t="n"/>
      <c r="V91" s="187" t="n"/>
      <c r="W91" s="188" t="n"/>
      <c r="X91" s="609">
        <f>($B$5 + 4)</f>
        <v/>
      </c>
      <c r="Y91" s="187" t="n"/>
      <c r="Z91" s="187" t="n"/>
      <c r="AA91" s="187" t="n"/>
      <c r="AB91" s="187" t="n"/>
      <c r="AC91" s="187" t="n"/>
      <c r="AD91" s="187" t="n"/>
      <c r="AE91" s="187" t="n"/>
      <c r="AF91" s="188" t="n"/>
      <c r="AG91" s="609">
        <f>($B$5 + 5)</f>
        <v/>
      </c>
      <c r="AH91" s="187" t="n"/>
      <c r="AI91" s="187" t="n"/>
      <c r="AJ91" s="187" t="n"/>
      <c r="AK91" s="187" t="n"/>
      <c r="AL91" s="187" t="n"/>
      <c r="AM91" s="187" t="n"/>
      <c r="AN91" s="187" t="n"/>
      <c r="AO91" s="188" t="n"/>
      <c r="AP91" s="609">
        <f>($B$5 + 6)</f>
        <v/>
      </c>
      <c r="AQ91" s="187" t="n"/>
      <c r="AR91" s="187" t="n"/>
      <c r="AS91" s="187" t="n"/>
      <c r="AT91" s="187" t="n"/>
      <c r="AU91" s="187" t="n"/>
      <c r="AV91" s="187" t="n"/>
      <c r="AW91" s="187" t="n"/>
      <c r="AX91" s="188" t="n"/>
      <c r="AY91" s="609">
        <f>($B$5 + 7)</f>
        <v/>
      </c>
      <c r="AZ91" s="187" t="n"/>
      <c r="BA91" s="187" t="n"/>
      <c r="BB91" s="187" t="n"/>
      <c r="BC91" s="187" t="n"/>
      <c r="BD91" s="187" t="n"/>
      <c r="BE91" s="187" t="n"/>
      <c r="BF91" s="187" t="n"/>
      <c r="BG91" s="188" t="n"/>
      <c r="BH91" s="609">
        <f>($B$5 + 8)</f>
        <v/>
      </c>
      <c r="BI91" s="187" t="n"/>
      <c r="BJ91" s="187" t="n"/>
      <c r="BK91" s="187" t="n"/>
      <c r="BL91" s="187" t="n"/>
      <c r="BM91" s="187" t="n"/>
      <c r="BN91" s="187" t="n"/>
      <c r="BO91" s="187" t="n"/>
      <c r="BP91" s="188" t="n"/>
      <c r="EG91" s="393">
        <f>IF(EH91="","",$EG$59)</f>
        <v/>
      </c>
      <c r="EH91" s="393" t="n"/>
      <c r="EI91" s="393" t="n"/>
      <c r="EJ91" s="393" t="n"/>
    </row>
    <row r="92" ht="30" customHeight="1" s="568">
      <c r="A92" s="3" t="n"/>
      <c r="B92" s="274" t="inlineStr">
        <is>
          <t>N°</t>
        </is>
      </c>
      <c r="C92" s="180" t="inlineStr">
        <is>
          <t>EJEMPLAR</t>
        </is>
      </c>
      <c r="D92" s="180" t="n"/>
      <c r="E92" s="137" t="inlineStr">
        <is>
          <t>PTS</t>
        </is>
      </c>
      <c r="F92" s="274" t="inlineStr">
        <is>
          <t>N°</t>
        </is>
      </c>
      <c r="G92" s="180" t="inlineStr">
        <is>
          <t>EJEMPLAR</t>
        </is>
      </c>
      <c r="H92" s="180" t="n"/>
      <c r="I92" s="180" t="n"/>
      <c r="J92" s="180" t="n"/>
      <c r="K92" s="180" t="n"/>
      <c r="L92" s="180" t="n"/>
      <c r="M92" s="180" t="n"/>
      <c r="N92" s="137" t="inlineStr">
        <is>
          <t>PTS</t>
        </is>
      </c>
      <c r="O92" s="274" t="inlineStr">
        <is>
          <t>N°</t>
        </is>
      </c>
      <c r="P92" s="180" t="inlineStr">
        <is>
          <t>EJEMPLAR</t>
        </is>
      </c>
      <c r="Q92" s="180" t="n"/>
      <c r="R92" s="180" t="n"/>
      <c r="S92" s="180" t="n"/>
      <c r="T92" s="180" t="n"/>
      <c r="U92" s="180" t="n"/>
      <c r="V92" s="180" t="n"/>
      <c r="W92" s="137" t="inlineStr">
        <is>
          <t>PTS</t>
        </is>
      </c>
      <c r="X92" s="274" t="inlineStr">
        <is>
          <t>N°</t>
        </is>
      </c>
      <c r="Y92" s="180" t="inlineStr">
        <is>
          <t>EJEMPLAR</t>
        </is>
      </c>
      <c r="Z92" s="180" t="n"/>
      <c r="AA92" s="180" t="n"/>
      <c r="AB92" s="180" t="n"/>
      <c r="AC92" s="180" t="n"/>
      <c r="AD92" s="180" t="n"/>
      <c r="AE92" s="180" t="n"/>
      <c r="AF92" s="137" t="inlineStr">
        <is>
          <t>PTS</t>
        </is>
      </c>
      <c r="AG92" s="274" t="inlineStr">
        <is>
          <t>N°</t>
        </is>
      </c>
      <c r="AH92" s="180" t="inlineStr">
        <is>
          <t>EJEMPLAR</t>
        </is>
      </c>
      <c r="AI92" s="180" t="n"/>
      <c r="AJ92" s="180" t="n"/>
      <c r="AK92" s="180" t="n"/>
      <c r="AL92" s="180" t="n"/>
      <c r="AM92" s="180" t="n"/>
      <c r="AN92" s="180" t="n"/>
      <c r="AO92" s="179" t="inlineStr">
        <is>
          <t>PTS</t>
        </is>
      </c>
      <c r="AP92" s="274" t="inlineStr">
        <is>
          <t>N°</t>
        </is>
      </c>
      <c r="AQ92" s="180" t="inlineStr">
        <is>
          <t>EJEMPLAR</t>
        </is>
      </c>
      <c r="AR92" s="180" t="n"/>
      <c r="AS92" s="180" t="n"/>
      <c r="AT92" s="180" t="n"/>
      <c r="AU92" s="180" t="n"/>
      <c r="AV92" s="180" t="n"/>
      <c r="AW92" s="180" t="n"/>
      <c r="AX92" s="137" t="inlineStr">
        <is>
          <t>PTS</t>
        </is>
      </c>
      <c r="AY92" s="274" t="inlineStr">
        <is>
          <t>N°</t>
        </is>
      </c>
      <c r="AZ92" s="180" t="inlineStr">
        <is>
          <t>EJEMPLAR</t>
        </is>
      </c>
      <c r="BA92" s="180" t="n"/>
      <c r="BB92" s="180" t="n"/>
      <c r="BC92" s="180" t="n"/>
      <c r="BD92" s="180" t="n"/>
      <c r="BE92" s="180" t="n"/>
      <c r="BF92" s="180" t="n"/>
      <c r="BG92" s="137" t="inlineStr">
        <is>
          <t>PTS</t>
        </is>
      </c>
      <c r="BH92" s="274" t="inlineStr">
        <is>
          <t>N°</t>
        </is>
      </c>
      <c r="BI92" s="180" t="inlineStr">
        <is>
          <t>EJEMPLAR</t>
        </is>
      </c>
      <c r="BJ92" s="180" t="n"/>
      <c r="BK92" s="180" t="n"/>
      <c r="BL92" s="180" t="n"/>
      <c r="BM92" s="180" t="n"/>
      <c r="BN92" s="180" t="n"/>
      <c r="BO92" s="180" t="n"/>
      <c r="BP92" s="137" t="inlineStr">
        <is>
          <t>PTS</t>
        </is>
      </c>
      <c r="EG92" s="393">
        <f>IF(EH92="","",$EG$59)</f>
        <v/>
      </c>
      <c r="EH92" s="393" t="n"/>
      <c r="EI92" s="393" t="n"/>
      <c r="EJ92" s="393" t="n"/>
    </row>
    <row r="93" ht="24.75" customHeight="1" s="568">
      <c r="A93" s="3" t="n"/>
      <c r="B93" s="181">
        <f t="array" ref="B93">INDEX(66:66,B5*5 + 5)</f>
        <v/>
      </c>
      <c r="C93" s="138">
        <f t="array" ref="C93">_xlfn._xlws.FILTER('[1]ALFABETICO SEM'!$M$1:$M$196, ('[1]ALFABETICO SEM'!$L$1:$L$196 = B$91) * ('[1]ALFABETICO SEM'!$N$1:$N$196 = B93), " - ")</f>
        <v/>
      </c>
      <c r="D93" s="139" t="n"/>
      <c r="E93" s="140">
        <f t="array" ref="E93">INDEX(66:66, 'SEM 2'!$B$5*5 + 9)</f>
        <v/>
      </c>
      <c r="F93" s="181">
        <f t="array" ref="F93">INDEX(66:66, 'SEM 2'!$B$5*5+1 + 9)</f>
        <v/>
      </c>
      <c r="G93" s="138">
        <f t="array" ref="G93">_xlfn._xlws.FILTER('[1]ALFABETICO SEM'!$M$1:$M$196, ('[1]ALFABETICO SEM'!$L$1:$L$196 = F$91) * ('[1]ALFABETICO SEM'!$N$1:$N$196 = F93), " - ")</f>
        <v/>
      </c>
      <c r="H93" s="139" t="n"/>
      <c r="I93" s="139" t="n"/>
      <c r="J93" s="139" t="n"/>
      <c r="K93" s="139" t="n"/>
      <c r="L93" s="139" t="n"/>
      <c r="M93" s="139" t="n"/>
      <c r="N93" s="140">
        <f t="array" ref="N93">INDEX(66:66, 'SEM 2'!$B$5*5 + 14)</f>
        <v/>
      </c>
      <c r="O93" s="181">
        <f t="array" ref="O93">INDEX(66:66, 'SEM 2'!$B$5*5+1 + 14)</f>
        <v/>
      </c>
      <c r="P93" s="138">
        <f t="array" ref="P93">_xlfn._xlws.FILTER('[1]ALFABETICO SEM'!$M$1:$M$196, ('[1]ALFABETICO SEM'!$L$1:$L$196 = O$91) * ('[1]ALFABETICO SEM'!$N$1:$N$196 = O93), " - ")</f>
        <v/>
      </c>
      <c r="Q93" s="139" t="n"/>
      <c r="R93" s="139" t="n"/>
      <c r="S93" s="139" t="n"/>
      <c r="T93" s="139" t="n"/>
      <c r="U93" s="139" t="n"/>
      <c r="V93" s="139" t="n"/>
      <c r="W93" s="140">
        <f t="array" ref="W93">INDEX(66:66, 'SEM 2'!$B$5*5 + 19)</f>
        <v/>
      </c>
      <c r="X93" s="181">
        <f t="array" ref="X93">INDEX(66:66, 'SEM 2'!$B$5*5+1 + 19)</f>
        <v/>
      </c>
      <c r="Y93" s="138">
        <f t="array" ref="Y93">_xlfn._xlws.FILTER('[1]ALFABETICO SEM'!$M$1:$M$196, ('[1]ALFABETICO SEM'!$L$1:$L$196 = X$91) * ('[1]ALFABETICO SEM'!$N$1:$N$196 = X93), " - ")</f>
        <v/>
      </c>
      <c r="Z93" s="139" t="n"/>
      <c r="AA93" s="139" t="n"/>
      <c r="AB93" s="139" t="n"/>
      <c r="AC93" s="139" t="n"/>
      <c r="AD93" s="139" t="n"/>
      <c r="AE93" s="139" t="n"/>
      <c r="AF93" s="140">
        <f t="array" ref="AF93">INDEX(66:66, 'SEM 2'!$B$5*5 + 24)</f>
        <v/>
      </c>
      <c r="AG93" s="181">
        <f t="array" ref="AG93">INDEX(66:66, 'SEM 2'!$B$5*5+1 + 24)</f>
        <v/>
      </c>
      <c r="AH93" s="138">
        <f t="array" ref="AH93">_xlfn._xlws.FILTER('[1]ALFABETICO SEM'!$M$1:$M$196, ('[1]ALFABETICO SEM'!$L$1:$L$196 = AG$91) * ('[1]ALFABETICO SEM'!$N$1:$N$196 = AG93), " - ")</f>
        <v/>
      </c>
      <c r="AI93" s="139" t="n"/>
      <c r="AJ93" s="139" t="n"/>
      <c r="AK93" s="139" t="n"/>
      <c r="AL93" s="139" t="n"/>
      <c r="AM93" s="139" t="n"/>
      <c r="AN93" s="139" t="n"/>
      <c r="AO93" s="140">
        <f t="array" ref="AO93">INDEX(66:66, 'SEM 2'!$B$5*5 + 29)</f>
        <v/>
      </c>
      <c r="AP93" s="181">
        <f t="array" ref="AP93">INDEX(66:66, 'SEM 2'!$B$5*5+1 + 29)</f>
        <v/>
      </c>
      <c r="AQ93" s="138">
        <f t="array" ref="AQ93">_xlfn._xlws.FILTER('[1]ALFABETICO SEM'!$M$1:$M$196, ('[1]ALFABETICO SEM'!$L$1:$L$196 = AP$91) * ('[1]ALFABETICO SEM'!$N$1:$N$196 = AP93), " - ")</f>
        <v/>
      </c>
      <c r="AR93" s="139" t="n"/>
      <c r="AS93" s="139" t="n"/>
      <c r="AT93" s="139" t="n"/>
      <c r="AU93" s="139" t="n"/>
      <c r="AV93" s="139" t="n"/>
      <c r="AW93" s="139" t="n"/>
      <c r="AX93" s="140">
        <f t="array" ref="AX93">INDEX(66:66, 'SEM 2'!$B$5*5 + 34)</f>
        <v/>
      </c>
      <c r="AY93" s="181">
        <f t="array" ref="AY93">INDEX(66:66, 'SEM 2'!$B$5*5+1 + 34)</f>
        <v/>
      </c>
      <c r="AZ93" s="138">
        <f t="array" ref="AZ93">_xlfn._xlws.FILTER('[1]ALFABETICO SEM'!$M$1:$M$196, ('[1]ALFABETICO SEM'!$L$1:$L$196 = AY$91) * ('[1]ALFABETICO SEM'!$N$1:$N$196 = AY93), " - ")</f>
        <v/>
      </c>
      <c r="BA93" s="182" t="n"/>
      <c r="BB93" s="182" t="n"/>
      <c r="BC93" s="182" t="n"/>
      <c r="BD93" s="182" t="n"/>
      <c r="BE93" s="182" t="n"/>
      <c r="BF93" s="182" t="n"/>
      <c r="BG93" s="140">
        <f t="array" ref="BG93">INDEX(66:66, 'SEM 2'!$B$5*5 + 39)</f>
        <v/>
      </c>
      <c r="BH93" s="181">
        <f t="array" ref="BH93">INDEX(66:66, 'SEM 2'!$B$5*5+1 + 34)</f>
        <v/>
      </c>
      <c r="BI93" s="138">
        <f t="array" ref="BI93">_xlfn._xlws.FILTER('[1]ALFABETICO SEM'!$M$1:$M$196, ('[1]ALFABETICO SEM'!$L$1:$L$196 = BH$91) * ('[1]ALFABETICO SEM'!$N$1:$N$196 = BH93), " - ")</f>
        <v/>
      </c>
      <c r="BJ93" s="182" t="n"/>
      <c r="BK93" s="182" t="n"/>
      <c r="BL93" s="182" t="n"/>
      <c r="BM93" s="182" t="n"/>
      <c r="BN93" s="182" t="n"/>
      <c r="BO93" s="182" t="n"/>
      <c r="BP93" s="140">
        <f t="array" ref="BP93">INDEX(66:66, 'SEM 2'!$B$5*5 + 39)</f>
        <v/>
      </c>
      <c r="EG93" s="393">
        <f>IF(EH93="","",$EG$59)</f>
        <v/>
      </c>
      <c r="EH93" s="393" t="n"/>
      <c r="EI93" s="393" t="n"/>
      <c r="EJ93" s="393" t="n"/>
    </row>
    <row r="94" ht="27.75" customHeight="1" s="568">
      <c r="A94" s="3" t="n"/>
      <c r="B94" s="181">
        <f t="array" ref="B94">INDEX(67:67, 'SEM 2'!$B$5*5 + 5)</f>
        <v/>
      </c>
      <c r="C94" s="177">
        <f t="array" ref="C94">_xlfn._xlws.FILTER('[1]ALFABETICO SEM'!$M$1:$M$196, ('[1]ALFABETICO SEM'!$L$1:$L$196 = B$91) * ('[1]ALFABETICO SEM'!$N$1:$N$196 = B94), " - ")</f>
        <v/>
      </c>
      <c r="D94" s="178" t="n"/>
      <c r="E94" s="131">
        <f t="array" ref="E94">INDEX(67:67, 'SEM 2'!$B$5*5 + 9)</f>
        <v/>
      </c>
      <c r="F94" s="181">
        <f t="array" ref="F94">INDEX(67:67, 'SEM 2'!$B$5*5+1 + 9)</f>
        <v/>
      </c>
      <c r="G94" s="177">
        <f t="array" ref="G94">_xlfn._xlws.FILTER('[1]ALFABETICO SEM'!$M$1:$M$196, ('[1]ALFABETICO SEM'!$L$1:$L$196 = F$91) * ('[1]ALFABETICO SEM'!$N$1:$N$196 = F94), " - ")</f>
        <v/>
      </c>
      <c r="H94" s="178" t="n"/>
      <c r="I94" s="178" t="n"/>
      <c r="J94" s="178" t="n"/>
      <c r="K94" s="178" t="n"/>
      <c r="L94" s="178" t="n"/>
      <c r="M94" s="178" t="n"/>
      <c r="N94" s="131">
        <f t="array" ref="N94">INDEX(67:67, 'SEM 2'!$B$5*5 + 14)</f>
        <v/>
      </c>
      <c r="O94" s="181">
        <f t="array" ref="O94">INDEX(67:67, 'SEM 2'!$B$5*5+1 + 14)</f>
        <v/>
      </c>
      <c r="P94" s="177">
        <f t="array" ref="P94">_xlfn._xlws.FILTER('[1]ALFABETICO SEM'!$M$1:$M$196, ('[1]ALFABETICO SEM'!$L$1:$L$196 = O$91) * ('[1]ALFABETICO SEM'!$N$1:$N$196 = O94), " - ")</f>
        <v/>
      </c>
      <c r="Q94" s="178" t="n"/>
      <c r="R94" s="178" t="n"/>
      <c r="S94" s="178" t="n"/>
      <c r="T94" s="178" t="n"/>
      <c r="U94" s="178" t="n"/>
      <c r="V94" s="178" t="n"/>
      <c r="W94" s="131">
        <f t="array" ref="W94">INDEX(67:67, 'SEM 2'!$B$5*5 + 19)</f>
        <v/>
      </c>
      <c r="X94" s="181">
        <f t="array" ref="X94">INDEX(67:67, 'SEM 2'!$B$5*5+1 + 19)</f>
        <v/>
      </c>
      <c r="Y94" s="177">
        <f t="array" ref="Y94">_xlfn._xlws.FILTER('[1]ALFABETICO SEM'!$M$1:$M$196, ('[1]ALFABETICO SEM'!$L$1:$L$196 = X$91) * ('[1]ALFABETICO SEM'!$N$1:$N$196 = X94), " - ")</f>
        <v/>
      </c>
      <c r="Z94" s="178" t="n"/>
      <c r="AA94" s="178" t="n"/>
      <c r="AB94" s="178" t="n"/>
      <c r="AC94" s="178" t="n"/>
      <c r="AD94" s="178" t="n"/>
      <c r="AE94" s="178" t="n"/>
      <c r="AF94" s="131">
        <f t="array" ref="AF94">INDEX(67:67, 'SEM 2'!$B$5*5 + 24)</f>
        <v/>
      </c>
      <c r="AG94" s="181">
        <f t="array" ref="AG94">INDEX(67:67, 'SEM 2'!$B$5*5+1 + 24)</f>
        <v/>
      </c>
      <c r="AH94" s="177">
        <f t="array" ref="AH94">_xlfn._xlws.FILTER('[1]ALFABETICO SEM'!$M$1:$M$196, ('[1]ALFABETICO SEM'!$L$1:$L$196 = AG$91) * ('[1]ALFABETICO SEM'!$N$1:$N$196 = AG94), " - ")</f>
        <v/>
      </c>
      <c r="AI94" s="178" t="n"/>
      <c r="AJ94" s="178" t="n"/>
      <c r="AK94" s="178" t="n"/>
      <c r="AL94" s="178" t="n"/>
      <c r="AM94" s="178" t="n"/>
      <c r="AN94" s="178" t="n"/>
      <c r="AO94" s="131">
        <f t="array" ref="AO94">INDEX(67:67, 'SEM 2'!$B$5*5 + 29)</f>
        <v/>
      </c>
      <c r="AP94" s="181">
        <f t="array" ref="AP94">INDEX(67:67, 'SEM 2'!$B$5*5+1 + 29)</f>
        <v/>
      </c>
      <c r="AQ94" s="177">
        <f t="array" ref="AQ94">_xlfn._xlws.FILTER('[1]ALFABETICO SEM'!$M$1:$M$196, ('[1]ALFABETICO SEM'!$L$1:$L$196 = AP$91) * ('[1]ALFABETICO SEM'!$N$1:$N$196 = AP94), " - ")</f>
        <v/>
      </c>
      <c r="AR94" s="178" t="n"/>
      <c r="AS94" s="178" t="n"/>
      <c r="AT94" s="178" t="n"/>
      <c r="AU94" s="178" t="n"/>
      <c r="AV94" s="178" t="n"/>
      <c r="AW94" s="178" t="n"/>
      <c r="AX94" s="131">
        <f t="array" ref="AX94">INDEX(67:67, 'SEM 2'!$B$5*5 + 34)</f>
        <v/>
      </c>
      <c r="AY94" s="181">
        <f t="array" ref="AY94">INDEX(67:67, 'SEM 2'!$B$5*5+1 + 34)</f>
        <v/>
      </c>
      <c r="AZ94" s="177">
        <f t="array" ref="AZ94">_xlfn._xlws.FILTER('[1]ALFABETICO SEM'!$M$1:$M$196, ('[1]ALFABETICO SEM'!$L$1:$L$196 = AY$91) * ('[1]ALFABETICO SEM'!$N$1:$N$196 = AY94), " - ")</f>
        <v/>
      </c>
      <c r="BA94" s="178" t="n"/>
      <c r="BB94" s="178" t="n"/>
      <c r="BC94" s="178" t="n"/>
      <c r="BD94" s="178" t="n"/>
      <c r="BE94" s="178" t="n"/>
      <c r="BF94" s="178" t="n"/>
      <c r="BG94" s="131">
        <f t="array" ref="BG94">INDEX(67:67, 'SEM 2'!$B$5*5 + 39)</f>
        <v/>
      </c>
      <c r="BH94" s="181">
        <f t="array" ref="BH94">INDEX(67:67, 'SEM 2'!$B$5*5+1 + 34)</f>
        <v/>
      </c>
      <c r="BI94" s="177">
        <f t="array" ref="BI94">_xlfn._xlws.FILTER('[1]ALFABETICO SEM'!$M$1:$M$196, ('[1]ALFABETICO SEM'!$L$1:$L$196 = BH$91) * ('[1]ALFABETICO SEM'!$N$1:$N$196 = BH94), " - ")</f>
        <v/>
      </c>
      <c r="BJ94" s="178" t="n"/>
      <c r="BK94" s="178" t="n"/>
      <c r="BL94" s="178" t="n"/>
      <c r="BM94" s="178" t="n"/>
      <c r="BN94" s="178" t="n"/>
      <c r="BO94" s="178" t="n"/>
      <c r="BP94" s="131">
        <f t="array" ref="BP94">INDEX(67:67, 'SEM 2'!$B$5*5 + 39)</f>
        <v/>
      </c>
      <c r="EG94" s="393">
        <f>IF(EH94="","",$EG$59)</f>
        <v/>
      </c>
      <c r="EH94" s="393" t="n"/>
      <c r="EI94" s="393" t="n"/>
      <c r="EJ94" s="393" t="n"/>
    </row>
    <row r="95" ht="27.75" customHeight="1" s="568">
      <c r="A95" s="3" t="n"/>
      <c r="B95" s="181">
        <f t="array" ref="B95">INDEX(68:68, 'SEM 2'!$B$5*5 + 5)</f>
        <v/>
      </c>
      <c r="C95" s="177">
        <f t="array" ref="C95">_xlfn._xlws.FILTER('[1]ALFABETICO SEM'!$M$1:$M$196, ('[1]ALFABETICO SEM'!$L$1:$L$196 = B$91) * ('[1]ALFABETICO SEM'!$N$1:$N$196 = B95), " - ")</f>
        <v/>
      </c>
      <c r="D95" s="178" t="n"/>
      <c r="E95" s="131">
        <f t="array" ref="E95">INDEX(68:68, 'SEM 2'!$B$5*5 + 9)</f>
        <v/>
      </c>
      <c r="F95" s="181">
        <f t="array" ref="F95">INDEX(68:68, 'SEM 2'!$B$5*5+1 + 9)</f>
        <v/>
      </c>
      <c r="G95" s="177">
        <f t="array" ref="G95">_xlfn._xlws.FILTER('[1]ALFABETICO SEM'!$M$1:$M$196, ('[1]ALFABETICO SEM'!$L$1:$L$196 = F$91) * ('[1]ALFABETICO SEM'!$N$1:$N$196 = F95), " - ")</f>
        <v/>
      </c>
      <c r="H95" s="178" t="n"/>
      <c r="I95" s="178" t="n"/>
      <c r="J95" s="178" t="n"/>
      <c r="K95" s="178" t="n"/>
      <c r="L95" s="178" t="n"/>
      <c r="M95" s="178" t="n"/>
      <c r="N95" s="131">
        <f t="array" ref="N95">INDEX(68:68, 'SEM 2'!$B$5*5 + 14)</f>
        <v/>
      </c>
      <c r="O95" s="181">
        <f t="array" ref="O95">INDEX(68:68, 'SEM 2'!$B$5*5+1 + 14)</f>
        <v/>
      </c>
      <c r="P95" s="177">
        <f t="array" ref="P95">_xlfn._xlws.FILTER('[1]ALFABETICO SEM'!$M$1:$M$196, ('[1]ALFABETICO SEM'!$L$1:$L$196 = O$91) * ('[1]ALFABETICO SEM'!$N$1:$N$196 = O95), " - ")</f>
        <v/>
      </c>
      <c r="Q95" s="178" t="n"/>
      <c r="R95" s="178" t="n"/>
      <c r="S95" s="178" t="n"/>
      <c r="T95" s="178" t="n"/>
      <c r="U95" s="178" t="n"/>
      <c r="V95" s="178" t="n"/>
      <c r="W95" s="131">
        <f t="array" ref="W95">INDEX(68:68, 'SEM 2'!$B$5*5 + 19)</f>
        <v/>
      </c>
      <c r="X95" s="181">
        <f t="array" ref="X95">INDEX(68:68, 'SEM 2'!$B$5*5+1 + 19)</f>
        <v/>
      </c>
      <c r="Y95" s="177">
        <f t="array" ref="Y95">_xlfn._xlws.FILTER('[1]ALFABETICO SEM'!$M$1:$M$196, ('[1]ALFABETICO SEM'!$L$1:$L$196 = X$91) * ('[1]ALFABETICO SEM'!$N$1:$N$196 = X95), " - ")</f>
        <v/>
      </c>
      <c r="Z95" s="178" t="n"/>
      <c r="AA95" s="178" t="n"/>
      <c r="AB95" s="178" t="n"/>
      <c r="AC95" s="178" t="n"/>
      <c r="AD95" s="178" t="n"/>
      <c r="AE95" s="178" t="n"/>
      <c r="AF95" s="131">
        <f t="array" ref="AF95">INDEX(68:68, 'SEM 2'!$B$5*5 + 24)</f>
        <v/>
      </c>
      <c r="AG95" s="181">
        <f t="array" ref="AG95">INDEX(68:68, 'SEM 2'!$B$5*5+1 + 24)</f>
        <v/>
      </c>
      <c r="AH95" s="177">
        <f t="array" ref="AH95">_xlfn._xlws.FILTER('[1]ALFABETICO SEM'!$M$1:$M$196, ('[1]ALFABETICO SEM'!$L$1:$L$196 = AG$91) * ('[1]ALFABETICO SEM'!$N$1:$N$196 = AG95), " - ")</f>
        <v/>
      </c>
      <c r="AI95" s="178" t="n"/>
      <c r="AJ95" s="178" t="n"/>
      <c r="AK95" s="178" t="n"/>
      <c r="AL95" s="178" t="n"/>
      <c r="AM95" s="178" t="n"/>
      <c r="AN95" s="178" t="n"/>
      <c r="AO95" s="131">
        <f t="array" ref="AO95">INDEX(68:68, 'SEM 2'!$B$5*5 + 29)</f>
        <v/>
      </c>
      <c r="AP95" s="181">
        <f t="array" ref="AP95">INDEX(68:68, 'SEM 2'!$B$5*5+1 + 29)</f>
        <v/>
      </c>
      <c r="AQ95" s="177">
        <f t="array" ref="AQ95">_xlfn._xlws.FILTER('[1]ALFABETICO SEM'!$M$1:$M$196, ('[1]ALFABETICO SEM'!$L$1:$L$196 = AP$91) * ('[1]ALFABETICO SEM'!$N$1:$N$196 = AP95), " - ")</f>
        <v/>
      </c>
      <c r="AR95" s="178" t="n"/>
      <c r="AS95" s="178" t="n"/>
      <c r="AT95" s="178" t="n"/>
      <c r="AU95" s="178" t="n"/>
      <c r="AV95" s="178" t="n"/>
      <c r="AW95" s="178" t="n"/>
      <c r="AX95" s="131">
        <f t="array" ref="AX95">INDEX(68:68, 'SEM 2'!$B$5*5 + 34)</f>
        <v/>
      </c>
      <c r="AY95" s="181">
        <f t="array" ref="AY95">INDEX(68:68, 'SEM 2'!$B$5*5+1 + 34)</f>
        <v/>
      </c>
      <c r="AZ95" s="177">
        <f t="array" ref="AZ95">_xlfn._xlws.FILTER('[1]ALFABETICO SEM'!$M$1:$M$196, ('[1]ALFABETICO SEM'!$L$1:$L$196 = AY$91) * ('[1]ALFABETICO SEM'!$N$1:$N$196 = AY95), " - ")</f>
        <v/>
      </c>
      <c r="BA95" s="178" t="n"/>
      <c r="BB95" s="178" t="n"/>
      <c r="BC95" s="178" t="n"/>
      <c r="BD95" s="178" t="n"/>
      <c r="BE95" s="178" t="n"/>
      <c r="BF95" s="178" t="n"/>
      <c r="BG95" s="131">
        <f t="array" ref="BG95">INDEX(68:68, 'SEM 2'!$B$5*5 + 39)</f>
        <v/>
      </c>
      <c r="BH95" s="181">
        <f t="array" ref="BH95">INDEX(68:68, 'SEM 2'!$B$5*5+1 + 34)</f>
        <v/>
      </c>
      <c r="BI95" s="177">
        <f t="array" ref="BI95">_xlfn._xlws.FILTER('[1]ALFABETICO SEM'!$M$1:$M$196, ('[1]ALFABETICO SEM'!$L$1:$L$196 = BH$91) * ('[1]ALFABETICO SEM'!$N$1:$N$196 = BH95), " - ")</f>
        <v/>
      </c>
      <c r="BJ95" s="178" t="n"/>
      <c r="BK95" s="178" t="n"/>
      <c r="BL95" s="178" t="n"/>
      <c r="BM95" s="178" t="n"/>
      <c r="BN95" s="178" t="n"/>
      <c r="BO95" s="178" t="n"/>
      <c r="BP95" s="131">
        <f t="array" ref="BP95">INDEX(68:68, 'SEM 2'!$B$5*5 + 39)</f>
        <v/>
      </c>
      <c r="EG95" s="393">
        <f>IF(EH95="","",$EG$59)</f>
        <v/>
      </c>
      <c r="EH95" s="393" t="n"/>
      <c r="EI95" s="393" t="n"/>
      <c r="EJ95" s="393" t="n"/>
    </row>
    <row r="96" ht="27.75" customHeight="1" s="568">
      <c r="A96" s="3" t="n"/>
      <c r="B96" s="181">
        <f t="array" ref="B96">INDEX(69:69, 'SEM 2'!$B$5*5 + 5)</f>
        <v/>
      </c>
      <c r="C96" s="177">
        <f t="array" ref="C96">_xlfn._xlws.FILTER('[1]ALFABETICO SEM'!$M$1:$M$196, ('[1]ALFABETICO SEM'!$L$1:$L$196 = B$91) * ('[1]ALFABETICO SEM'!$N$1:$N$196 = B96), " - ")</f>
        <v/>
      </c>
      <c r="D96" s="178" t="n"/>
      <c r="E96" s="131">
        <f t="array" ref="E96">INDEX(69:69, 'SEM 2'!$B$5*5 + 9)</f>
        <v/>
      </c>
      <c r="F96" s="181">
        <f t="array" ref="F96">INDEX(69:69, 'SEM 2'!$B$5*5+1 + 9)</f>
        <v/>
      </c>
      <c r="G96" s="177">
        <f t="array" ref="G96">_xlfn._xlws.FILTER('[1]ALFABETICO SEM'!$M$1:$M$196, ('[1]ALFABETICO SEM'!$L$1:$L$196 = F$91) * ('[1]ALFABETICO SEM'!$N$1:$N$196 = F96), " - ")</f>
        <v/>
      </c>
      <c r="H96" s="178" t="n"/>
      <c r="I96" s="178" t="n"/>
      <c r="J96" s="178" t="n"/>
      <c r="K96" s="178" t="n"/>
      <c r="L96" s="178" t="n"/>
      <c r="M96" s="178" t="n"/>
      <c r="N96" s="131">
        <f t="array" ref="N96">INDEX(69:69, 'SEM 2'!$B$5*5 + 14)</f>
        <v/>
      </c>
      <c r="O96" s="181">
        <f t="array" ref="O96">INDEX(69:69, 'SEM 2'!$B$5*5+1 + 14)</f>
        <v/>
      </c>
      <c r="P96" s="177">
        <f t="array" ref="P96">_xlfn._xlws.FILTER('[1]ALFABETICO SEM'!$M$1:$M$196, ('[1]ALFABETICO SEM'!$L$1:$L$196 = O$91) * ('[1]ALFABETICO SEM'!$N$1:$N$196 = O96), " - ")</f>
        <v/>
      </c>
      <c r="Q96" s="178" t="n"/>
      <c r="R96" s="178" t="n"/>
      <c r="S96" s="178" t="n"/>
      <c r="T96" s="178" t="n"/>
      <c r="U96" s="178" t="n"/>
      <c r="V96" s="178" t="n"/>
      <c r="W96" s="131">
        <f t="array" ref="W96">INDEX(69:69, 'SEM 2'!$B$5*5 + 19)</f>
        <v/>
      </c>
      <c r="X96" s="181">
        <f t="array" ref="X96">INDEX(69:69, 'SEM 2'!$B$5*5+1 + 19)</f>
        <v/>
      </c>
      <c r="Y96" s="177">
        <f t="array" ref="Y96">_xlfn._xlws.FILTER('[1]ALFABETICO SEM'!$M$1:$M$196, ('[1]ALFABETICO SEM'!$L$1:$L$196 = X$91) * ('[1]ALFABETICO SEM'!$N$1:$N$196 = X96), " - ")</f>
        <v/>
      </c>
      <c r="Z96" s="178" t="n"/>
      <c r="AA96" s="178" t="n"/>
      <c r="AB96" s="178" t="n"/>
      <c r="AC96" s="178" t="n"/>
      <c r="AD96" s="178" t="n"/>
      <c r="AE96" s="178" t="n"/>
      <c r="AF96" s="131">
        <f t="array" ref="AF96">INDEX(69:69, 'SEM 2'!$B$5*5 + 24)</f>
        <v/>
      </c>
      <c r="AG96" s="181">
        <f t="array" ref="AG96">INDEX(69:69, 'SEM 2'!$B$5*5+1 + 24)</f>
        <v/>
      </c>
      <c r="AH96" s="177">
        <f t="array" ref="AH96">_xlfn._xlws.FILTER('[1]ALFABETICO SEM'!$M$1:$M$196, ('[1]ALFABETICO SEM'!$L$1:$L$196 = AG$91) * ('[1]ALFABETICO SEM'!$N$1:$N$196 = AG96), " - ")</f>
        <v/>
      </c>
      <c r="AI96" s="178" t="n"/>
      <c r="AJ96" s="178" t="n"/>
      <c r="AK96" s="178" t="n"/>
      <c r="AL96" s="178" t="n"/>
      <c r="AM96" s="178" t="n"/>
      <c r="AN96" s="178" t="n"/>
      <c r="AO96" s="131">
        <f t="array" ref="AO96">INDEX(69:69, 'SEM 2'!$B$5*5 + 29)</f>
        <v/>
      </c>
      <c r="AP96" s="181">
        <f t="array" ref="AP96">INDEX(69:69, 'SEM 2'!$B$5*5+1 + 29)</f>
        <v/>
      </c>
      <c r="AQ96" s="177">
        <f t="array" ref="AQ96">_xlfn._xlws.FILTER('[1]ALFABETICO SEM'!$M$1:$M$196, ('[1]ALFABETICO SEM'!$L$1:$L$196 = AP$91) * ('[1]ALFABETICO SEM'!$N$1:$N$196 = AP96), " - ")</f>
        <v/>
      </c>
      <c r="AR96" s="178" t="n"/>
      <c r="AS96" s="178" t="n"/>
      <c r="AT96" s="178" t="n"/>
      <c r="AU96" s="178" t="n"/>
      <c r="AV96" s="178" t="n"/>
      <c r="AW96" s="178" t="n"/>
      <c r="AX96" s="131">
        <f t="array" ref="AX96">INDEX(69:69, 'SEM 2'!$B$5*5 + 34)</f>
        <v/>
      </c>
      <c r="AY96" s="181">
        <f t="array" ref="AY96">INDEX(69:69, 'SEM 2'!$B$5*5+1 + 34)</f>
        <v/>
      </c>
      <c r="AZ96" s="177">
        <f t="array" ref="AZ96">_xlfn._xlws.FILTER('[1]ALFABETICO SEM'!$M$1:$M$196, ('[1]ALFABETICO SEM'!$L$1:$L$196 = AY$91) * ('[1]ALFABETICO SEM'!$N$1:$N$196 = AY96), " - ")</f>
        <v/>
      </c>
      <c r="BA96" s="178" t="n"/>
      <c r="BB96" s="178" t="n"/>
      <c r="BC96" s="178" t="n"/>
      <c r="BD96" s="178" t="n"/>
      <c r="BE96" s="178" t="n"/>
      <c r="BF96" s="178" t="n"/>
      <c r="BG96" s="131">
        <f t="array" ref="BG96">INDEX(69:69, 'SEM 2'!$B$5*5 + 39)</f>
        <v/>
      </c>
      <c r="BH96" s="181">
        <f t="array" ref="BH96">INDEX(69:69, 'SEM 2'!$B$5*5+1 + 34)</f>
        <v/>
      </c>
      <c r="BI96" s="177">
        <f t="array" ref="BI96">_xlfn._xlws.FILTER('[1]ALFABETICO SEM'!$M$1:$M$196, ('[1]ALFABETICO SEM'!$L$1:$L$196 = BH$91) * ('[1]ALFABETICO SEM'!$N$1:$N$196 = BH96), " - ")</f>
        <v/>
      </c>
      <c r="BJ96" s="178" t="n"/>
      <c r="BK96" s="178" t="n"/>
      <c r="BL96" s="178" t="n"/>
      <c r="BM96" s="178" t="n"/>
      <c r="BN96" s="178" t="n"/>
      <c r="BO96" s="178" t="n"/>
      <c r="BP96" s="131">
        <f t="array" ref="BP96">INDEX(69:69, 'SEM 2'!$B$5*5 + 39)</f>
        <v/>
      </c>
      <c r="EG96" s="393">
        <f>IF(EH96="","",$EG$59)</f>
        <v/>
      </c>
      <c r="EH96" s="393" t="n"/>
      <c r="EI96" s="393" t="n"/>
      <c r="EJ96" s="393" t="n"/>
    </row>
    <row r="97" ht="27.75" customHeight="1" s="568">
      <c r="A97" s="3" t="n"/>
      <c r="B97" s="181">
        <f t="array" ref="B97">INDEX(70:70, 'SEM 2'!$B$5*5 + 5)</f>
        <v/>
      </c>
      <c r="C97" s="177">
        <f t="array" ref="C97">_xlfn._xlws.FILTER('[1]ALFABETICO SEM'!$M$1:$M$196, ('[1]ALFABETICO SEM'!$L$1:$L$196 = B$91) * ('[1]ALFABETICO SEM'!$N$1:$N$196 = B97), " - ")</f>
        <v/>
      </c>
      <c r="D97" s="178" t="n"/>
      <c r="E97" s="131">
        <f t="array" ref="E97">INDEX(70:70, 'SEM 2'!$B$5*5 + 9)</f>
        <v/>
      </c>
      <c r="F97" s="181">
        <f t="array" ref="F97">INDEX(70:70, 'SEM 2'!$B$5*5+1 + 9)</f>
        <v/>
      </c>
      <c r="G97" s="177">
        <f t="array" ref="G97">_xlfn._xlws.FILTER('[1]ALFABETICO SEM'!$M$1:$M$196, ('[1]ALFABETICO SEM'!$L$1:$L$196 = F$91) * ('[1]ALFABETICO SEM'!$N$1:$N$196 = F97), " - ")</f>
        <v/>
      </c>
      <c r="H97" s="178" t="n"/>
      <c r="I97" s="178" t="n"/>
      <c r="J97" s="178" t="n"/>
      <c r="K97" s="178" t="n"/>
      <c r="L97" s="178" t="n"/>
      <c r="M97" s="178" t="n"/>
      <c r="N97" s="131">
        <f t="array" ref="N97">INDEX(70:70, 'SEM 2'!$B$5*5 + 14)</f>
        <v/>
      </c>
      <c r="O97" s="181">
        <f t="array" ref="O97">INDEX(70:70, 'SEM 2'!$B$5*5+1 + 14)</f>
        <v/>
      </c>
      <c r="P97" s="177">
        <f t="array" ref="P97">_xlfn._xlws.FILTER('[1]ALFABETICO SEM'!$M$1:$M$196, ('[1]ALFABETICO SEM'!$L$1:$L$196 = O$91) * ('[1]ALFABETICO SEM'!$N$1:$N$196 = O97), " - ")</f>
        <v/>
      </c>
      <c r="Q97" s="178" t="n"/>
      <c r="R97" s="178" t="n"/>
      <c r="S97" s="178" t="n"/>
      <c r="T97" s="178" t="n"/>
      <c r="U97" s="178" t="n"/>
      <c r="V97" s="178" t="n"/>
      <c r="W97" s="131">
        <f t="array" ref="W97">INDEX(70:70, 'SEM 2'!$B$5*5 + 19)</f>
        <v/>
      </c>
      <c r="X97" s="181">
        <f t="array" ref="X97">INDEX(70:70, 'SEM 2'!$B$5*5+1 + 19)</f>
        <v/>
      </c>
      <c r="Y97" s="177">
        <f t="array" ref="Y97">_xlfn._xlws.FILTER('[1]ALFABETICO SEM'!$M$1:$M$196, ('[1]ALFABETICO SEM'!$L$1:$L$196 = X$91) * ('[1]ALFABETICO SEM'!$N$1:$N$196 = X97), " - ")</f>
        <v/>
      </c>
      <c r="Z97" s="178" t="n"/>
      <c r="AA97" s="178" t="n"/>
      <c r="AB97" s="178" t="n"/>
      <c r="AC97" s="178" t="n"/>
      <c r="AD97" s="178" t="n"/>
      <c r="AE97" s="178" t="n"/>
      <c r="AF97" s="131">
        <f t="array" ref="AF97">INDEX(70:70, 'SEM 2'!$B$5*5 + 24)</f>
        <v/>
      </c>
      <c r="AG97" s="181">
        <f t="array" ref="AG97">INDEX(70:70, 'SEM 2'!$B$5*5+1 + 24)</f>
        <v/>
      </c>
      <c r="AH97" s="177">
        <f t="array" ref="AH97">_xlfn._xlws.FILTER('[1]ALFABETICO SEM'!$M$1:$M$196, ('[1]ALFABETICO SEM'!$L$1:$L$196 = AG$91) * ('[1]ALFABETICO SEM'!$N$1:$N$196 = AG97), " - ")</f>
        <v/>
      </c>
      <c r="AI97" s="178" t="n"/>
      <c r="AJ97" s="178" t="n"/>
      <c r="AK97" s="178" t="n"/>
      <c r="AL97" s="178" t="n"/>
      <c r="AM97" s="178" t="n"/>
      <c r="AN97" s="178" t="n"/>
      <c r="AO97" s="131">
        <f t="array" ref="AO97">INDEX(70:70, 'SEM 2'!$B$5*5 + 29)</f>
        <v/>
      </c>
      <c r="AP97" s="181">
        <f t="array" ref="AP97">INDEX(70:70, 'SEM 2'!$B$5*5+1 + 29)</f>
        <v/>
      </c>
      <c r="AQ97" s="177">
        <f t="array" ref="AQ97">_xlfn._xlws.FILTER('[1]ALFABETICO SEM'!$M$1:$M$196, ('[1]ALFABETICO SEM'!$L$1:$L$196 = AP$91) * ('[1]ALFABETICO SEM'!$N$1:$N$196 = AP97), " - ")</f>
        <v/>
      </c>
      <c r="AR97" s="178" t="n"/>
      <c r="AS97" s="178" t="n"/>
      <c r="AT97" s="178" t="n"/>
      <c r="AU97" s="178" t="n"/>
      <c r="AV97" s="178" t="n"/>
      <c r="AW97" s="178" t="n"/>
      <c r="AX97" s="131">
        <f t="array" ref="AX97">INDEX(70:70, 'SEM 2'!$B$5*5 + 34)</f>
        <v/>
      </c>
      <c r="AY97" s="181">
        <f t="array" ref="AY97">INDEX(70:70, 'SEM 2'!$B$5*5+1 + 34)</f>
        <v/>
      </c>
      <c r="AZ97" s="177">
        <f t="array" ref="AZ97">_xlfn._xlws.FILTER('[1]ALFABETICO SEM'!$M$1:$M$196, ('[1]ALFABETICO SEM'!$L$1:$L$196 = AY$91) * ('[1]ALFABETICO SEM'!$N$1:$N$196 = AY97), " - ")</f>
        <v/>
      </c>
      <c r="BA97" s="178" t="n"/>
      <c r="BB97" s="178" t="n"/>
      <c r="BC97" s="178" t="n"/>
      <c r="BD97" s="178" t="n"/>
      <c r="BE97" s="178" t="n"/>
      <c r="BF97" s="178" t="n"/>
      <c r="BG97" s="131">
        <f t="array" ref="BG97">INDEX(70:70, 'SEM 2'!$B$5*5 + 39)</f>
        <v/>
      </c>
      <c r="BH97" s="181">
        <f t="array" ref="BH97">INDEX(70:70, 'SEM 2'!$B$5*5+1 + 34)</f>
        <v/>
      </c>
      <c r="BI97" s="177">
        <f t="array" ref="BI97">_xlfn._xlws.FILTER('[1]ALFABETICO SEM'!$M$1:$M$196, ('[1]ALFABETICO SEM'!$L$1:$L$196 = BH$91) * ('[1]ALFABETICO SEM'!$N$1:$N$196 = BH97), " - ")</f>
        <v/>
      </c>
      <c r="BJ97" s="178" t="n"/>
      <c r="BK97" s="178" t="n"/>
      <c r="BL97" s="178" t="n"/>
      <c r="BM97" s="178" t="n"/>
      <c r="BN97" s="178" t="n"/>
      <c r="BO97" s="178" t="n"/>
      <c r="BP97" s="131">
        <f t="array" ref="BP97">INDEX(70:70, 'SEM 2'!$B$5*5 + 39)</f>
        <v/>
      </c>
      <c r="EG97" s="393">
        <f>IF(EH97="","",$EG$59)</f>
        <v/>
      </c>
      <c r="EH97" s="393" t="n"/>
      <c r="EI97" s="393" t="n"/>
      <c r="EJ97" s="393" t="n"/>
    </row>
    <row r="98" ht="27.75" customHeight="1" s="568">
      <c r="A98" s="1" t="n"/>
      <c r="B98" s="141">
        <f t="array" ref="B98">INDEX(71:71, 'SEM 2'!$B$5*5 + 5)</f>
        <v/>
      </c>
      <c r="C98" s="133">
        <f t="array" ref="C98">_xlfn._xlws.FILTER('[1]ALFABETICO SEM'!$M$1:$M$196, ('[1]ALFABETICO SEM'!$L$1:$L$196 = B$91) * ('[1]ALFABETICO SEM'!$N$1:$N$196 = B98), " - ")</f>
        <v/>
      </c>
      <c r="D98" s="136" t="n"/>
      <c r="E98" s="135">
        <f t="array" ref="E98">INDEX(71:71, 'SEM 2'!$B$5*5 + 9)</f>
        <v/>
      </c>
      <c r="F98" s="141">
        <f t="array" ref="F98">INDEX(71:71, 'SEM 2'!$B$5*5+1 + 9)</f>
        <v/>
      </c>
      <c r="G98" s="133">
        <f t="array" ref="G98">_xlfn._xlws.FILTER('[1]ALFABETICO SEM'!$M$1:$M$196, ('[1]ALFABETICO SEM'!$L$1:$L$196 = F$91) * ('[1]ALFABETICO SEM'!$N$1:$N$196 = F98), " - ")</f>
        <v/>
      </c>
      <c r="H98" s="136" t="n"/>
      <c r="I98" s="136" t="n"/>
      <c r="J98" s="136" t="n"/>
      <c r="K98" s="136" t="n"/>
      <c r="L98" s="136" t="n"/>
      <c r="M98" s="136" t="n"/>
      <c r="N98" s="135">
        <f t="array" ref="N98">INDEX(71:71, 'SEM 2'!$B$5*5 + 14)</f>
        <v/>
      </c>
      <c r="O98" s="141">
        <f t="array" ref="O98">INDEX(71:71, 'SEM 2'!$B$5*5+1 + 14)</f>
        <v/>
      </c>
      <c r="P98" s="133">
        <f t="array" ref="P98">_xlfn._xlws.FILTER('[1]ALFABETICO SEM'!$M$1:$M$196, ('[1]ALFABETICO SEM'!$L$1:$L$196 = O$91) * ('[1]ALFABETICO SEM'!$N$1:$N$196 = O98), " - ")</f>
        <v/>
      </c>
      <c r="Q98" s="136" t="n"/>
      <c r="R98" s="136" t="n"/>
      <c r="S98" s="136" t="n"/>
      <c r="T98" s="136" t="n"/>
      <c r="U98" s="136" t="n"/>
      <c r="V98" s="136" t="n"/>
      <c r="W98" s="135">
        <f t="array" ref="W98">INDEX(71:71, 'SEM 2'!$B$5*5 + 19)</f>
        <v/>
      </c>
      <c r="X98" s="141">
        <f t="array" ref="X98">INDEX(71:71, 'SEM 2'!$B$5*5+1 + 19)</f>
        <v/>
      </c>
      <c r="Y98" s="133">
        <f t="array" ref="Y98">_xlfn._xlws.FILTER('[1]ALFABETICO SEM'!$M$1:$M$196, ('[1]ALFABETICO SEM'!$L$1:$L$196 = X$91) * ('[1]ALFABETICO SEM'!$N$1:$N$196 = X98), " - ")</f>
        <v/>
      </c>
      <c r="Z98" s="136" t="n"/>
      <c r="AA98" s="136" t="n"/>
      <c r="AB98" s="136" t="n"/>
      <c r="AC98" s="136" t="n"/>
      <c r="AD98" s="136" t="n"/>
      <c r="AE98" s="136" t="n"/>
      <c r="AF98" s="135">
        <f t="array" ref="AF98">INDEX(71:71, 'SEM 2'!$B$5*5 + 24)</f>
        <v/>
      </c>
      <c r="AG98" s="141">
        <f t="array" ref="AG98">INDEX(71:71, 'SEM 2'!$B$5*5+1 + 24)</f>
        <v/>
      </c>
      <c r="AH98" s="133">
        <f t="array" ref="AH98">_xlfn._xlws.FILTER('[1]ALFABETICO SEM'!$M$1:$M$196, ('[1]ALFABETICO SEM'!$L$1:$L$196 = AG$91) * ('[1]ALFABETICO SEM'!$N$1:$N$196 = AG98), " - ")</f>
        <v/>
      </c>
      <c r="AI98" s="136" t="n"/>
      <c r="AJ98" s="136" t="n"/>
      <c r="AK98" s="136" t="n"/>
      <c r="AL98" s="136" t="n"/>
      <c r="AM98" s="136" t="n"/>
      <c r="AN98" s="136" t="n"/>
      <c r="AO98" s="135">
        <f t="array" ref="AO98">INDEX(71:71, 'SEM 2'!$B$5*5 + 29)</f>
        <v/>
      </c>
      <c r="AP98" s="141">
        <f t="array" ref="AP98">INDEX(71:71, 'SEM 2'!$B$5*5+1 + 29)</f>
        <v/>
      </c>
      <c r="AQ98" s="133">
        <f t="array" ref="AQ98">_xlfn._xlws.FILTER('[1]ALFABETICO SEM'!$M$1:$M$196, ('[1]ALFABETICO SEM'!$L$1:$L$196 = AP$91) * ('[1]ALFABETICO SEM'!$N$1:$N$196 = AP98), " - ")</f>
        <v/>
      </c>
      <c r="AR98" s="136" t="n"/>
      <c r="AS98" s="136" t="n"/>
      <c r="AT98" s="136" t="n"/>
      <c r="AU98" s="136" t="n"/>
      <c r="AV98" s="136" t="n"/>
      <c r="AW98" s="136" t="n"/>
      <c r="AX98" s="135">
        <f t="array" ref="AX98">INDEX(71:71, 'SEM 2'!$B$5*5 + 34)</f>
        <v/>
      </c>
      <c r="AY98" s="141">
        <f t="array" ref="AY98">INDEX(71:71, 'SEM 2'!$B$5*5+1 + 34)</f>
        <v/>
      </c>
      <c r="AZ98" s="133">
        <f t="array" ref="AZ98">_xlfn._xlws.FILTER('[1]ALFABETICO SEM'!$M$1:$M$196, ('[1]ALFABETICO SEM'!$L$1:$L$196 = AY$91) * ('[1]ALFABETICO SEM'!$N$1:$N$196 = AY98), " - ")</f>
        <v/>
      </c>
      <c r="BA98" s="136" t="n"/>
      <c r="BB98" s="136" t="n"/>
      <c r="BC98" s="136" t="n"/>
      <c r="BD98" s="136" t="n"/>
      <c r="BE98" s="136" t="n"/>
      <c r="BF98" s="136" t="n"/>
      <c r="BG98" s="135">
        <f t="array" ref="BG98">INDEX(71:71, 'SEM 2'!$B$5*5 + 39)</f>
        <v/>
      </c>
      <c r="BH98" s="141">
        <f t="array" ref="BH98">INDEX(71:71, 'SEM 2'!$B$5*5+1 + 34)</f>
        <v/>
      </c>
      <c r="BI98" s="133">
        <f t="array" ref="BI98">_xlfn._xlws.FILTER('[1]ALFABETICO SEM'!$M$1:$M$196, ('[1]ALFABETICO SEM'!$L$1:$L$196 = BH$91) * ('[1]ALFABETICO SEM'!$N$1:$N$196 = BH98), " - ")</f>
        <v/>
      </c>
      <c r="BJ98" s="136" t="n"/>
      <c r="BK98" s="136" t="n"/>
      <c r="BL98" s="136" t="n"/>
      <c r="BM98" s="136" t="n"/>
      <c r="BN98" s="136" t="n"/>
      <c r="BO98" s="136" t="n"/>
      <c r="BP98" s="135">
        <f t="array" ref="BP98">INDEX(71:71, 'SEM 2'!$B$5*5 + 39)</f>
        <v/>
      </c>
      <c r="EG98" s="393">
        <f>IF(EH98="","",$EG$59)</f>
        <v/>
      </c>
      <c r="EH98" s="393" t="n"/>
      <c r="EI98" s="393" t="n"/>
      <c r="EJ98" s="393" t="n"/>
    </row>
    <row r="99" ht="27.75" customHeight="1" s="568">
      <c r="A99" s="1" t="n"/>
      <c r="EG99" s="393">
        <f>IF(EH99="","",$EG$59)</f>
        <v/>
      </c>
      <c r="EH99" s="393" t="n"/>
      <c r="EI99" s="393" t="n"/>
      <c r="EJ99" s="393" t="n"/>
    </row>
    <row r="100" ht="30" customHeight="1" s="568">
      <c r="EG100" s="393">
        <f>IF(EH100="","",$EG$59)</f>
        <v/>
      </c>
      <c r="EH100" s="393" t="n"/>
      <c r="EI100" s="393" t="n"/>
      <c r="EJ100" s="393" t="n"/>
    </row>
    <row r="101" ht="31.5" customHeight="1" s="568">
      <c r="B101" s="161" t="inlineStr">
        <is>
          <t>FACTOR</t>
        </is>
      </c>
      <c r="C101" s="156" t="inlineStr">
        <is>
          <t>DIVIDENDO</t>
        </is>
      </c>
      <c r="D101" s="174" t="inlineStr">
        <is>
          <t>BS</t>
        </is>
      </c>
      <c r="F101" s="159" t="inlineStr">
        <is>
          <t>BOLETO</t>
        </is>
      </c>
      <c r="G101" s="160" t="n"/>
      <c r="H101" s="162" t="n">
        <v>100</v>
      </c>
      <c r="I101" s="163" t="n"/>
      <c r="BI101" s="356" t="n"/>
      <c r="BN101" s="356" t="n"/>
      <c r="EG101" s="393">
        <f>IF(EH101="","",$EG$59)</f>
        <v/>
      </c>
      <c r="EH101" s="393" t="n"/>
      <c r="EI101" s="393" t="n"/>
      <c r="EJ101" s="393" t="n"/>
    </row>
    <row r="102" ht="30" customHeight="1" s="568">
      <c r="B102" s="158">
        <f>1/5</f>
        <v/>
      </c>
      <c r="C102" s="158">
        <f>1/5</f>
        <v/>
      </c>
      <c r="D102" s="157">
        <f>(DIVIDENDO[[#This Row],[FACTOR]]*$H$101)+$H$101</f>
        <v/>
      </c>
      <c r="BC102" s="356" t="n"/>
      <c r="BH102" s="356" t="n"/>
      <c r="EG102" s="393">
        <f>IF(EH102="","",$EG$59)</f>
        <v/>
      </c>
      <c r="EH102" s="393" t="n"/>
      <c r="EI102" s="393" t="n"/>
      <c r="EJ102" s="393" t="n"/>
    </row>
    <row r="103" ht="30" customHeight="1" s="568">
      <c r="B103" s="158">
        <f>2/5</f>
        <v/>
      </c>
      <c r="C103" s="158">
        <f>2/5</f>
        <v/>
      </c>
      <c r="D103" s="157">
        <f>(DIVIDENDO[[#This Row],[FACTOR]]*$H$101)+$H$101</f>
        <v/>
      </c>
      <c r="BC103" s="356" t="n"/>
      <c r="BH103" s="356" t="n"/>
      <c r="EG103" s="393">
        <f>IF(EH103="","",$EG$59)</f>
        <v/>
      </c>
      <c r="EH103" s="393" t="n"/>
      <c r="EI103" s="393" t="n"/>
      <c r="EJ103" s="393" t="n"/>
    </row>
    <row r="104" ht="30" customHeight="1" s="568">
      <c r="B104" s="158">
        <f>1/2</f>
        <v/>
      </c>
      <c r="C104" s="158">
        <f>1/2</f>
        <v/>
      </c>
      <c r="D104" s="157">
        <f>(DIVIDENDO[[#This Row],[FACTOR]]*$H$101)+$H$101</f>
        <v/>
      </c>
      <c r="BC104" s="356" t="n"/>
      <c r="BH104" s="356" t="n"/>
      <c r="EG104" s="393">
        <f>IF(EH104="","",$EG$59)</f>
        <v/>
      </c>
      <c r="EH104" s="393" t="n"/>
      <c r="EI104" s="393" t="n"/>
      <c r="EJ104" s="393" t="n"/>
    </row>
    <row r="105" ht="30" customHeight="1" s="568">
      <c r="B105" s="158">
        <f>3/5</f>
        <v/>
      </c>
      <c r="C105" s="158">
        <f>3/5</f>
        <v/>
      </c>
      <c r="D105" s="157">
        <f>(DIVIDENDO[[#This Row],[FACTOR]]*$H$101)+$H$101</f>
        <v/>
      </c>
      <c r="BC105" s="356" t="n"/>
      <c r="BH105" s="356" t="n"/>
      <c r="EG105" s="393">
        <f>IF(EH105="","",$EG$59)</f>
        <v/>
      </c>
      <c r="EH105" s="393" t="n"/>
      <c r="EI105" s="393" t="n"/>
      <c r="EJ105" s="393" t="n"/>
    </row>
    <row r="106" ht="30" customHeight="1" s="568">
      <c r="B106" s="158">
        <f>4/5</f>
        <v/>
      </c>
      <c r="C106" s="158">
        <f>4/5</f>
        <v/>
      </c>
      <c r="D106" s="157">
        <f>(DIVIDENDO[[#This Row],[FACTOR]]*$H$101)+$H$101</f>
        <v/>
      </c>
      <c r="BC106" s="356" t="n"/>
      <c r="BH106" s="356" t="n"/>
      <c r="EG106" s="393">
        <f>IF(EH106="","",$EG$59)</f>
        <v/>
      </c>
      <c r="EH106" s="393" t="n"/>
      <c r="EI106" s="393" t="n"/>
      <c r="EJ106" s="393" t="n"/>
    </row>
    <row r="107" ht="30" customHeight="1" s="568">
      <c r="B107" s="158" t="n">
        <v>1</v>
      </c>
      <c r="C107" s="158" t="n">
        <v>1</v>
      </c>
      <c r="D107" s="157">
        <f>(DIVIDENDO[[#This Row],[FACTOR]]*$H$101)+$H$101</f>
        <v/>
      </c>
      <c r="BC107" s="356" t="n"/>
      <c r="BH107" s="356" t="n"/>
      <c r="EG107" s="393">
        <f>IF(EH107="","",$EG$59)</f>
        <v/>
      </c>
      <c r="EH107" s="393" t="n"/>
      <c r="EI107" s="393" t="n"/>
      <c r="EJ107" s="393" t="n"/>
    </row>
    <row r="108" ht="30" customHeight="1" s="568">
      <c r="B108" s="158">
        <f>7/5</f>
        <v/>
      </c>
      <c r="C108" s="158" t="inlineStr">
        <is>
          <t>7/5</t>
        </is>
      </c>
      <c r="D108" s="157">
        <f>(DIVIDENDO[[#This Row],[FACTOR]]*$H$101)+$H$101</f>
        <v/>
      </c>
      <c r="EG108" s="393">
        <f>IF(EH108="","",$EG$59)</f>
        <v/>
      </c>
      <c r="EH108" s="393" t="n"/>
      <c r="EI108" s="393" t="n"/>
      <c r="EJ108" s="393" t="n"/>
    </row>
    <row r="109" ht="30" customHeight="1" s="568">
      <c r="B109" s="158">
        <f>3/2</f>
        <v/>
      </c>
      <c r="C109" s="158" t="inlineStr">
        <is>
          <t>3/2</t>
        </is>
      </c>
      <c r="D109" s="157">
        <f>(DIVIDENDO[[#This Row],[FACTOR]]*$H$101)+$H$101</f>
        <v/>
      </c>
      <c r="EG109" s="393">
        <f>IF(EH109="","",$EG$59)</f>
        <v/>
      </c>
      <c r="EH109" s="393" t="n"/>
      <c r="EI109" s="393" t="n"/>
      <c r="EJ109" s="393" t="n"/>
    </row>
    <row r="110" ht="30" customHeight="1" s="568">
      <c r="B110" s="158">
        <f>8/5</f>
        <v/>
      </c>
      <c r="C110" s="158" t="inlineStr">
        <is>
          <t>8/5</t>
        </is>
      </c>
      <c r="D110" s="157">
        <f>(DIVIDENDO[[#This Row],[FACTOR]]*$H$101)+$H$101</f>
        <v/>
      </c>
      <c r="EG110" s="393">
        <f>IF(EH110="","",$EG$59)</f>
        <v/>
      </c>
      <c r="EH110" s="393" t="n"/>
      <c r="EI110" s="393" t="n"/>
      <c r="EJ110" s="393" t="n"/>
    </row>
    <row r="111" ht="30" customHeight="1" s="568">
      <c r="B111" s="158">
        <f>9/5</f>
        <v/>
      </c>
      <c r="C111" s="158" t="inlineStr">
        <is>
          <t>9/5</t>
        </is>
      </c>
      <c r="D111" s="157">
        <f>(DIVIDENDO[[#This Row],[FACTOR]]*$H$101)+$H$101</f>
        <v/>
      </c>
      <c r="EG111" s="393">
        <f>IF(EH111="","",$EG$59)</f>
        <v/>
      </c>
      <c r="EH111" s="393" t="n"/>
      <c r="EI111" s="393" t="n"/>
      <c r="EJ111" s="393" t="n"/>
    </row>
    <row r="112" ht="30" customHeight="1" s="568">
      <c r="B112" s="158" t="n">
        <v>2</v>
      </c>
      <c r="C112" s="158" t="n">
        <v>2</v>
      </c>
      <c r="D112" s="157">
        <f>(DIVIDENDO[[#This Row],[FACTOR]]*$H$101)+$H$101</f>
        <v/>
      </c>
      <c r="EG112" s="393">
        <f>IF(EH112="","",$EG$59)</f>
        <v/>
      </c>
      <c r="EH112" s="393" t="n"/>
      <c r="EI112" s="393" t="n"/>
      <c r="EJ112" s="393" t="n"/>
    </row>
    <row r="113" ht="30" customHeight="1" s="568">
      <c r="B113" s="158">
        <f>5/2</f>
        <v/>
      </c>
      <c r="C113" s="158" t="inlineStr">
        <is>
          <t>5/2</t>
        </is>
      </c>
      <c r="D113" s="157">
        <f>(DIVIDENDO[[#This Row],[FACTOR]]*$H$101)+$H$101</f>
        <v/>
      </c>
      <c r="EG113">
        <f>IF(EH113="","",$EG$59)</f>
        <v/>
      </c>
      <c r="EH113" s="393" t="n"/>
      <c r="EI113" s="393" t="n"/>
      <c r="EJ113" s="393" t="n"/>
    </row>
    <row r="114" ht="30" customHeight="1" s="568">
      <c r="B114" s="158">
        <f>7/2</f>
        <v/>
      </c>
      <c r="C114" s="158" t="inlineStr">
        <is>
          <t>7/2</t>
        </is>
      </c>
      <c r="D114" s="157">
        <f>(DIVIDENDO[[#This Row],[FACTOR]]*$H$101)+$H$101</f>
        <v/>
      </c>
      <c r="BF114" s="356" t="n"/>
      <c r="BK114" s="356" t="n"/>
      <c r="EG114">
        <f>IF(EH114="","",$EG$59)</f>
        <v/>
      </c>
      <c r="EH114" s="393" t="n"/>
      <c r="EI114" s="393" t="n"/>
      <c r="EJ114" s="393" t="n"/>
    </row>
    <row r="115" ht="30" customHeight="1" s="568">
      <c r="B115" s="158" t="n">
        <v>4</v>
      </c>
      <c r="C115" s="158" t="n">
        <v>4</v>
      </c>
      <c r="D115" s="157">
        <f>(DIVIDENDO[[#This Row],[FACTOR]]*$H$101)+$H$101</f>
        <v/>
      </c>
      <c r="BF115" s="356" t="n"/>
      <c r="BK115" s="356" t="n"/>
      <c r="EG115">
        <f>IF(EH115="","",$EG$59)</f>
        <v/>
      </c>
      <c r="EH115" s="393" t="n"/>
      <c r="EI115" s="393" t="n"/>
      <c r="EJ115" s="393" t="n"/>
    </row>
    <row r="116" ht="30" customHeight="1" s="568">
      <c r="B116" s="158">
        <f>9/2</f>
        <v/>
      </c>
      <c r="C116" s="158" t="inlineStr">
        <is>
          <t>9/2</t>
        </is>
      </c>
      <c r="D116" s="157">
        <f>(DIVIDENDO[[#This Row],[FACTOR]]*$H$101)+$H$101</f>
        <v/>
      </c>
      <c r="BF116" s="356" t="n"/>
      <c r="BK116" s="356" t="n"/>
      <c r="EG116">
        <f>IF(EH116="","",$EG$59)</f>
        <v/>
      </c>
      <c r="EH116" s="393" t="n"/>
      <c r="EI116" s="393" t="n"/>
      <c r="EJ116" s="393" t="n"/>
    </row>
    <row r="117" ht="30" customHeight="1" s="568">
      <c r="B117" s="158" t="n">
        <v>5</v>
      </c>
      <c r="C117" s="158" t="n">
        <v>5</v>
      </c>
      <c r="D117" s="157">
        <f>(DIVIDENDO[[#This Row],[FACTOR]]*$H$101)+$H$101</f>
        <v/>
      </c>
      <c r="BF117" s="356" t="n"/>
      <c r="BK117" s="356" t="n"/>
      <c r="EG117">
        <f>IF(EH117="","",$EG$59)</f>
        <v/>
      </c>
      <c r="EH117" s="393" t="n"/>
      <c r="EI117" s="393" t="n"/>
      <c r="EJ117" s="393" t="n"/>
    </row>
    <row r="118" ht="30" customHeight="1" s="568">
      <c r="B118" s="158" t="n">
        <v>6</v>
      </c>
      <c r="C118" s="158" t="n">
        <v>6</v>
      </c>
      <c r="D118" s="157">
        <f>(DIVIDENDO[[#This Row],[FACTOR]]*$H$101)+$H$101</f>
        <v/>
      </c>
      <c r="BF118" s="356" t="n"/>
      <c r="BK118" s="356" t="n"/>
      <c r="EG118">
        <f>IF(EH118="","",$EG$59)</f>
        <v/>
      </c>
      <c r="EH118" s="393" t="n"/>
      <c r="EI118" s="393" t="n"/>
      <c r="EJ118" s="393" t="n"/>
    </row>
    <row r="119" ht="30" customHeight="1" s="568">
      <c r="B119" s="158" t="n">
        <v>7</v>
      </c>
      <c r="C119" s="158" t="n">
        <v>7</v>
      </c>
      <c r="D119" s="157">
        <f>(DIVIDENDO[[#This Row],[FACTOR]]*$H$101)+$H$101</f>
        <v/>
      </c>
      <c r="BF119" s="356" t="n"/>
      <c r="BK119" s="356" t="n"/>
      <c r="EG119">
        <f>IF(EH119="","",$EG$59)</f>
        <v/>
      </c>
      <c r="EH119" s="393" t="n"/>
      <c r="EI119" s="393" t="n"/>
      <c r="EJ119" s="393" t="n"/>
    </row>
    <row r="120" ht="30" customHeight="1" s="568">
      <c r="B120" s="158" t="n">
        <v>9</v>
      </c>
      <c r="C120" s="158" t="n">
        <v>9</v>
      </c>
      <c r="D120" s="157">
        <f>(DIVIDENDO[[#This Row],[FACTOR]]*$H$101)+$H$101</f>
        <v/>
      </c>
      <c r="EG120">
        <f>IF(EH120="","",$EG$59)</f>
        <v/>
      </c>
      <c r="EH120" s="393" t="n"/>
      <c r="EI120" s="393" t="n"/>
      <c r="EJ120" s="393" t="n"/>
    </row>
    <row r="121" ht="30" customHeight="1" s="568">
      <c r="B121" s="158" t="n">
        <v>10</v>
      </c>
      <c r="C121" s="158" t="n">
        <v>10</v>
      </c>
      <c r="D121" s="157">
        <f>(DIVIDENDO[[#This Row],[FACTOR]]*$H$101)+$H$101</f>
        <v/>
      </c>
      <c r="EG121">
        <f>IF(EH121="","",$EG$59)</f>
        <v/>
      </c>
      <c r="EH121" s="393" t="n"/>
      <c r="EI121" s="393" t="n"/>
      <c r="EJ121" s="393" t="n"/>
    </row>
    <row r="122" ht="30" customHeight="1" s="568">
      <c r="B122" s="158" t="n">
        <v>11</v>
      </c>
      <c r="C122" s="158" t="n">
        <v>11</v>
      </c>
      <c r="D122" s="157">
        <f>(DIVIDENDO[[#This Row],[FACTOR]]*$H$101)+$H$101</f>
        <v/>
      </c>
      <c r="EG122">
        <f>IF(EH122="","",$EG$59)</f>
        <v/>
      </c>
      <c r="EH122" s="393" t="n"/>
      <c r="EI122" s="393" t="n"/>
      <c r="EJ122" s="393" t="n"/>
    </row>
    <row r="123" ht="30" customHeight="1" s="568">
      <c r="B123" s="158" t="n">
        <v>12</v>
      </c>
      <c r="C123" s="158" t="n">
        <v>12</v>
      </c>
      <c r="D123" s="157">
        <f>(DIVIDENDO[[#This Row],[FACTOR]]*$H$101)+$H$101</f>
        <v/>
      </c>
      <c r="EG123">
        <f>IF(EH123="","",$EG$59)</f>
        <v/>
      </c>
      <c r="EH123" s="393" t="n"/>
      <c r="EI123" s="393" t="n"/>
      <c r="EJ123" s="393" t="n"/>
    </row>
    <row r="124" ht="30" customHeight="1" s="568">
      <c r="B124" s="158" t="n">
        <v>13</v>
      </c>
      <c r="C124" s="158" t="n">
        <v>13</v>
      </c>
      <c r="D124" s="157">
        <f>(DIVIDENDO[[#This Row],[FACTOR]]*$H$101)+$H$101</f>
        <v/>
      </c>
      <c r="EG124">
        <f>IF(EH124="","",$EG$59)</f>
        <v/>
      </c>
      <c r="EH124" s="393" t="n"/>
      <c r="EI124" s="393" t="n"/>
      <c r="EJ124" s="393" t="n"/>
    </row>
    <row r="125" ht="30" customHeight="1" s="568">
      <c r="B125" s="158" t="n">
        <v>14</v>
      </c>
      <c r="C125" s="158" t="n">
        <v>14</v>
      </c>
      <c r="D125" s="157">
        <f>(DIVIDENDO[[#This Row],[FACTOR]]*$H$101)+$H$101</f>
        <v/>
      </c>
      <c r="EG125">
        <f>IF(EH125="","",$EG$59)</f>
        <v/>
      </c>
      <c r="EH125" s="393" t="n"/>
      <c r="EI125" s="393" t="n"/>
      <c r="EJ125" s="393" t="n"/>
    </row>
    <row r="126" ht="30" customHeight="1" s="568">
      <c r="B126" s="158" t="n">
        <v>16</v>
      </c>
      <c r="C126" s="158" t="n">
        <v>16</v>
      </c>
      <c r="D126" s="157">
        <f>(DIVIDENDO[[#This Row],[FACTOR]]*$H$101)+$H$101</f>
        <v/>
      </c>
      <c r="EG126">
        <f>IF(EH126="","",$EG$59)</f>
        <v/>
      </c>
      <c r="EH126" s="393" t="n"/>
      <c r="EI126" s="393" t="n"/>
      <c r="EJ126" s="393" t="n"/>
    </row>
    <row r="127" ht="30" customHeight="1" s="568">
      <c r="B127" s="158" t="n">
        <v>17</v>
      </c>
      <c r="C127" s="158" t="n">
        <v>17</v>
      </c>
      <c r="D127" s="157">
        <f>(DIVIDENDO[[#This Row],[FACTOR]]*$H$101)+$H$101</f>
        <v/>
      </c>
      <c r="EG127">
        <f>IF(EH127="","",$EG$59)</f>
        <v/>
      </c>
      <c r="EH127" s="393" t="n"/>
      <c r="EI127" s="393" t="n"/>
      <c r="EJ127" s="393" t="n"/>
    </row>
    <row r="128" ht="30" customHeight="1" s="568">
      <c r="B128" s="158" t="n">
        <v>18</v>
      </c>
      <c r="C128" s="158" t="n">
        <v>18</v>
      </c>
      <c r="D128" s="157">
        <f>(DIVIDENDO[[#This Row],[FACTOR]]*$H$101)+$H$101</f>
        <v/>
      </c>
      <c r="EG128">
        <f>IF(EH128="","",$EG$59)</f>
        <v/>
      </c>
      <c r="EH128" s="393" t="n"/>
      <c r="EI128" s="393" t="n"/>
      <c r="EJ128" s="393" t="n"/>
    </row>
    <row r="129" ht="30" customHeight="1" s="568">
      <c r="B129" s="158" t="n">
        <v>19</v>
      </c>
      <c r="C129" s="158" t="n">
        <v>19</v>
      </c>
      <c r="D129" s="157">
        <f>(DIVIDENDO[[#This Row],[FACTOR]]*$H$101)+$H$101</f>
        <v/>
      </c>
      <c r="EG129">
        <f>IF(EH129="","",$EG$59)</f>
        <v/>
      </c>
      <c r="EH129" s="393" t="n"/>
      <c r="EI129" s="393" t="n"/>
      <c r="EJ129" s="393" t="n"/>
    </row>
    <row r="130" ht="30" customHeight="1" s="568">
      <c r="EG130">
        <f>IF(EH130="","",$EG$59)</f>
        <v/>
      </c>
      <c r="EH130" s="393" t="n"/>
      <c r="EI130" s="393" t="n"/>
      <c r="EJ130" s="393" t="n"/>
    </row>
    <row r="131" ht="30" customHeight="1" s="568">
      <c r="EG131">
        <f>IF(EH131="","",$EG$59)</f>
        <v/>
      </c>
      <c r="EH131" s="393" t="n"/>
      <c r="EI131" s="393" t="n"/>
      <c r="EJ131" s="393" t="n"/>
    </row>
    <row r="132" ht="30" customHeight="1" s="568">
      <c r="EG132">
        <f>IF(EH132="","",$EG$59)</f>
        <v/>
      </c>
      <c r="EH132" s="393" t="n"/>
      <c r="EI132" s="393" t="n"/>
      <c r="EJ132" s="393" t="n"/>
    </row>
    <row r="133" ht="30" customHeight="1" s="568">
      <c r="EG133">
        <f>IF(EH133="","",$EG$59)</f>
        <v/>
      </c>
      <c r="EH133" s="393" t="n"/>
      <c r="EI133" s="393" t="n"/>
      <c r="EJ133" s="393" t="n"/>
    </row>
    <row r="134" ht="30" customHeight="1" s="568">
      <c r="EG134">
        <f>IF(EH134="","",$EG$59)</f>
        <v/>
      </c>
      <c r="EH134" s="393" t="n"/>
      <c r="EI134" s="393" t="n"/>
      <c r="EJ134" s="393" t="n"/>
    </row>
    <row r="135" ht="30" customHeight="1" s="568">
      <c r="EG135">
        <f>IF(EH135="","",$EG$59)</f>
        <v/>
      </c>
      <c r="EH135" s="393" t="n"/>
      <c r="EI135" s="393" t="n"/>
      <c r="EJ135" s="393" t="n"/>
    </row>
    <row r="136" ht="30" customHeight="1" s="568">
      <c r="EG136">
        <f>IF(EH136="","",$EG$59)</f>
        <v/>
      </c>
      <c r="EH136" s="393" t="n"/>
      <c r="EI136" s="393" t="n"/>
      <c r="EJ136" s="393" t="n"/>
    </row>
    <row r="137" ht="30" customHeight="1" s="568">
      <c r="EG137">
        <f>IF(EH137="","",$EG$59)</f>
        <v/>
      </c>
      <c r="EH137" s="393" t="n"/>
      <c r="EI137" s="393" t="n"/>
      <c r="EJ137" s="393" t="n"/>
    </row>
    <row r="138" ht="30" customHeight="1" s="568">
      <c r="EG138">
        <f>IF(EH138="","",$EG$59)</f>
        <v/>
      </c>
      <c r="EH138" s="393" t="n"/>
      <c r="EI138" s="393" t="n"/>
      <c r="EJ138" s="393" t="n"/>
    </row>
    <row r="139" ht="30" customHeight="1" s="568">
      <c r="EG139">
        <f>IF(EH139="","",$EG$59)</f>
        <v/>
      </c>
      <c r="EH139" s="393" t="n"/>
      <c r="EI139" s="393" t="n"/>
      <c r="EJ139" s="393" t="n"/>
    </row>
    <row r="140" ht="30" customHeight="1" s="568">
      <c r="EG140">
        <f>IF(EH140="","",$EG$59)</f>
        <v/>
      </c>
      <c r="EH140" s="393" t="n"/>
      <c r="EI140" s="393" t="n"/>
      <c r="EJ140" s="393" t="n"/>
    </row>
    <row r="141" ht="30" customHeight="1" s="568">
      <c r="EG141">
        <f>IF(EH141="","",$EG$59)</f>
        <v/>
      </c>
      <c r="EH141" s="393" t="n"/>
      <c r="EI141" s="393" t="n"/>
      <c r="EJ141" s="393" t="n"/>
    </row>
    <row r="142" ht="30" customHeight="1" s="568">
      <c r="EG142">
        <f>IF(EH142="","",$EG$59)</f>
        <v/>
      </c>
      <c r="EH142" s="393" t="n"/>
      <c r="EI142" s="393" t="n"/>
      <c r="EJ142" s="393" t="n"/>
    </row>
    <row r="143" ht="30" customHeight="1" s="568">
      <c r="EG143">
        <f>IF(EH143="","",$EG$59)</f>
        <v/>
      </c>
      <c r="EH143" s="393" t="n"/>
      <c r="EI143" s="393" t="n"/>
      <c r="EJ143" s="393" t="n"/>
    </row>
    <row r="144" ht="30" customHeight="1" s="568">
      <c r="EG144">
        <f>IF(EH144="","",$EG$59)</f>
        <v/>
      </c>
      <c r="EH144" s="393" t="n"/>
      <c r="EI144" s="393" t="n"/>
      <c r="EJ144" s="393" t="n"/>
    </row>
    <row r="145" ht="30" customHeight="1" s="568">
      <c r="EG145">
        <f>IF(EH145="","",$EG$59)</f>
        <v/>
      </c>
      <c r="EH145" s="393" t="n"/>
      <c r="EI145" s="393" t="n"/>
      <c r="EJ145" s="393" t="n"/>
    </row>
    <row r="146" ht="30" customHeight="1" s="568">
      <c r="EG146">
        <f>IF(EH146="","",$EG$59)</f>
        <v/>
      </c>
      <c r="EH146" s="393" t="n"/>
      <c r="EI146" s="393" t="n"/>
      <c r="EJ146" s="393" t="n"/>
    </row>
    <row r="147" ht="30" customHeight="1" s="568">
      <c r="EG147">
        <f>IF(EH147="","",$EG$59)</f>
        <v/>
      </c>
      <c r="EH147" s="393" t="n"/>
      <c r="EI147" s="393" t="n"/>
      <c r="EJ147" s="393" t="n"/>
    </row>
    <row r="148" ht="30" customHeight="1" s="568">
      <c r="EH148" s="393" t="n"/>
      <c r="EI148" s="393" t="n"/>
      <c r="EJ148" s="393" t="n"/>
    </row>
    <row r="149" ht="30" customHeight="1" s="568">
      <c r="EH149" s="393" t="n"/>
      <c r="EI149" s="393" t="n"/>
      <c r="EJ149" s="393" t="n"/>
    </row>
    <row r="150" ht="30" customHeight="1" s="568">
      <c r="EH150" s="393" t="n"/>
      <c r="EI150" s="393" t="n"/>
      <c r="EJ150" s="393" t="n"/>
    </row>
    <row r="151" ht="30" customHeight="1" s="568">
      <c r="EH151" s="393" t="n"/>
      <c r="EI151" s="393" t="n"/>
      <c r="EJ151" s="393" t="n"/>
    </row>
    <row r="152" ht="30" customHeight="1" s="568">
      <c r="EH152" s="393" t="n"/>
      <c r="EI152" s="393" t="n"/>
      <c r="EJ152" s="393" t="n"/>
    </row>
    <row r="153" ht="30" customHeight="1" s="568"/>
    <row r="154" ht="30" customHeight="1" s="568"/>
    <row r="155" ht="30" customHeight="1" s="568"/>
    <row r="156" ht="30" customHeight="1" s="568"/>
    <row r="157" ht="30" customHeight="1" s="568"/>
    <row r="158" ht="30" customHeight="1" s="568"/>
    <row r="159" ht="30" customHeight="1" s="568"/>
    <row r="160" ht="30" customHeight="1" s="568"/>
    <row r="161" ht="30" customHeight="1" s="568"/>
    <row r="162" ht="30" customHeight="1" s="568"/>
    <row r="163" ht="30" customHeight="1" s="568"/>
    <row r="164" ht="30" customHeight="1" s="568"/>
    <row r="165" ht="30" customHeight="1" s="568"/>
    <row r="166" ht="30" customHeight="1" s="568"/>
    <row r="167" ht="30" customHeight="1" s="568"/>
    <row r="168" ht="30" customHeight="1" s="568"/>
    <row r="169" ht="30" customHeight="1" s="568"/>
    <row r="170" ht="30" customHeight="1" s="568"/>
    <row r="171" ht="30" customHeight="1" s="568"/>
    <row r="172" ht="30" customHeight="1" s="568"/>
    <row r="173" ht="30" customHeight="1" s="568"/>
    <row r="174" ht="30" customHeight="1" s="568"/>
    <row r="175" ht="30" customHeight="1" s="568"/>
    <row r="176" ht="30" customHeight="1" s="568"/>
    <row r="177" ht="30" customHeight="1" s="568"/>
    <row r="178" ht="30" customHeight="1" s="568"/>
    <row r="179" ht="30" customHeight="1" s="568"/>
    <row r="180" ht="30" customHeight="1" s="568"/>
    <row r="181" ht="30" customHeight="1" s="568"/>
    <row r="182" ht="30" customHeight="1" s="568"/>
    <row r="183" ht="30" customHeight="1" s="568"/>
    <row r="184" ht="30" customHeight="1" s="568"/>
    <row r="185" ht="30" customHeight="1" s="568"/>
    <row r="186" ht="30" customHeight="1" s="568"/>
    <row r="187" ht="30" customHeight="1" s="568"/>
    <row r="188" ht="30" customHeight="1" s="568"/>
    <row r="189" ht="30" customHeight="1" s="568"/>
    <row r="190" ht="30" customHeight="1" s="568"/>
    <row r="191" ht="30" customHeight="1" s="568"/>
    <row r="192" ht="30" customHeight="1" s="568"/>
    <row r="193" ht="30" customHeight="1" s="568"/>
    <row r="194" ht="30" customHeight="1" s="568"/>
    <row r="195" ht="30" customHeight="1" s="568"/>
    <row r="196" ht="30" customHeight="1" s="568"/>
    <row r="197" ht="30" customHeight="1" s="568"/>
    <row r="198" ht="30" customHeight="1" s="568"/>
    <row r="199" ht="30" customHeight="1" s="568"/>
    <row r="200" ht="30" customHeight="1" s="568"/>
    <row r="201" ht="30" customHeight="1" s="568"/>
    <row r="202" ht="30" customHeight="1" s="568"/>
    <row r="203" ht="30" customHeight="1" s="568"/>
    <row r="204" ht="30" customHeight="1" s="568"/>
    <row r="205" ht="30" customHeight="1" s="568"/>
    <row r="206" ht="30" customHeight="1" s="568"/>
    <row r="207" ht="30" customHeight="1" s="568"/>
    <row r="208" ht="30" customHeight="1" s="568"/>
  </sheetData>
  <mergeCells count="8">
    <mergeCell ref="CT58:CU58"/>
    <mergeCell ref="CT60:CU60"/>
    <mergeCell ref="CT61:CU61"/>
    <mergeCell ref="AN61:AW61"/>
    <mergeCell ref="AN60:AW60"/>
    <mergeCell ref="T3:AB3"/>
    <mergeCell ref="CT59:CU59"/>
    <mergeCell ref="AH3:AM3"/>
  </mergeCells>
  <conditionalFormatting sqref="B85:B90 F85:F90 F93:F98 O85:O90 O93:O98 X85:X90 X93:X98 AG85:AG90 AG93:AG98 AP85:AP90">
    <cfRule type="cellIs" priority="460" operator="equal" dxfId="9">
      <formula>10</formula>
    </cfRule>
    <cfRule type="cellIs" priority="469" operator="equal" dxfId="0">
      <formula>1</formula>
    </cfRule>
    <cfRule type="cellIs" priority="468" operator="equal" dxfId="1">
      <formula>2</formula>
    </cfRule>
    <cfRule type="cellIs" priority="467" operator="equal" dxfId="2">
      <formula>3</formula>
    </cfRule>
    <cfRule type="cellIs" priority="466" operator="equal" dxfId="3">
      <formula>4</formula>
    </cfRule>
    <cfRule type="cellIs" priority="465" operator="equal" dxfId="4">
      <formula>5</formula>
    </cfRule>
    <cfRule type="cellIs" priority="464" operator="equal" dxfId="5">
      <formula>6</formula>
    </cfRule>
    <cfRule type="cellIs" priority="462" operator="equal" dxfId="7">
      <formula>8</formula>
    </cfRule>
    <cfRule type="cellIs" priority="461" operator="equal" dxfId="8">
      <formula>9</formula>
    </cfRule>
    <cfRule type="cellIs" priority="457" operator="equal" dxfId="12">
      <formula>13</formula>
    </cfRule>
    <cfRule type="cellIs" priority="459" operator="equal" dxfId="10">
      <formula>11</formula>
    </cfRule>
    <cfRule type="cellIs" priority="458" operator="equal" dxfId="11">
      <formula>12</formula>
    </cfRule>
    <cfRule type="cellIs" priority="456" operator="equal" dxfId="13">
      <formula>14</formula>
    </cfRule>
    <cfRule type="cellIs" priority="463" operator="equal" dxfId="6">
      <formula>7</formula>
    </cfRule>
  </conditionalFormatting>
  <conditionalFormatting sqref="B93:B98">
    <cfRule type="cellIs" priority="447" operator="equal" dxfId="8">
      <formula>9</formula>
    </cfRule>
    <cfRule type="cellIs" priority="446" operator="equal" dxfId="9">
      <formula>10</formula>
    </cfRule>
    <cfRule type="cellIs" priority="445" operator="equal" dxfId="10">
      <formula>11</formula>
    </cfRule>
    <cfRule type="cellIs" priority="444" operator="equal" dxfId="11">
      <formula>12</formula>
    </cfRule>
    <cfRule type="cellIs" priority="443" operator="equal" dxfId="12">
      <formula>13</formula>
    </cfRule>
    <cfRule type="cellIs" priority="452" operator="equal" dxfId="3">
      <formula>4</formula>
    </cfRule>
    <cfRule type="cellIs" priority="442" operator="equal" dxfId="13">
      <formula>14</formula>
    </cfRule>
    <cfRule type="cellIs" priority="455" operator="equal" dxfId="0">
      <formula>1</formula>
    </cfRule>
    <cfRule type="cellIs" priority="454" operator="equal" dxfId="1">
      <formula>2</formula>
    </cfRule>
    <cfRule type="cellIs" priority="453" operator="equal" dxfId="2">
      <formula>3</formula>
    </cfRule>
    <cfRule type="cellIs" priority="451" operator="equal" dxfId="4">
      <formula>5</formula>
    </cfRule>
    <cfRule type="cellIs" priority="450" operator="equal" dxfId="5">
      <formula>6</formula>
    </cfRule>
    <cfRule type="cellIs" priority="449" operator="equal" dxfId="6">
      <formula>7</formula>
    </cfRule>
    <cfRule type="cellIs" priority="448" operator="equal" dxfId="7">
      <formula>8</formula>
    </cfRule>
  </conditionalFormatting>
  <conditionalFormatting sqref="C8:C57">
    <cfRule type="expression" priority="474" dxfId="124">
      <formula>$CM8&gt;$CN8</formula>
    </cfRule>
  </conditionalFormatting>
  <conditionalFormatting sqref="D8:D57">
    <cfRule type="containsText" priority="477" operator="containsText" dxfId="120" text="MEETING">
      <formula>NOT(ISERROR(SEARCH("MEETING",D8)))</formula>
    </cfRule>
    <cfRule type="containsText" priority="478" operator="containsText" dxfId="123" text="PREMIO">
      <formula>NOT(ISERROR(SEARCH("PREMIO",D8)))</formula>
    </cfRule>
    <cfRule type="containsText" priority="171" operator="containsText" dxfId="122" text="PENDIENTE">
      <formula>NOT(ISERROR(SEARCH("PENDIENTE",D8)))</formula>
    </cfRule>
    <cfRule type="containsText" priority="476" operator="containsText" dxfId="121" text="NO ENVIÓ">
      <formula>NOT(ISERROR(SEARCH("NO ENVIÓ",D8)))</formula>
    </cfRule>
  </conditionalFormatting>
  <conditionalFormatting sqref="E8:E57">
    <cfRule type="expression" priority="25" dxfId="19">
      <formula>AND(H8="F")</formula>
    </cfRule>
    <cfRule type="expression" priority="26" dxfId="18">
      <formula>AND(H8="SF")</formula>
    </cfRule>
  </conditionalFormatting>
  <conditionalFormatting sqref="J8:J57">
    <cfRule type="expression" priority="23" dxfId="19">
      <formula>AND(M8="F")</formula>
    </cfRule>
    <cfRule type="expression" priority="24" dxfId="18">
      <formula>AND(M8="SF")</formula>
    </cfRule>
  </conditionalFormatting>
  <conditionalFormatting sqref="O8:O57">
    <cfRule type="expression" priority="22" dxfId="18">
      <formula>AND(R8="SF")</formula>
    </cfRule>
    <cfRule type="expression" priority="21" dxfId="19">
      <formula>AND(R8="F")</formula>
    </cfRule>
  </conditionalFormatting>
  <conditionalFormatting sqref="T8:T57">
    <cfRule type="expression" priority="20" dxfId="18">
      <formula>AND(W8="SF")</formula>
    </cfRule>
    <cfRule type="expression" priority="19" dxfId="19">
      <formula>AND(W8="F")</formula>
    </cfRule>
  </conditionalFormatting>
  <conditionalFormatting sqref="Y8:Y57">
    <cfRule type="expression" priority="18" dxfId="18">
      <formula>AND(AB8="SF")</formula>
    </cfRule>
    <cfRule type="expression" priority="17" dxfId="19">
      <formula>AND(AB8="F")</formula>
    </cfRule>
  </conditionalFormatting>
  <conditionalFormatting sqref="AD8:AD57">
    <cfRule type="expression" priority="16" dxfId="18">
      <formula>AND(AG8="SF")</formula>
    </cfRule>
    <cfRule type="expression" priority="15" dxfId="19">
      <formula>AND(AG8="F")</formula>
    </cfRule>
  </conditionalFormatting>
  <conditionalFormatting sqref="AI8:AI57">
    <cfRule type="expression" priority="14" dxfId="18">
      <formula>AND(AL8="SF")</formula>
    </cfRule>
    <cfRule type="expression" priority="13" dxfId="19">
      <formula>AND(AL8="F")</formula>
    </cfRule>
  </conditionalFormatting>
  <conditionalFormatting sqref="AN8:AN57">
    <cfRule type="expression" priority="11" dxfId="19">
      <formula>AND(AQ8="F")</formula>
    </cfRule>
    <cfRule type="expression" priority="12" dxfId="18">
      <formula>AND(AQ8="SF")</formula>
    </cfRule>
  </conditionalFormatting>
  <conditionalFormatting sqref="AP93:AP98">
    <cfRule type="cellIs" priority="144" operator="equal" dxfId="2">
      <formula>3</formula>
    </cfRule>
    <cfRule type="cellIs" priority="143" operator="equal" dxfId="3">
      <formula>4</formula>
    </cfRule>
    <cfRule type="cellIs" priority="142" operator="equal" dxfId="4">
      <formula>5</formula>
    </cfRule>
    <cfRule type="cellIs" priority="141" operator="equal" dxfId="5">
      <formula>6</formula>
    </cfRule>
    <cfRule type="cellIs" priority="140" operator="equal" dxfId="6">
      <formula>7</formula>
    </cfRule>
    <cfRule type="cellIs" priority="139" operator="equal" dxfId="7">
      <formula>8</formula>
    </cfRule>
    <cfRule type="cellIs" priority="138" operator="equal" dxfId="8">
      <formula>9</formula>
    </cfRule>
    <cfRule type="cellIs" priority="133" operator="equal" dxfId="13">
      <formula>14</formula>
    </cfRule>
    <cfRule type="cellIs" priority="146" operator="equal" dxfId="0">
      <formula>1</formula>
    </cfRule>
    <cfRule type="cellIs" priority="136" operator="equal" dxfId="10">
      <formula>11</formula>
    </cfRule>
    <cfRule type="cellIs" priority="135" operator="equal" dxfId="11">
      <formula>12</formula>
    </cfRule>
    <cfRule type="cellIs" priority="134" operator="equal" dxfId="12">
      <formula>13</formula>
    </cfRule>
    <cfRule type="cellIs" priority="137" operator="equal" dxfId="9">
      <formula>10</formula>
    </cfRule>
    <cfRule type="cellIs" priority="145" operator="equal" dxfId="1">
      <formula>2</formula>
    </cfRule>
  </conditionalFormatting>
  <conditionalFormatting sqref="AS8:AS57">
    <cfRule type="expression" priority="10" dxfId="18">
      <formula>AND(AV8="SF")</formula>
    </cfRule>
    <cfRule type="expression" priority="9" dxfId="19">
      <formula>AND(AV8="F")</formula>
    </cfRule>
  </conditionalFormatting>
  <conditionalFormatting sqref="AX8:AX57">
    <cfRule type="expression" priority="8" dxfId="18">
      <formula>AND(BA8="SF")</formula>
    </cfRule>
    <cfRule type="expression" priority="7" dxfId="19">
      <formula>AND(BA8="F")</formula>
    </cfRule>
  </conditionalFormatting>
  <conditionalFormatting sqref="AY85:AY90">
    <cfRule type="cellIs" priority="374" operator="equal" dxfId="11">
      <formula>12</formula>
    </cfRule>
    <cfRule type="cellIs" priority="375" operator="equal" dxfId="10">
      <formula>11</formula>
    </cfRule>
    <cfRule type="cellIs" priority="376" operator="equal" dxfId="9">
      <formula>10</formula>
    </cfRule>
    <cfRule type="cellIs" priority="382" operator="equal" dxfId="3">
      <formula>4</formula>
    </cfRule>
    <cfRule type="cellIs" priority="377" operator="equal" dxfId="8">
      <formula>9</formula>
    </cfRule>
    <cfRule type="cellIs" priority="378" operator="equal" dxfId="7">
      <formula>8</formula>
    </cfRule>
    <cfRule type="cellIs" priority="379" operator="equal" dxfId="6">
      <formula>7</formula>
    </cfRule>
    <cfRule type="cellIs" priority="380" operator="equal" dxfId="5">
      <formula>6</formula>
    </cfRule>
    <cfRule type="cellIs" priority="381" operator="equal" dxfId="4">
      <formula>5</formula>
    </cfRule>
    <cfRule type="cellIs" priority="372" operator="equal" dxfId="13">
      <formula>14</formula>
    </cfRule>
    <cfRule type="cellIs" priority="383" operator="equal" dxfId="2">
      <formula>3</formula>
    </cfRule>
    <cfRule type="cellIs" priority="373" operator="equal" dxfId="12">
      <formula>13</formula>
    </cfRule>
    <cfRule type="cellIs" priority="384" operator="equal" dxfId="1">
      <formula>2</formula>
    </cfRule>
    <cfRule type="cellIs" priority="385" operator="equal" dxfId="0">
      <formula>1</formula>
    </cfRule>
  </conditionalFormatting>
  <conditionalFormatting sqref="AY93:AY98">
    <cfRule type="cellIs" priority="116" operator="equal" dxfId="2">
      <formula>3</formula>
    </cfRule>
    <cfRule type="cellIs" priority="117" operator="equal" dxfId="1">
      <formula>2</formula>
    </cfRule>
    <cfRule type="cellIs" priority="118" operator="equal" dxfId="0">
      <formula>1</formula>
    </cfRule>
    <cfRule type="cellIs" priority="105" operator="equal" dxfId="13">
      <formula>14</formula>
    </cfRule>
    <cfRule type="cellIs" priority="106" operator="equal" dxfId="12">
      <formula>13</formula>
    </cfRule>
    <cfRule type="cellIs" priority="107" operator="equal" dxfId="11">
      <formula>12</formula>
    </cfRule>
    <cfRule type="cellIs" priority="108" operator="equal" dxfId="10">
      <formula>11</formula>
    </cfRule>
    <cfRule type="cellIs" priority="109" operator="equal" dxfId="9">
      <formula>10</formula>
    </cfRule>
    <cfRule type="cellIs" priority="110" operator="equal" dxfId="8">
      <formula>9</formula>
    </cfRule>
    <cfRule type="cellIs" priority="111" operator="equal" dxfId="7">
      <formula>8</formula>
    </cfRule>
    <cfRule type="cellIs" priority="112" operator="equal" dxfId="6">
      <formula>7</formula>
    </cfRule>
    <cfRule type="cellIs" priority="113" operator="equal" dxfId="5">
      <formula>6</formula>
    </cfRule>
    <cfRule type="cellIs" priority="114" operator="equal" dxfId="4">
      <formula>5</formula>
    </cfRule>
    <cfRule type="cellIs" priority="115" operator="equal" dxfId="3">
      <formula>4</formula>
    </cfRule>
  </conditionalFormatting>
  <conditionalFormatting sqref="BC8:BC57">
    <cfRule type="expression" priority="6" dxfId="18">
      <formula>AND(BF8="SF")</formula>
    </cfRule>
    <cfRule type="expression" priority="5" dxfId="19">
      <formula>AND(BF8="F")</formula>
    </cfRule>
  </conditionalFormatting>
  <conditionalFormatting sqref="BH8:BH57">
    <cfRule type="expression" priority="4" dxfId="18">
      <formula>AND(BK8="SF")</formula>
    </cfRule>
    <cfRule type="expression" priority="3" dxfId="19">
      <formula>AND(BK8="F")</formula>
    </cfRule>
  </conditionalFormatting>
  <conditionalFormatting sqref="BH85:BH90">
    <cfRule type="cellIs" priority="97" operator="equal" dxfId="7">
      <formula>8</formula>
    </cfRule>
    <cfRule type="cellIs" priority="103" operator="equal" dxfId="1">
      <formula>2</formula>
    </cfRule>
    <cfRule type="cellIs" priority="93" operator="equal" dxfId="11">
      <formula>12</formula>
    </cfRule>
    <cfRule type="cellIs" priority="102" operator="equal" dxfId="2">
      <formula>3</formula>
    </cfRule>
    <cfRule type="cellIs" priority="101" operator="equal" dxfId="3">
      <formula>4</formula>
    </cfRule>
    <cfRule type="cellIs" priority="99" operator="equal" dxfId="5">
      <formula>6</formula>
    </cfRule>
    <cfRule type="cellIs" priority="98" operator="equal" dxfId="6">
      <formula>7</formula>
    </cfRule>
    <cfRule type="cellIs" priority="94" operator="equal" dxfId="10">
      <formula>11</formula>
    </cfRule>
    <cfRule type="cellIs" priority="95" operator="equal" dxfId="9">
      <formula>10</formula>
    </cfRule>
    <cfRule type="cellIs" priority="96" operator="equal" dxfId="8">
      <formula>9</formula>
    </cfRule>
    <cfRule type="cellIs" priority="104" operator="equal" dxfId="0">
      <formula>1</formula>
    </cfRule>
    <cfRule type="cellIs" priority="92" operator="equal" dxfId="12">
      <formula>13</formula>
    </cfRule>
    <cfRule type="cellIs" priority="91" operator="equal" dxfId="13">
      <formula>14</formula>
    </cfRule>
    <cfRule type="cellIs" priority="100" operator="equal" dxfId="4">
      <formula>5</formula>
    </cfRule>
  </conditionalFormatting>
  <conditionalFormatting sqref="BH93:BH98">
    <cfRule type="cellIs" priority="78" operator="equal" dxfId="12">
      <formula>13</formula>
    </cfRule>
    <cfRule type="cellIs" priority="77" operator="equal" dxfId="13">
      <formula>14</formula>
    </cfRule>
    <cfRule type="cellIs" priority="83" operator="equal" dxfId="7">
      <formula>8</formula>
    </cfRule>
    <cfRule type="cellIs" priority="81" operator="equal" dxfId="9">
      <formula>10</formula>
    </cfRule>
    <cfRule type="cellIs" priority="82" operator="equal" dxfId="8">
      <formula>9</formula>
    </cfRule>
    <cfRule type="cellIs" priority="80" operator="equal" dxfId="10">
      <formula>11</formula>
    </cfRule>
    <cfRule type="cellIs" priority="79" operator="equal" dxfId="11">
      <formula>12</formula>
    </cfRule>
    <cfRule type="cellIs" priority="90" operator="equal" dxfId="0">
      <formula>1</formula>
    </cfRule>
    <cfRule type="cellIs" priority="89" operator="equal" dxfId="1">
      <formula>2</formula>
    </cfRule>
    <cfRule type="cellIs" priority="88" operator="equal" dxfId="2">
      <formula>3</formula>
    </cfRule>
    <cfRule type="cellIs" priority="87" operator="equal" dxfId="3">
      <formula>4</formula>
    </cfRule>
    <cfRule type="cellIs" priority="86" operator="equal" dxfId="4">
      <formula>5</formula>
    </cfRule>
    <cfRule type="cellIs" priority="85" operator="equal" dxfId="5">
      <formula>6</formula>
    </cfRule>
    <cfRule type="cellIs" priority="84" operator="equal" dxfId="6">
      <formula>7</formula>
    </cfRule>
  </conditionalFormatting>
  <conditionalFormatting sqref="BM8:BM57">
    <cfRule type="expression" priority="1" dxfId="19">
      <formula>AND(BP8="F")</formula>
    </cfRule>
    <cfRule type="expression" priority="2" dxfId="18">
      <formula>AND(BP8="SF")</formula>
    </cfRule>
  </conditionalFormatting>
  <conditionalFormatting sqref="BR8:BR57">
    <cfRule type="expression" priority="27" dxfId="19">
      <formula>AND(BU8="F")</formula>
    </cfRule>
    <cfRule type="expression" priority="28" dxfId="18">
      <formula>AND(BU8="SF")</formula>
    </cfRule>
  </conditionalFormatting>
  <conditionalFormatting sqref="BW8:BW57">
    <cfRule type="expression" priority="156" dxfId="18">
      <formula>AND(BZ8="SF")</formula>
    </cfRule>
    <cfRule type="expression" priority="155" dxfId="19">
      <formula>AND(BZ8="F")</formula>
    </cfRule>
  </conditionalFormatting>
  <conditionalFormatting sqref="CB8:CB57">
    <cfRule type="expression" priority="147" dxfId="19">
      <formula>AND(CE8="F")</formula>
    </cfRule>
    <cfRule type="expression" priority="148" dxfId="18">
      <formula>AND(CE8="SF")</formula>
    </cfRule>
  </conditionalFormatting>
  <pageMargins left="0.7" right="0.7" top="0.75" bottom="0.75" header="0.3" footer="0.3"/>
  <pageSetup orientation="landscape" paperSize="3" scale="37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U136"/>
  <sheetViews>
    <sheetView showGridLines="0" view="pageBreakPreview" topLeftCell="A2" zoomScale="97" zoomScaleNormal="100" zoomScaleSheetLayoutView="97" workbookViewId="0">
      <selection activeCell="C5" sqref="C5"/>
    </sheetView>
  </sheetViews>
  <sheetFormatPr baseColWidth="10" defaultRowHeight="15" outlineLevelRow="2"/>
  <cols>
    <col width="2.5703125" customWidth="1" style="568" min="1" max="1"/>
    <col width="5.140625" customWidth="1" style="10" min="2" max="2"/>
    <col width="10.7109375" customWidth="1" style="568" min="3" max="3"/>
    <col width="39.7109375" customWidth="1" style="568" min="4" max="4"/>
    <col width="7.7109375" customWidth="1" style="568" min="5" max="6"/>
    <col width="11.7109375" customWidth="1" style="568" min="7" max="7"/>
    <col width="6.7109375" customWidth="1" style="568" min="8" max="9"/>
    <col width="11.7109375" customWidth="1" style="568" min="10" max="10"/>
    <col width="7.7109375" customWidth="1" style="568" min="11" max="12"/>
    <col width="12.7109375" customWidth="1" style="568" min="13" max="13"/>
    <col width="7.7109375" customWidth="1" style="568" min="14" max="15"/>
    <col width="12.7109375" customWidth="1" style="568" min="16" max="16"/>
    <col width="15.7109375" customWidth="1" style="568" min="17" max="17"/>
    <col width="2.85546875" customWidth="1" style="568" min="18" max="18"/>
    <col width="13" bestFit="1" customWidth="1" style="568" min="42" max="42"/>
  </cols>
  <sheetData>
    <row r="1" ht="9.75" customHeight="1" s="568">
      <c r="R1" s="3" t="n"/>
    </row>
    <row r="2" ht="60.75" customFormat="1" customHeight="1" s="283">
      <c r="A2" s="282" t="n"/>
      <c r="B2" s="492" t="n"/>
      <c r="C2" s="493" t="n"/>
      <c r="D2" s="493" t="n"/>
      <c r="E2" s="493" t="n"/>
      <c r="F2" s="493" t="n"/>
      <c r="G2" s="493" t="n"/>
      <c r="H2" s="493" t="inlineStr">
        <is>
          <t>CAMPEONATO DE MARCAS                        RANKING SEMANAL</t>
        </is>
      </c>
      <c r="I2" s="493" t="n"/>
      <c r="J2" s="493" t="n"/>
      <c r="K2" s="493" t="n"/>
      <c r="L2" s="493" t="n"/>
      <c r="M2" s="493" t="n"/>
      <c r="N2" s="493" t="n"/>
      <c r="O2" s="493" t="n"/>
      <c r="P2" s="493" t="n"/>
      <c r="Q2" s="494" t="n"/>
    </row>
    <row r="3" ht="39" customHeight="1" s="568">
      <c r="A3" s="1" t="n"/>
      <c r="B3" s="495">
        <f>CONTROL!D2</f>
        <v/>
      </c>
      <c r="C3" s="496" t="n"/>
      <c r="D3" s="496" t="n"/>
      <c r="E3" s="496" t="n"/>
      <c r="F3" s="496" t="n"/>
      <c r="G3" s="496" t="n"/>
      <c r="H3" s="496" t="n"/>
      <c r="I3" s="496" t="n"/>
      <c r="J3" s="496" t="n"/>
      <c r="K3" s="496" t="n"/>
      <c r="L3" s="496" t="n"/>
      <c r="M3" s="496" t="n"/>
      <c r="N3" s="497" t="n"/>
      <c r="O3" s="498" t="n"/>
      <c r="P3" s="498" t="n"/>
      <c r="Q3" s="499">
        <f>'SEM 1'!D3</f>
        <v/>
      </c>
      <c r="R3" s="3" t="n"/>
    </row>
    <row r="4" ht="23.1" customFormat="1" customHeight="1" s="576">
      <c r="A4" s="285" t="n"/>
      <c r="B4" s="483" t="n">
        <v>0</v>
      </c>
      <c r="C4" s="484" t="inlineStr">
        <is>
          <t>COD</t>
        </is>
      </c>
      <c r="D4" s="485" t="inlineStr">
        <is>
          <t>NOMBRE PARTICIPANTE</t>
        </is>
      </c>
      <c r="E4" s="486" t="inlineStr">
        <is>
          <t>UNA MARCA</t>
        </is>
      </c>
      <c r="F4" s="487" t="n"/>
      <c r="G4" s="487" t="n"/>
      <c r="H4" s="486" t="inlineStr">
        <is>
          <t>DOS MARCAS</t>
        </is>
      </c>
      <c r="I4" s="487" t="n"/>
      <c r="J4" s="487" t="n"/>
      <c r="K4" s="486" t="inlineStr">
        <is>
          <t>TRES MARCAS</t>
        </is>
      </c>
      <c r="L4" s="486" t="n"/>
      <c r="M4" s="486" t="n"/>
      <c r="N4" s="488" t="inlineStr">
        <is>
          <t>FIJAS</t>
        </is>
      </c>
      <c r="O4" s="489" t="n"/>
      <c r="P4" s="490" t="n"/>
      <c r="Q4" s="491" t="inlineStr">
        <is>
          <t>PUNTOS</t>
        </is>
      </c>
      <c r="R4" s="3" t="n"/>
    </row>
    <row r="5" ht="23.1" customFormat="1" customHeight="1" s="393">
      <c r="A5" s="295" t="n"/>
      <c r="B5" s="296" t="n">
        <v>1</v>
      </c>
      <c r="C5" s="611">
        <f t="array" ref="C5:C54">_xlfn.SORTBY(BASE01[COD],BASE01[Columna1],-1)</f>
        <v/>
      </c>
      <c r="D5" s="297">
        <f>_xlfn.XLOOKUP(C5,CODIGOS_Y_PAGOS[CODIGO],CODIGOS_Y_PAGOS[NOMBRE PARTICIPANTE],"")</f>
        <v/>
      </c>
      <c r="E5" s="298">
        <f>_xlfn.XLOOKUP($C5,BASE01[COD],BASE01[Columna14],"")</f>
        <v/>
      </c>
      <c r="F5" s="298">
        <f>_xlfn.XLOOKUP(C5,BASE01[COD],BASE01[Columna19],"")</f>
        <v/>
      </c>
      <c r="G5" s="299">
        <f>IFERROR(+F5/E5,"0,00")</f>
        <v/>
      </c>
      <c r="H5" s="300">
        <f>_xlfn.XLOOKUP(C5,BASE01[COD],BASE01[Columna32],"")</f>
        <v/>
      </c>
      <c r="I5" s="300">
        <f>_xlfn.XLOOKUP(C5,BASE01[COD],BASE01[Columna30],"")</f>
        <v/>
      </c>
      <c r="J5" s="301">
        <f>IFERROR(+I5/H5,"0,00")</f>
        <v/>
      </c>
      <c r="K5" s="302">
        <f>_xlfn.XLOOKUP(C5,BASE01[COD],BASE01[Columna32],"")</f>
        <v/>
      </c>
      <c r="L5" s="302">
        <f>_xlfn.XLOOKUP(C5,BASE01[COD],BASE01[Columna34],"")</f>
        <v/>
      </c>
      <c r="M5" s="303">
        <f>IFERROR(+L5/K5,"0,00")</f>
        <v/>
      </c>
      <c r="N5" s="304">
        <f>_xlfn.XLOOKUP(C5,BASE01[COD],BASE01[Columna36],"")</f>
        <v/>
      </c>
      <c r="O5" s="304">
        <f>_xlfn.XLOOKUP(C5,BASE01[COD],BASE01[Columna37],"")</f>
        <v/>
      </c>
      <c r="P5" s="305">
        <f>IFERROR(+O5/N5,"0,00")</f>
        <v/>
      </c>
      <c r="Q5" s="306">
        <f>_xlfn.XLOOKUP(C5,BASE01[COD],BASE01[Columna1],"")</f>
        <v/>
      </c>
      <c r="R5" s="3" t="n"/>
      <c r="U5" s="393">
        <f t="array" ref="U5:U46">_xlfn.SORTBY(C5:C46,Q5:Q46,-1)</f>
        <v/>
      </c>
      <c r="V5" s="393">
        <f>U5</f>
        <v/>
      </c>
    </row>
    <row r="6" ht="23.1" customFormat="1" customHeight="1" s="393">
      <c r="A6" s="295" t="n"/>
      <c r="B6" s="296">
        <f>+B5+1</f>
        <v/>
      </c>
      <c r="C6" s="611" t="inlineStr">
        <is>
          <t>COD 25</t>
        </is>
      </c>
      <c r="D6" s="297">
        <f>_xlfn.XLOOKUP(C6,CODIGOS_Y_PAGOS[CODIGO],CODIGOS_Y_PAGOS[NOMBRE PARTICIPANTE],"")</f>
        <v/>
      </c>
      <c r="E6" s="298">
        <f>_xlfn.XLOOKUP($C6,BASE01[COD],BASE01[Columna14],"")</f>
        <v/>
      </c>
      <c r="F6" s="298">
        <f>_xlfn.XLOOKUP(C6,BASE01[COD],BASE01[Columna19],"")</f>
        <v/>
      </c>
      <c r="G6" s="299">
        <f>IFERROR(+F6/E6,"0,00")</f>
        <v/>
      </c>
      <c r="H6" s="300">
        <f>_xlfn.XLOOKUP(C6,BASE01[COD],BASE01[Columna32],"")</f>
        <v/>
      </c>
      <c r="I6" s="300">
        <f>_xlfn.XLOOKUP(C6,BASE01[COD],BASE01[Columna30],"")</f>
        <v/>
      </c>
      <c r="J6" s="301">
        <f>IFERROR(+I6/H6,"0,00")</f>
        <v/>
      </c>
      <c r="K6" s="302">
        <f>_xlfn.XLOOKUP(C6,BASE01[COD],BASE01[Columna32],"")</f>
        <v/>
      </c>
      <c r="L6" s="302">
        <f>_xlfn.XLOOKUP(C6,BASE01[COD],BASE01[Columna34],"")</f>
        <v/>
      </c>
      <c r="M6" s="303">
        <f>IFERROR(+L6/K6,"0,00")</f>
        <v/>
      </c>
      <c r="N6" s="304">
        <f>_xlfn.XLOOKUP(C6,BASE01[COD],BASE01[Columna36],"")</f>
        <v/>
      </c>
      <c r="O6" s="304">
        <f>_xlfn.XLOOKUP(C6,BASE01[COD],BASE01[Columna37],"")</f>
        <v/>
      </c>
      <c r="P6" s="305">
        <f>IFERROR(+O6/N6,"0,00")</f>
        <v/>
      </c>
      <c r="Q6" s="306">
        <f>_xlfn.XLOOKUP(C6,BASE01[COD],BASE01[Columna1],"")</f>
        <v/>
      </c>
      <c r="R6" s="3" t="n"/>
      <c r="U6" s="393" t="inlineStr">
        <is>
          <t>COD 25</t>
        </is>
      </c>
      <c r="V6" s="393">
        <f>U6</f>
        <v/>
      </c>
    </row>
    <row r="7" ht="23.1" customFormat="1" customHeight="1" s="393">
      <c r="A7" s="295" t="n"/>
      <c r="B7" s="296">
        <f>+B6+1</f>
        <v/>
      </c>
      <c r="C7" s="611" t="inlineStr">
        <is>
          <t>COD 27</t>
        </is>
      </c>
      <c r="D7" s="297">
        <f>_xlfn.XLOOKUP(C7,CODIGOS_Y_PAGOS[CODIGO],CODIGOS_Y_PAGOS[NOMBRE PARTICIPANTE],"")</f>
        <v/>
      </c>
      <c r="E7" s="298">
        <f>_xlfn.XLOOKUP($C7,BASE01[COD],BASE01[Columna14],"")</f>
        <v/>
      </c>
      <c r="F7" s="298">
        <f>_xlfn.XLOOKUP(C7,BASE01[COD],BASE01[Columna19],"")</f>
        <v/>
      </c>
      <c r="G7" s="299">
        <f>IFERROR(+F7/E7,"0,00")</f>
        <v/>
      </c>
      <c r="H7" s="300">
        <f>_xlfn.XLOOKUP(C7,BASE01[COD],BASE01[Columna32],"")</f>
        <v/>
      </c>
      <c r="I7" s="300">
        <f>_xlfn.XLOOKUP(C7,BASE01[COD],BASE01[Columna30],"")</f>
        <v/>
      </c>
      <c r="J7" s="301">
        <f>IFERROR(+I7/H7,"0,00")</f>
        <v/>
      </c>
      <c r="K7" s="302">
        <f>_xlfn.XLOOKUP(C7,BASE01[COD],BASE01[Columna32],"")</f>
        <v/>
      </c>
      <c r="L7" s="302">
        <f>_xlfn.XLOOKUP(C7,BASE01[COD],BASE01[Columna34],"")</f>
        <v/>
      </c>
      <c r="M7" s="303">
        <f>IFERROR(+L7/K7,"0,00")</f>
        <v/>
      </c>
      <c r="N7" s="304">
        <f>_xlfn.XLOOKUP(C7,BASE01[COD],BASE01[Columna36],"")</f>
        <v/>
      </c>
      <c r="O7" s="304">
        <f>_xlfn.XLOOKUP(C7,BASE01[COD],BASE01[Columna37],"")</f>
        <v/>
      </c>
      <c r="P7" s="305">
        <f>IFERROR(+O7/N7,"0,00")</f>
        <v/>
      </c>
      <c r="Q7" s="306">
        <f>_xlfn.XLOOKUP(C7,BASE01[COD],BASE01[Columna1],"")</f>
        <v/>
      </c>
      <c r="R7" s="3" t="n"/>
      <c r="U7" s="393" t="inlineStr">
        <is>
          <t>COD 27</t>
        </is>
      </c>
      <c r="V7" s="393">
        <f>U7</f>
        <v/>
      </c>
    </row>
    <row r="8" ht="23.1" customFormat="1" customHeight="1" s="393">
      <c r="A8" s="295" t="n"/>
      <c r="B8" s="296">
        <f>+B7+1</f>
        <v/>
      </c>
      <c r="C8" s="611" t="inlineStr">
        <is>
          <t>COD 10</t>
        </is>
      </c>
      <c r="D8" s="297">
        <f>_xlfn.XLOOKUP(C8,CODIGOS_Y_PAGOS[CODIGO],CODIGOS_Y_PAGOS[NOMBRE PARTICIPANTE],"")</f>
        <v/>
      </c>
      <c r="E8" s="298">
        <f>_xlfn.XLOOKUP($C8,BASE01[COD],BASE01[Columna14],"")</f>
        <v/>
      </c>
      <c r="F8" s="298">
        <f>_xlfn.XLOOKUP(C8,BASE01[COD],BASE01[Columna19],"")</f>
        <v/>
      </c>
      <c r="G8" s="299">
        <f>IFERROR(+F8/E8,"0,00")</f>
        <v/>
      </c>
      <c r="H8" s="300">
        <f>_xlfn.XLOOKUP(C8,BASE01[COD],BASE01[Columna32],"")</f>
        <v/>
      </c>
      <c r="I8" s="300">
        <f>_xlfn.XLOOKUP(C8,BASE01[COD],BASE01[Columna30],"")</f>
        <v/>
      </c>
      <c r="J8" s="301">
        <f>IFERROR(+I8/H8,"0,00")</f>
        <v/>
      </c>
      <c r="K8" s="302">
        <f>_xlfn.XLOOKUP(C8,BASE01[COD],BASE01[Columna32],"")</f>
        <v/>
      </c>
      <c r="L8" s="302">
        <f>_xlfn.XLOOKUP(C8,BASE01[COD],BASE01[Columna34],"")</f>
        <v/>
      </c>
      <c r="M8" s="303">
        <f>IFERROR(+L8/K8,"0,00")</f>
        <v/>
      </c>
      <c r="N8" s="304">
        <f>_xlfn.XLOOKUP(C8,BASE01[COD],BASE01[Columna36],"")</f>
        <v/>
      </c>
      <c r="O8" s="304">
        <f>_xlfn.XLOOKUP(C8,BASE01[COD],BASE01[Columna37],"")</f>
        <v/>
      </c>
      <c r="P8" s="305">
        <f>IFERROR(+O8/N8,"0,00")</f>
        <v/>
      </c>
      <c r="Q8" s="306">
        <f>_xlfn.XLOOKUP(C8,BASE01[COD],BASE01[Columna1],"")</f>
        <v/>
      </c>
      <c r="R8" s="3" t="n"/>
      <c r="U8" s="393" t="inlineStr">
        <is>
          <t>COD 10</t>
        </is>
      </c>
      <c r="V8" s="393">
        <f>U8</f>
        <v/>
      </c>
    </row>
    <row r="9" ht="23.1" customFormat="1" customHeight="1" s="393">
      <c r="A9" s="295" t="n"/>
      <c r="B9" s="296">
        <f>+B8+1</f>
        <v/>
      </c>
      <c r="C9" s="611" t="inlineStr">
        <is>
          <t>COD 22</t>
        </is>
      </c>
      <c r="D9" s="297">
        <f>_xlfn.XLOOKUP(C9,CODIGOS_Y_PAGOS[CODIGO],CODIGOS_Y_PAGOS[NOMBRE PARTICIPANTE],"")</f>
        <v/>
      </c>
      <c r="E9" s="298">
        <f>_xlfn.XLOOKUP($C9,BASE01[COD],BASE01[Columna14],"")</f>
        <v/>
      </c>
      <c r="F9" s="298">
        <f>_xlfn.XLOOKUP(C9,BASE01[COD],BASE01[Columna19],"")</f>
        <v/>
      </c>
      <c r="G9" s="299">
        <f>IFERROR(+F9/E9,"0,00")</f>
        <v/>
      </c>
      <c r="H9" s="300">
        <f>_xlfn.XLOOKUP(C9,BASE01[COD],BASE01[Columna32],"")</f>
        <v/>
      </c>
      <c r="I9" s="300">
        <f>_xlfn.XLOOKUP(C9,BASE01[COD],BASE01[Columna30],"")</f>
        <v/>
      </c>
      <c r="J9" s="301">
        <f>IFERROR(+I9/H9,"0,00")</f>
        <v/>
      </c>
      <c r="K9" s="302">
        <f>_xlfn.XLOOKUP(C9,BASE01[COD],BASE01[Columna32],"")</f>
        <v/>
      </c>
      <c r="L9" s="302">
        <f>_xlfn.XLOOKUP(C9,BASE01[COD],BASE01[Columna34],"")</f>
        <v/>
      </c>
      <c r="M9" s="303">
        <f>IFERROR(+L9/K9,"0,00")</f>
        <v/>
      </c>
      <c r="N9" s="304">
        <f>_xlfn.XLOOKUP(C9,BASE01[COD],BASE01[Columna36],"")</f>
        <v/>
      </c>
      <c r="O9" s="304">
        <f>_xlfn.XLOOKUP(C9,BASE01[COD],BASE01[Columna37],"")</f>
        <v/>
      </c>
      <c r="P9" s="305">
        <f>IFERROR(+O9/N9,"0,00")</f>
        <v/>
      </c>
      <c r="Q9" s="306">
        <f>_xlfn.XLOOKUP(C9,BASE01[COD],BASE01[Columna1],"")</f>
        <v/>
      </c>
      <c r="R9" s="3" t="n"/>
      <c r="U9" s="393" t="inlineStr">
        <is>
          <t>COD 22</t>
        </is>
      </c>
      <c r="V9" s="393">
        <f>U9</f>
        <v/>
      </c>
    </row>
    <row r="10" ht="23.1" customFormat="1" customHeight="1" s="393">
      <c r="A10" s="295" t="n"/>
      <c r="B10" s="296">
        <f>+B9+1</f>
        <v/>
      </c>
      <c r="C10" s="611" t="inlineStr">
        <is>
          <t>COD 23</t>
        </is>
      </c>
      <c r="D10" s="297">
        <f>_xlfn.XLOOKUP(C10,CODIGOS_Y_PAGOS[CODIGO],CODIGOS_Y_PAGOS[NOMBRE PARTICIPANTE],"")</f>
        <v/>
      </c>
      <c r="E10" s="298">
        <f>_xlfn.XLOOKUP($C10,BASE01[COD],BASE01[Columna14],"")</f>
        <v/>
      </c>
      <c r="F10" s="298">
        <f>_xlfn.XLOOKUP(C10,BASE01[COD],BASE01[Columna19],"")</f>
        <v/>
      </c>
      <c r="G10" s="299">
        <f>IFERROR(+F10/E10,"0,00")</f>
        <v/>
      </c>
      <c r="H10" s="300">
        <f>_xlfn.XLOOKUP(C10,BASE01[COD],BASE01[Columna32],"")</f>
        <v/>
      </c>
      <c r="I10" s="300">
        <f>_xlfn.XLOOKUP(C10,BASE01[COD],BASE01[Columna30],"")</f>
        <v/>
      </c>
      <c r="J10" s="301">
        <f>IFERROR(+I10/H10,"0,00")</f>
        <v/>
      </c>
      <c r="K10" s="302">
        <f>_xlfn.XLOOKUP(C10,BASE01[COD],BASE01[Columna32],"")</f>
        <v/>
      </c>
      <c r="L10" s="302">
        <f>_xlfn.XLOOKUP(C10,BASE01[COD],BASE01[Columna34],"")</f>
        <v/>
      </c>
      <c r="M10" s="303">
        <f>IFERROR(+L10/K10,"0,00")</f>
        <v/>
      </c>
      <c r="N10" s="304">
        <f>_xlfn.XLOOKUP(C10,BASE01[COD],BASE01[Columna36],"")</f>
        <v/>
      </c>
      <c r="O10" s="304">
        <f>_xlfn.XLOOKUP(C10,BASE01[COD],BASE01[Columna37],"")</f>
        <v/>
      </c>
      <c r="P10" s="305">
        <f>IFERROR(+O10/N10,"0,00")</f>
        <v/>
      </c>
      <c r="Q10" s="306">
        <f>_xlfn.XLOOKUP(C10,BASE01[COD],BASE01[Columna1],"")</f>
        <v/>
      </c>
      <c r="R10" s="3" t="n"/>
      <c r="U10" s="393" t="inlineStr">
        <is>
          <t>COD 23</t>
        </is>
      </c>
      <c r="V10" s="393">
        <f>U10</f>
        <v/>
      </c>
    </row>
    <row r="11" ht="23.1" customFormat="1" customHeight="1" s="393">
      <c r="A11" s="295" t="n"/>
      <c r="B11" s="307">
        <f>+B10+1</f>
        <v/>
      </c>
      <c r="C11" s="611" t="inlineStr">
        <is>
          <t>COD 34</t>
        </is>
      </c>
      <c r="D11" s="297">
        <f>_xlfn.XLOOKUP(C11,CODIGOS_Y_PAGOS[CODIGO],CODIGOS_Y_PAGOS[NOMBRE PARTICIPANTE],"")</f>
        <v/>
      </c>
      <c r="E11" s="298">
        <f>_xlfn.XLOOKUP($C11,BASE01[COD],BASE01[Columna14],"")</f>
        <v/>
      </c>
      <c r="F11" s="298">
        <f>_xlfn.XLOOKUP(C11,BASE01[COD],BASE01[Columna19],"")</f>
        <v/>
      </c>
      <c r="G11" s="299">
        <f>IFERROR(+F11/E11,"0,00")</f>
        <v/>
      </c>
      <c r="H11" s="300">
        <f>_xlfn.XLOOKUP(C11,BASE01[COD],BASE01[Columna32],"")</f>
        <v/>
      </c>
      <c r="I11" s="300">
        <f>_xlfn.XLOOKUP(C11,BASE01[COD],BASE01[Columna30],"")</f>
        <v/>
      </c>
      <c r="J11" s="301">
        <f>IFERROR(+I11/H11,"0,00")</f>
        <v/>
      </c>
      <c r="K11" s="302">
        <f>_xlfn.XLOOKUP(C11,BASE01[COD],BASE01[Columna32],"")</f>
        <v/>
      </c>
      <c r="L11" s="302">
        <f>_xlfn.XLOOKUP(C11,BASE01[COD],BASE01[Columna34],"")</f>
        <v/>
      </c>
      <c r="M11" s="303">
        <f>IFERROR(+L11/K11,"0,00")</f>
        <v/>
      </c>
      <c r="N11" s="304">
        <f>_xlfn.XLOOKUP(C11,BASE01[COD],BASE01[Columna36],"")</f>
        <v/>
      </c>
      <c r="O11" s="304">
        <f>_xlfn.XLOOKUP(C11,BASE01[COD],BASE01[Columna37],"")</f>
        <v/>
      </c>
      <c r="P11" s="305">
        <f>IFERROR(+O11/N11,"0,00")</f>
        <v/>
      </c>
      <c r="Q11" s="306">
        <f>_xlfn.XLOOKUP(C11,BASE01[COD],BASE01[Columna1],"")</f>
        <v/>
      </c>
      <c r="R11" s="3" t="n"/>
      <c r="U11" s="393" t="inlineStr">
        <is>
          <t>COD 34</t>
        </is>
      </c>
      <c r="V11" s="393">
        <f>U11</f>
        <v/>
      </c>
    </row>
    <row r="12" ht="23.1" customFormat="1" customHeight="1" s="393">
      <c r="A12" s="295" t="n"/>
      <c r="B12" s="296">
        <f>+B11+1</f>
        <v/>
      </c>
      <c r="C12" s="611" t="inlineStr">
        <is>
          <t>COD 37</t>
        </is>
      </c>
      <c r="D12" s="297">
        <f>_xlfn.XLOOKUP(C12,CODIGOS_Y_PAGOS[CODIGO],CODIGOS_Y_PAGOS[NOMBRE PARTICIPANTE],"")</f>
        <v/>
      </c>
      <c r="E12" s="298">
        <f>_xlfn.XLOOKUP($C12,BASE01[COD],BASE01[Columna14],"")</f>
        <v/>
      </c>
      <c r="F12" s="298">
        <f>_xlfn.XLOOKUP(C12,BASE01[COD],BASE01[Columna19],"")</f>
        <v/>
      </c>
      <c r="G12" s="299">
        <f>IFERROR(+F12/E12,"0,00")</f>
        <v/>
      </c>
      <c r="H12" s="300">
        <f>_xlfn.XLOOKUP(C12,BASE01[COD],BASE01[Columna32],"")</f>
        <v/>
      </c>
      <c r="I12" s="300">
        <f>_xlfn.XLOOKUP(C12,BASE01[COD],BASE01[Columna30],"")</f>
        <v/>
      </c>
      <c r="J12" s="301">
        <f>IFERROR(+I12/H12,"0,00")</f>
        <v/>
      </c>
      <c r="K12" s="302">
        <f>_xlfn.XLOOKUP(C12,BASE01[COD],BASE01[Columna32],"")</f>
        <v/>
      </c>
      <c r="L12" s="302">
        <f>_xlfn.XLOOKUP(C12,BASE01[COD],BASE01[Columna34],"")</f>
        <v/>
      </c>
      <c r="M12" s="303">
        <f>IFERROR(+L12/K12,"0,00")</f>
        <v/>
      </c>
      <c r="N12" s="304">
        <f>_xlfn.XLOOKUP(C12,BASE01[COD],BASE01[Columna36],"")</f>
        <v/>
      </c>
      <c r="O12" s="304">
        <f>_xlfn.XLOOKUP(C12,BASE01[COD],BASE01[Columna37],"")</f>
        <v/>
      </c>
      <c r="P12" s="305">
        <f>IFERROR(+O12/N12,"0,00")</f>
        <v/>
      </c>
      <c r="Q12" s="306">
        <f>_xlfn.XLOOKUP(C12,BASE01[COD],BASE01[Columna1],"")</f>
        <v/>
      </c>
      <c r="R12" s="3" t="n"/>
      <c r="U12" s="393" t="inlineStr">
        <is>
          <t>COD 37</t>
        </is>
      </c>
      <c r="V12" s="393">
        <f>U12</f>
        <v/>
      </c>
    </row>
    <row r="13" ht="23.1" customFormat="1" customHeight="1" s="393">
      <c r="A13" s="295" t="n"/>
      <c r="B13" s="296">
        <f>+B12+1</f>
        <v/>
      </c>
      <c r="C13" s="611" t="inlineStr">
        <is>
          <t>COD 02</t>
        </is>
      </c>
      <c r="D13" s="297">
        <f>_xlfn.XLOOKUP(C13,CODIGOS_Y_PAGOS[CODIGO],CODIGOS_Y_PAGOS[NOMBRE PARTICIPANTE],"")</f>
        <v/>
      </c>
      <c r="E13" s="298">
        <f>_xlfn.XLOOKUP($C13,BASE01[COD],BASE01[Columna14],"")</f>
        <v/>
      </c>
      <c r="F13" s="298">
        <f>_xlfn.XLOOKUP(C13,BASE01[COD],BASE01[Columna19],"")</f>
        <v/>
      </c>
      <c r="G13" s="299">
        <f>IFERROR(+F13/E13,"0,00")</f>
        <v/>
      </c>
      <c r="H13" s="300">
        <f>_xlfn.XLOOKUP(C13,BASE01[COD],BASE01[Columna32],"")</f>
        <v/>
      </c>
      <c r="I13" s="300">
        <f>_xlfn.XLOOKUP(C13,BASE01[COD],BASE01[Columna30],"")</f>
        <v/>
      </c>
      <c r="J13" s="301">
        <f>IFERROR(+I13/H13,"0,00")</f>
        <v/>
      </c>
      <c r="K13" s="302">
        <f>_xlfn.XLOOKUP(C13,BASE01[COD],BASE01[Columna32],"")</f>
        <v/>
      </c>
      <c r="L13" s="302">
        <f>_xlfn.XLOOKUP(C13,BASE01[COD],BASE01[Columna34],"")</f>
        <v/>
      </c>
      <c r="M13" s="303">
        <f>IFERROR(+L13/K13,"0,00")</f>
        <v/>
      </c>
      <c r="N13" s="304">
        <f>_xlfn.XLOOKUP(C13,BASE01[COD],BASE01[Columna36],"")</f>
        <v/>
      </c>
      <c r="O13" s="304">
        <f>_xlfn.XLOOKUP(C13,BASE01[COD],BASE01[Columna37],"")</f>
        <v/>
      </c>
      <c r="P13" s="305">
        <f>IFERROR(+O13/N13,"0,00")</f>
        <v/>
      </c>
      <c r="Q13" s="306">
        <f>_xlfn.XLOOKUP(C13,BASE01[COD],BASE01[Columna1],"")</f>
        <v/>
      </c>
      <c r="R13" s="3" t="n"/>
      <c r="U13" s="393" t="inlineStr">
        <is>
          <t>COD 02</t>
        </is>
      </c>
      <c r="V13" s="393">
        <f>U13</f>
        <v/>
      </c>
    </row>
    <row r="14" ht="23.1" customFormat="1" customHeight="1" s="393">
      <c r="A14" s="295" t="n"/>
      <c r="B14" s="296">
        <f>+B13+1</f>
        <v/>
      </c>
      <c r="C14" s="611" t="inlineStr">
        <is>
          <t>COD 36</t>
        </is>
      </c>
      <c r="D14" s="297">
        <f>_xlfn.XLOOKUP(C14,CODIGOS_Y_PAGOS[CODIGO],CODIGOS_Y_PAGOS[NOMBRE PARTICIPANTE],"")</f>
        <v/>
      </c>
      <c r="E14" s="298">
        <f>_xlfn.XLOOKUP($C14,BASE01[COD],BASE01[Columna14],"")</f>
        <v/>
      </c>
      <c r="F14" s="298">
        <f>_xlfn.XLOOKUP(C14,BASE01[COD],BASE01[Columna19],"")</f>
        <v/>
      </c>
      <c r="G14" s="299">
        <f>IFERROR(+F14/E14,"0,00")</f>
        <v/>
      </c>
      <c r="H14" s="300">
        <f>_xlfn.XLOOKUP(C14,BASE01[COD],BASE01[Columna32],"")</f>
        <v/>
      </c>
      <c r="I14" s="300">
        <f>_xlfn.XLOOKUP(C14,BASE01[COD],BASE01[Columna30],"")</f>
        <v/>
      </c>
      <c r="J14" s="301">
        <f>IFERROR(+I14/H14,"0,00")</f>
        <v/>
      </c>
      <c r="K14" s="302">
        <f>_xlfn.XLOOKUP(C14,BASE01[COD],BASE01[Columna32],"")</f>
        <v/>
      </c>
      <c r="L14" s="302">
        <f>_xlfn.XLOOKUP(C14,BASE01[COD],BASE01[Columna34],"")</f>
        <v/>
      </c>
      <c r="M14" s="303">
        <f>IFERROR(+L14/K14,"0,00")</f>
        <v/>
      </c>
      <c r="N14" s="304">
        <f>_xlfn.XLOOKUP(C14,BASE01[COD],BASE01[Columna36],"")</f>
        <v/>
      </c>
      <c r="O14" s="304">
        <f>_xlfn.XLOOKUP(C14,BASE01[COD],BASE01[Columna37],"")</f>
        <v/>
      </c>
      <c r="P14" s="305">
        <f>IFERROR(+O14/N14,"0,00")</f>
        <v/>
      </c>
      <c r="Q14" s="306">
        <f>_xlfn.XLOOKUP(C14,BASE01[COD],BASE01[Columna1],"")</f>
        <v/>
      </c>
      <c r="R14" s="3" t="n"/>
      <c r="U14" s="393" t="inlineStr">
        <is>
          <t>COD 36</t>
        </is>
      </c>
      <c r="V14" s="393">
        <f>U14</f>
        <v/>
      </c>
    </row>
    <row r="15" ht="23.1" customFormat="1" customHeight="1" s="393">
      <c r="A15" s="295" t="n"/>
      <c r="B15" s="296">
        <f>+B14+1</f>
        <v/>
      </c>
      <c r="C15" s="611" t="inlineStr">
        <is>
          <t>COD 28</t>
        </is>
      </c>
      <c r="D15" s="297">
        <f>_xlfn.XLOOKUP(C15,CODIGOS_Y_PAGOS[CODIGO],CODIGOS_Y_PAGOS[NOMBRE PARTICIPANTE],"")</f>
        <v/>
      </c>
      <c r="E15" s="298">
        <f>_xlfn.XLOOKUP($C15,BASE01[COD],BASE01[Columna14],"")</f>
        <v/>
      </c>
      <c r="F15" s="298">
        <f>_xlfn.XLOOKUP(C15,BASE01[COD],BASE01[Columna19],"")</f>
        <v/>
      </c>
      <c r="G15" s="299">
        <f>IFERROR(+F15/E15,"0,00")</f>
        <v/>
      </c>
      <c r="H15" s="300">
        <f>_xlfn.XLOOKUP(C15,BASE01[COD],BASE01[Columna32],"")</f>
        <v/>
      </c>
      <c r="I15" s="300">
        <f>_xlfn.XLOOKUP(C15,BASE01[COD],BASE01[Columna30],"")</f>
        <v/>
      </c>
      <c r="J15" s="301">
        <f>IFERROR(+I15/H15,"0,00")</f>
        <v/>
      </c>
      <c r="K15" s="302">
        <f>_xlfn.XLOOKUP(C15,BASE01[COD],BASE01[Columna32],"")</f>
        <v/>
      </c>
      <c r="L15" s="302">
        <f>_xlfn.XLOOKUP(C15,BASE01[COD],BASE01[Columna34],"")</f>
        <v/>
      </c>
      <c r="M15" s="303">
        <f>IFERROR(+L15/K15,"0,00")</f>
        <v/>
      </c>
      <c r="N15" s="304">
        <f>_xlfn.XLOOKUP(C15,BASE01[COD],BASE01[Columna36],"")</f>
        <v/>
      </c>
      <c r="O15" s="304">
        <f>_xlfn.XLOOKUP(C15,BASE01[COD],BASE01[Columna37],"")</f>
        <v/>
      </c>
      <c r="P15" s="305">
        <f>IFERROR(+O15/N15,"0,00")</f>
        <v/>
      </c>
      <c r="Q15" s="306">
        <f>_xlfn.XLOOKUP(C15,BASE01[COD],BASE01[Columna1],"")</f>
        <v/>
      </c>
      <c r="R15" s="3" t="n"/>
      <c r="U15" s="393" t="inlineStr">
        <is>
          <t>COD 28</t>
        </is>
      </c>
      <c r="V15" s="393">
        <f>U15</f>
        <v/>
      </c>
    </row>
    <row r="16" ht="23.1" customFormat="1" customHeight="1" s="393">
      <c r="A16" s="295" t="n"/>
      <c r="B16" s="296">
        <f>+B15+1</f>
        <v/>
      </c>
      <c r="C16" s="611" t="inlineStr">
        <is>
          <t>COD 29</t>
        </is>
      </c>
      <c r="D16" s="297">
        <f>_xlfn.XLOOKUP(C16,CODIGOS_Y_PAGOS[CODIGO],CODIGOS_Y_PAGOS[NOMBRE PARTICIPANTE],"")</f>
        <v/>
      </c>
      <c r="E16" s="298">
        <f>_xlfn.XLOOKUP($C16,BASE01[COD],BASE01[Columna14],"")</f>
        <v/>
      </c>
      <c r="F16" s="298">
        <f>_xlfn.XLOOKUP(C16,BASE01[COD],BASE01[Columna19],"")</f>
        <v/>
      </c>
      <c r="G16" s="299">
        <f>IFERROR(+F16/E16,"0,00")</f>
        <v/>
      </c>
      <c r="H16" s="300">
        <f>_xlfn.XLOOKUP(C16,BASE01[COD],BASE01[Columna32],"")</f>
        <v/>
      </c>
      <c r="I16" s="300">
        <f>_xlfn.XLOOKUP(C16,BASE01[COD],BASE01[Columna30],"")</f>
        <v/>
      </c>
      <c r="J16" s="301">
        <f>IFERROR(+I16/H16,"0,00")</f>
        <v/>
      </c>
      <c r="K16" s="302">
        <f>_xlfn.XLOOKUP(C16,BASE01[COD],BASE01[Columna32],"")</f>
        <v/>
      </c>
      <c r="L16" s="302">
        <f>_xlfn.XLOOKUP(C16,BASE01[COD],BASE01[Columna34],"")</f>
        <v/>
      </c>
      <c r="M16" s="303">
        <f>IFERROR(+L16/K16,"0,00")</f>
        <v/>
      </c>
      <c r="N16" s="304">
        <f>_xlfn.XLOOKUP(C16,BASE01[COD],BASE01[Columna36],"")</f>
        <v/>
      </c>
      <c r="O16" s="304">
        <f>_xlfn.XLOOKUP(C16,BASE01[COD],BASE01[Columna37],"")</f>
        <v/>
      </c>
      <c r="P16" s="305">
        <f>IFERROR(+O16/N16,"0,00")</f>
        <v/>
      </c>
      <c r="Q16" s="306">
        <f>_xlfn.XLOOKUP(C16,BASE01[COD],BASE01[Columna1],"")</f>
        <v/>
      </c>
      <c r="R16" s="3" t="n"/>
      <c r="U16" s="393" t="inlineStr">
        <is>
          <t>COD 29</t>
        </is>
      </c>
      <c r="V16" s="393">
        <f>U16</f>
        <v/>
      </c>
    </row>
    <row r="17" ht="23.1" customFormat="1" customHeight="1" s="393">
      <c r="A17" s="295" t="n"/>
      <c r="B17" s="296">
        <f>+B16+1</f>
        <v/>
      </c>
      <c r="C17" s="611" t="inlineStr">
        <is>
          <t>COD 32</t>
        </is>
      </c>
      <c r="D17" s="297">
        <f>_xlfn.XLOOKUP(C17,CODIGOS_Y_PAGOS[CODIGO],CODIGOS_Y_PAGOS[NOMBRE PARTICIPANTE],"")</f>
        <v/>
      </c>
      <c r="E17" s="298">
        <f>_xlfn.XLOOKUP($C17,BASE01[COD],BASE01[Columna14],"")</f>
        <v/>
      </c>
      <c r="F17" s="298">
        <f>_xlfn.XLOOKUP(C17,BASE01[COD],BASE01[Columna19],"")</f>
        <v/>
      </c>
      <c r="G17" s="299">
        <f>IFERROR(+F17/E17,"0,00")</f>
        <v/>
      </c>
      <c r="H17" s="300">
        <f>_xlfn.XLOOKUP(C17,BASE01[COD],BASE01[Columna32],"")</f>
        <v/>
      </c>
      <c r="I17" s="300">
        <f>_xlfn.XLOOKUP(C17,BASE01[COD],BASE01[Columna30],"")</f>
        <v/>
      </c>
      <c r="J17" s="301">
        <f>IFERROR(+I17/H17,"0,00")</f>
        <v/>
      </c>
      <c r="K17" s="302">
        <f>_xlfn.XLOOKUP(C17,BASE01[COD],BASE01[Columna32],"")</f>
        <v/>
      </c>
      <c r="L17" s="302">
        <f>_xlfn.XLOOKUP(C17,BASE01[COD],BASE01[Columna34],"")</f>
        <v/>
      </c>
      <c r="M17" s="303">
        <f>IFERROR(+L17/K17,"0,00")</f>
        <v/>
      </c>
      <c r="N17" s="304">
        <f>_xlfn.XLOOKUP(C17,BASE01[COD],BASE01[Columna36],"")</f>
        <v/>
      </c>
      <c r="O17" s="304">
        <f>_xlfn.XLOOKUP(C17,BASE01[COD],BASE01[Columna37],"")</f>
        <v/>
      </c>
      <c r="P17" s="305">
        <f>IFERROR(+O17/N17,"0,00")</f>
        <v/>
      </c>
      <c r="Q17" s="306">
        <f>_xlfn.XLOOKUP(C17,BASE01[COD],BASE01[Columna1],"")</f>
        <v/>
      </c>
      <c r="R17" s="3" t="n"/>
      <c r="U17" s="393" t="inlineStr">
        <is>
          <t>COD 32</t>
        </is>
      </c>
      <c r="V17" s="393">
        <f>U17</f>
        <v/>
      </c>
    </row>
    <row r="18" ht="23.1" customFormat="1" customHeight="1" s="393">
      <c r="A18" s="295" t="n"/>
      <c r="B18" s="296">
        <f>+B17+1</f>
        <v/>
      </c>
      <c r="C18" s="611" t="inlineStr">
        <is>
          <t>COD 09</t>
        </is>
      </c>
      <c r="D18" s="297">
        <f>_xlfn.XLOOKUP(C18,CODIGOS_Y_PAGOS[CODIGO],CODIGOS_Y_PAGOS[NOMBRE PARTICIPANTE],"")</f>
        <v/>
      </c>
      <c r="E18" s="298">
        <f>_xlfn.XLOOKUP($C18,BASE01[COD],BASE01[Columna14],"")</f>
        <v/>
      </c>
      <c r="F18" s="298">
        <f>_xlfn.XLOOKUP(C18,BASE01[COD],BASE01[Columna19],"")</f>
        <v/>
      </c>
      <c r="G18" s="299">
        <f>IFERROR(+F18/E18,"0,00")</f>
        <v/>
      </c>
      <c r="H18" s="300">
        <f>_xlfn.XLOOKUP(C18,BASE01[COD],BASE01[Columna32],"")</f>
        <v/>
      </c>
      <c r="I18" s="300">
        <f>_xlfn.XLOOKUP(C18,BASE01[COD],BASE01[Columna30],"")</f>
        <v/>
      </c>
      <c r="J18" s="301">
        <f>IFERROR(+I18/H18,"0,00")</f>
        <v/>
      </c>
      <c r="K18" s="302">
        <f>_xlfn.XLOOKUP(C18,BASE01[COD],BASE01[Columna32],"")</f>
        <v/>
      </c>
      <c r="L18" s="302">
        <f>_xlfn.XLOOKUP(C18,BASE01[COD],BASE01[Columna34],"")</f>
        <v/>
      </c>
      <c r="M18" s="303">
        <f>IFERROR(+L18/K18,"0,00")</f>
        <v/>
      </c>
      <c r="N18" s="304">
        <f>_xlfn.XLOOKUP(C18,BASE01[COD],BASE01[Columna36],"")</f>
        <v/>
      </c>
      <c r="O18" s="304">
        <f>_xlfn.XLOOKUP(C18,BASE01[COD],BASE01[Columna37],"")</f>
        <v/>
      </c>
      <c r="P18" s="305">
        <f>IFERROR(+O18/N18,"0,00")</f>
        <v/>
      </c>
      <c r="Q18" s="306">
        <f>_xlfn.XLOOKUP(C18,BASE01[COD],BASE01[Columna1],"")</f>
        <v/>
      </c>
      <c r="R18" s="3" t="n"/>
      <c r="U18" s="393" t="inlineStr">
        <is>
          <t>COD 09</t>
        </is>
      </c>
      <c r="V18" s="393">
        <f>U18</f>
        <v/>
      </c>
    </row>
    <row r="19" ht="23.1" customFormat="1" customHeight="1" s="393">
      <c r="A19" s="295" t="n"/>
      <c r="B19" s="296">
        <f>+B18+1</f>
        <v/>
      </c>
      <c r="C19" s="611" t="inlineStr">
        <is>
          <t>COD 05</t>
        </is>
      </c>
      <c r="D19" s="297">
        <f>_xlfn.XLOOKUP(C19,CODIGOS_Y_PAGOS[CODIGO],CODIGOS_Y_PAGOS[NOMBRE PARTICIPANTE],"")</f>
        <v/>
      </c>
      <c r="E19" s="298">
        <f>_xlfn.XLOOKUP($C19,BASE01[COD],BASE01[Columna14],"")</f>
        <v/>
      </c>
      <c r="F19" s="298">
        <f>_xlfn.XLOOKUP(C19,BASE01[COD],BASE01[Columna19],"")</f>
        <v/>
      </c>
      <c r="G19" s="299">
        <f>IFERROR(+F19/E19,"0,00")</f>
        <v/>
      </c>
      <c r="H19" s="300">
        <f>_xlfn.XLOOKUP(C19,BASE01[COD],BASE01[Columna32],"")</f>
        <v/>
      </c>
      <c r="I19" s="300">
        <f>_xlfn.XLOOKUP(C19,BASE01[COD],BASE01[Columna30],"")</f>
        <v/>
      </c>
      <c r="J19" s="301">
        <f>IFERROR(+I19/H19,"0,00")</f>
        <v/>
      </c>
      <c r="K19" s="302">
        <f>_xlfn.XLOOKUP(C19,BASE01[COD],BASE01[Columna32],"")</f>
        <v/>
      </c>
      <c r="L19" s="302">
        <f>_xlfn.XLOOKUP(C19,BASE01[COD],BASE01[Columna34],"")</f>
        <v/>
      </c>
      <c r="M19" s="303">
        <f>IFERROR(+L19/K19,"0,00")</f>
        <v/>
      </c>
      <c r="N19" s="304">
        <f>_xlfn.XLOOKUP(C19,BASE01[COD],BASE01[Columna36],"")</f>
        <v/>
      </c>
      <c r="O19" s="304">
        <f>_xlfn.XLOOKUP(C19,BASE01[COD],BASE01[Columna37],"")</f>
        <v/>
      </c>
      <c r="P19" s="305">
        <f>IFERROR(+O19/N19,"0,00")</f>
        <v/>
      </c>
      <c r="Q19" s="306">
        <f>_xlfn.XLOOKUP(C19,BASE01[COD],BASE01[Columna1],"")</f>
        <v/>
      </c>
      <c r="R19" s="3" t="n"/>
      <c r="U19" s="393" t="inlineStr">
        <is>
          <t>COD 05</t>
        </is>
      </c>
      <c r="V19" s="393">
        <f>U19</f>
        <v/>
      </c>
    </row>
    <row r="20" ht="23.1" customFormat="1" customHeight="1" s="393">
      <c r="A20" s="295" t="n"/>
      <c r="B20" s="296">
        <f>+B19+1</f>
        <v/>
      </c>
      <c r="C20" s="611" t="inlineStr">
        <is>
          <t>COD 33</t>
        </is>
      </c>
      <c r="D20" s="297">
        <f>_xlfn.XLOOKUP(C20,CODIGOS_Y_PAGOS[CODIGO],CODIGOS_Y_PAGOS[NOMBRE PARTICIPANTE],"")</f>
        <v/>
      </c>
      <c r="E20" s="298">
        <f>_xlfn.XLOOKUP($C20,BASE01[COD],BASE01[Columna14],"")</f>
        <v/>
      </c>
      <c r="F20" s="298">
        <f>_xlfn.XLOOKUP(C20,BASE01[COD],BASE01[Columna19],"")</f>
        <v/>
      </c>
      <c r="G20" s="299">
        <f>IFERROR(+F20/E20,"0,00")</f>
        <v/>
      </c>
      <c r="H20" s="300">
        <f>_xlfn.XLOOKUP(C20,BASE01[COD],BASE01[Columna32],"")</f>
        <v/>
      </c>
      <c r="I20" s="300">
        <f>_xlfn.XLOOKUP(C20,BASE01[COD],BASE01[Columna30],"")</f>
        <v/>
      </c>
      <c r="J20" s="301">
        <f>IFERROR(+I20/H20,"0,00")</f>
        <v/>
      </c>
      <c r="K20" s="302">
        <f>_xlfn.XLOOKUP(C20,BASE01[COD],BASE01[Columna32],"")</f>
        <v/>
      </c>
      <c r="L20" s="302">
        <f>_xlfn.XLOOKUP(C20,BASE01[COD],BASE01[Columna34],"")</f>
        <v/>
      </c>
      <c r="M20" s="303">
        <f>IFERROR(+L20/K20,"0,00")</f>
        <v/>
      </c>
      <c r="N20" s="304">
        <f>_xlfn.XLOOKUP(C20,BASE01[COD],BASE01[Columna36],"")</f>
        <v/>
      </c>
      <c r="O20" s="304">
        <f>_xlfn.XLOOKUP(C20,BASE01[COD],BASE01[Columna37],"")</f>
        <v/>
      </c>
      <c r="P20" s="305">
        <f>IFERROR(+O20/N20,"0,00")</f>
        <v/>
      </c>
      <c r="Q20" s="306">
        <f>_xlfn.XLOOKUP(C20,BASE01[COD],BASE01[Columna1],"")</f>
        <v/>
      </c>
      <c r="R20" s="3" t="n"/>
      <c r="U20" s="393" t="inlineStr">
        <is>
          <t>COD 33</t>
        </is>
      </c>
      <c r="V20" s="393">
        <f>U20</f>
        <v/>
      </c>
    </row>
    <row r="21" ht="23.1" customFormat="1" customHeight="1" s="393">
      <c r="A21" s="295" t="n"/>
      <c r="B21" s="296">
        <f>+B20+1</f>
        <v/>
      </c>
      <c r="C21" s="611" t="inlineStr">
        <is>
          <t>COD 11</t>
        </is>
      </c>
      <c r="D21" s="297">
        <f>_xlfn.XLOOKUP(C21,CODIGOS_Y_PAGOS[CODIGO],CODIGOS_Y_PAGOS[NOMBRE PARTICIPANTE],"")</f>
        <v/>
      </c>
      <c r="E21" s="298">
        <f>_xlfn.XLOOKUP($C21,BASE01[COD],BASE01[Columna14],"")</f>
        <v/>
      </c>
      <c r="F21" s="298">
        <f>_xlfn.XLOOKUP(C21,BASE01[COD],BASE01[Columna19],"")</f>
        <v/>
      </c>
      <c r="G21" s="299">
        <f>IFERROR(+F21/E21,"0,00")</f>
        <v/>
      </c>
      <c r="H21" s="300">
        <f>_xlfn.XLOOKUP(C21,BASE01[COD],BASE01[Columna32],"")</f>
        <v/>
      </c>
      <c r="I21" s="300">
        <f>_xlfn.XLOOKUP(C21,BASE01[COD],BASE01[Columna30],"")</f>
        <v/>
      </c>
      <c r="J21" s="301">
        <f>IFERROR(+I21/H21,"0,00")</f>
        <v/>
      </c>
      <c r="K21" s="302">
        <f>_xlfn.XLOOKUP(C21,BASE01[COD],BASE01[Columna32],"")</f>
        <v/>
      </c>
      <c r="L21" s="302">
        <f>_xlfn.XLOOKUP(C21,BASE01[COD],BASE01[Columna34],"")</f>
        <v/>
      </c>
      <c r="M21" s="303">
        <f>IFERROR(+L21/K21,"0,00")</f>
        <v/>
      </c>
      <c r="N21" s="304">
        <f>_xlfn.XLOOKUP(C21,BASE01[COD],BASE01[Columna36],"")</f>
        <v/>
      </c>
      <c r="O21" s="304">
        <f>_xlfn.XLOOKUP(C21,BASE01[COD],BASE01[Columna37],"")</f>
        <v/>
      </c>
      <c r="P21" s="305">
        <f>IFERROR(+O21/N21,"0,00")</f>
        <v/>
      </c>
      <c r="Q21" s="306">
        <f>_xlfn.XLOOKUP(C21,BASE01[COD],BASE01[Columna1],"")</f>
        <v/>
      </c>
      <c r="R21" s="3" t="n"/>
      <c r="U21" s="393" t="inlineStr">
        <is>
          <t>COD 11</t>
        </is>
      </c>
      <c r="V21" s="393">
        <f>U21</f>
        <v/>
      </c>
    </row>
    <row r="22" ht="23.1" customFormat="1" customHeight="1" s="393">
      <c r="A22" s="295" t="n"/>
      <c r="B22" s="296">
        <f>+B21+1</f>
        <v/>
      </c>
      <c r="C22" s="611" t="inlineStr">
        <is>
          <t>COD 35</t>
        </is>
      </c>
      <c r="D22" s="297">
        <f>_xlfn.XLOOKUP(C22,CODIGOS_Y_PAGOS[CODIGO],CODIGOS_Y_PAGOS[NOMBRE PARTICIPANTE],"")</f>
        <v/>
      </c>
      <c r="E22" s="298">
        <f>_xlfn.XLOOKUP($C22,BASE01[COD],BASE01[Columna14],"")</f>
        <v/>
      </c>
      <c r="F22" s="298">
        <f>_xlfn.XLOOKUP(C22,BASE01[COD],BASE01[Columna19],"")</f>
        <v/>
      </c>
      <c r="G22" s="299">
        <f>IFERROR(+F22/E22,"0,00")</f>
        <v/>
      </c>
      <c r="H22" s="300">
        <f>_xlfn.XLOOKUP(C22,BASE01[COD],BASE01[Columna32],"")</f>
        <v/>
      </c>
      <c r="I22" s="300">
        <f>_xlfn.XLOOKUP(C22,BASE01[COD],BASE01[Columna30],"")</f>
        <v/>
      </c>
      <c r="J22" s="301">
        <f>IFERROR(+I22/H22,"0,00")</f>
        <v/>
      </c>
      <c r="K22" s="302">
        <f>_xlfn.XLOOKUP(C22,BASE01[COD],BASE01[Columna32],"")</f>
        <v/>
      </c>
      <c r="L22" s="302">
        <f>_xlfn.XLOOKUP(C22,BASE01[COD],BASE01[Columna34],"")</f>
        <v/>
      </c>
      <c r="M22" s="303">
        <f>IFERROR(+L22/K22,"0,00")</f>
        <v/>
      </c>
      <c r="N22" s="304">
        <f>_xlfn.XLOOKUP(C22,BASE01[COD],BASE01[Columna36],"")</f>
        <v/>
      </c>
      <c r="O22" s="304">
        <f>_xlfn.XLOOKUP(C22,BASE01[COD],BASE01[Columna37],"")</f>
        <v/>
      </c>
      <c r="P22" s="305">
        <f>IFERROR(+O22/N22,"0,00")</f>
        <v/>
      </c>
      <c r="Q22" s="306">
        <f>_xlfn.XLOOKUP(C22,BASE01[COD],BASE01[Columna1],"")</f>
        <v/>
      </c>
      <c r="R22" s="3" t="n"/>
      <c r="U22" s="393" t="inlineStr">
        <is>
          <t>COD 35</t>
        </is>
      </c>
      <c r="V22" s="393">
        <f>U22</f>
        <v/>
      </c>
    </row>
    <row r="23" ht="23.1" customFormat="1" customHeight="1" s="393">
      <c r="A23" s="295" t="n"/>
      <c r="B23" s="296">
        <f>+B22+1</f>
        <v/>
      </c>
      <c r="C23" s="611" t="inlineStr">
        <is>
          <t>COD 16</t>
        </is>
      </c>
      <c r="D23" s="297">
        <f>_xlfn.XLOOKUP(C23,CODIGOS_Y_PAGOS[CODIGO],CODIGOS_Y_PAGOS[NOMBRE PARTICIPANTE],"")</f>
        <v/>
      </c>
      <c r="E23" s="298">
        <f>_xlfn.XLOOKUP($C23,BASE01[COD],BASE01[Columna14],"")</f>
        <v/>
      </c>
      <c r="F23" s="298">
        <f>_xlfn.XLOOKUP(C23,BASE01[COD],BASE01[Columna19],"")</f>
        <v/>
      </c>
      <c r="G23" s="299">
        <f>IFERROR(+F23/E23,"0,00")</f>
        <v/>
      </c>
      <c r="H23" s="300">
        <f>_xlfn.XLOOKUP(C23,BASE01[COD],BASE01[Columna32],"")</f>
        <v/>
      </c>
      <c r="I23" s="300">
        <f>_xlfn.XLOOKUP(C23,BASE01[COD],BASE01[Columna30],"")</f>
        <v/>
      </c>
      <c r="J23" s="301">
        <f>IFERROR(+I23/H23,"0,00")</f>
        <v/>
      </c>
      <c r="K23" s="302">
        <f>_xlfn.XLOOKUP(C23,BASE01[COD],BASE01[Columna32],"")</f>
        <v/>
      </c>
      <c r="L23" s="302">
        <f>_xlfn.XLOOKUP(C23,BASE01[COD],BASE01[Columna34],"")</f>
        <v/>
      </c>
      <c r="M23" s="303">
        <f>IFERROR(+L23/K23,"0,00")</f>
        <v/>
      </c>
      <c r="N23" s="304">
        <f>_xlfn.XLOOKUP(C23,BASE01[COD],BASE01[Columna36],"")</f>
        <v/>
      </c>
      <c r="O23" s="304">
        <f>_xlfn.XLOOKUP(C23,BASE01[COD],BASE01[Columna37],"")</f>
        <v/>
      </c>
      <c r="P23" s="305">
        <f>IFERROR(+O23/N23,"0,00")</f>
        <v/>
      </c>
      <c r="Q23" s="306">
        <f>_xlfn.XLOOKUP(C23,BASE01[COD],BASE01[Columna1],"")</f>
        <v/>
      </c>
      <c r="R23" s="3" t="n"/>
      <c r="U23" s="393" t="inlineStr">
        <is>
          <t>COD 16</t>
        </is>
      </c>
      <c r="V23" s="393">
        <f>U23</f>
        <v/>
      </c>
    </row>
    <row r="24" ht="23.1" customFormat="1" customHeight="1" s="393">
      <c r="A24" s="295" t="n"/>
      <c r="B24" s="296">
        <f>+B23+1</f>
        <v/>
      </c>
      <c r="C24" s="611" t="inlineStr">
        <is>
          <t>COD 19</t>
        </is>
      </c>
      <c r="D24" s="297">
        <f>_xlfn.XLOOKUP(C24,CODIGOS_Y_PAGOS[CODIGO],CODIGOS_Y_PAGOS[NOMBRE PARTICIPANTE],"")</f>
        <v/>
      </c>
      <c r="E24" s="298">
        <f>_xlfn.XLOOKUP($C24,BASE01[COD],BASE01[Columna14],"")</f>
        <v/>
      </c>
      <c r="F24" s="298">
        <f>_xlfn.XLOOKUP(C24,BASE01[COD],BASE01[Columna19],"")</f>
        <v/>
      </c>
      <c r="G24" s="299">
        <f>IFERROR(+F24/E24,"0,00")</f>
        <v/>
      </c>
      <c r="H24" s="300">
        <f>_xlfn.XLOOKUP(C24,BASE01[COD],BASE01[Columna32],"")</f>
        <v/>
      </c>
      <c r="I24" s="300">
        <f>_xlfn.XLOOKUP(C24,BASE01[COD],BASE01[Columna30],"")</f>
        <v/>
      </c>
      <c r="J24" s="301">
        <f>IFERROR(+I24/H24,"0,00")</f>
        <v/>
      </c>
      <c r="K24" s="302">
        <f>_xlfn.XLOOKUP(C24,BASE01[COD],BASE01[Columna32],"")</f>
        <v/>
      </c>
      <c r="L24" s="302">
        <f>_xlfn.XLOOKUP(C24,BASE01[COD],BASE01[Columna34],"")</f>
        <v/>
      </c>
      <c r="M24" s="303">
        <f>IFERROR(+L24/K24,"0,00")</f>
        <v/>
      </c>
      <c r="N24" s="304">
        <f>_xlfn.XLOOKUP(C24,BASE01[COD],BASE01[Columna36],"")</f>
        <v/>
      </c>
      <c r="O24" s="304">
        <f>_xlfn.XLOOKUP(C24,BASE01[COD],BASE01[Columna37],"")</f>
        <v/>
      </c>
      <c r="P24" s="305">
        <f>IFERROR(+O24/N24,"0,00")</f>
        <v/>
      </c>
      <c r="Q24" s="306">
        <f>_xlfn.XLOOKUP(C24,BASE01[COD],BASE01[Columna1],"")</f>
        <v/>
      </c>
      <c r="R24" s="3" t="n"/>
      <c r="U24" s="393" t="inlineStr">
        <is>
          <t>COD 19</t>
        </is>
      </c>
      <c r="V24" s="393">
        <f>U24</f>
        <v/>
      </c>
    </row>
    <row r="25" ht="23.1" customFormat="1" customHeight="1" s="393">
      <c r="A25" s="295" t="n"/>
      <c r="B25" s="307">
        <f>+B24+1</f>
        <v/>
      </c>
      <c r="C25" s="611" t="inlineStr">
        <is>
          <t>COD 31</t>
        </is>
      </c>
      <c r="D25" s="297">
        <f>_xlfn.XLOOKUP(C25,CODIGOS_Y_PAGOS[CODIGO],CODIGOS_Y_PAGOS[NOMBRE PARTICIPANTE],"")</f>
        <v/>
      </c>
      <c r="E25" s="298">
        <f>_xlfn.XLOOKUP($C25,BASE01[COD],BASE01[Columna14],"")</f>
        <v/>
      </c>
      <c r="F25" s="298">
        <f>_xlfn.XLOOKUP(C25,BASE01[COD],BASE01[Columna19],"")</f>
        <v/>
      </c>
      <c r="G25" s="299">
        <f>IFERROR(+F25/E25,"0,00")</f>
        <v/>
      </c>
      <c r="H25" s="300">
        <f>_xlfn.XLOOKUP(C25,BASE01[COD],BASE01[Columna32],"")</f>
        <v/>
      </c>
      <c r="I25" s="300">
        <f>_xlfn.XLOOKUP(C25,BASE01[COD],BASE01[Columna30],"")</f>
        <v/>
      </c>
      <c r="J25" s="301">
        <f>IFERROR(+I25/H25,"0,00")</f>
        <v/>
      </c>
      <c r="K25" s="302">
        <f>_xlfn.XLOOKUP(C25,BASE01[COD],BASE01[Columna32],"")</f>
        <v/>
      </c>
      <c r="L25" s="302">
        <f>_xlfn.XLOOKUP(C25,BASE01[COD],BASE01[Columna34],"")</f>
        <v/>
      </c>
      <c r="M25" s="303">
        <f>IFERROR(+L25/K25,"0,00")</f>
        <v/>
      </c>
      <c r="N25" s="304">
        <f>_xlfn.XLOOKUP(C25,BASE01[COD],BASE01[Columna36],"")</f>
        <v/>
      </c>
      <c r="O25" s="304">
        <f>_xlfn.XLOOKUP(C25,BASE01[COD],BASE01[Columna37],"")</f>
        <v/>
      </c>
      <c r="P25" s="305">
        <f>IFERROR(+O25/N25,"0,00")</f>
        <v/>
      </c>
      <c r="Q25" s="306">
        <f>_xlfn.XLOOKUP(C25,BASE01[COD],BASE01[Columna1],"")</f>
        <v/>
      </c>
      <c r="R25" s="3" t="n"/>
      <c r="U25" s="393" t="inlineStr">
        <is>
          <t>COD 31</t>
        </is>
      </c>
      <c r="V25" s="393">
        <f>U25</f>
        <v/>
      </c>
    </row>
    <row r="26" ht="23.1" customFormat="1" customHeight="1" s="393">
      <c r="A26" s="295" t="n"/>
      <c r="B26" s="308">
        <f>+B25+1</f>
        <v/>
      </c>
      <c r="C26" s="611" t="inlineStr">
        <is>
          <t>COD 38</t>
        </is>
      </c>
      <c r="D26" s="297">
        <f>_xlfn.XLOOKUP(C26,CODIGOS_Y_PAGOS[CODIGO],CODIGOS_Y_PAGOS[NOMBRE PARTICIPANTE],"")</f>
        <v/>
      </c>
      <c r="E26" s="298">
        <f>_xlfn.XLOOKUP($C26,BASE01[COD],BASE01[Columna14],"")</f>
        <v/>
      </c>
      <c r="F26" s="298">
        <f>_xlfn.XLOOKUP(C26,BASE01[COD],BASE01[Columna19],"")</f>
        <v/>
      </c>
      <c r="G26" s="299">
        <f>IFERROR(+F26/E26,"0,00")</f>
        <v/>
      </c>
      <c r="H26" s="300">
        <f>_xlfn.XLOOKUP(C26,BASE01[COD],BASE01[Columna32],"")</f>
        <v/>
      </c>
      <c r="I26" s="300">
        <f>_xlfn.XLOOKUP(C26,BASE01[COD],BASE01[Columna30],"")</f>
        <v/>
      </c>
      <c r="J26" s="301">
        <f>IFERROR(+I26/H26,"0,00")</f>
        <v/>
      </c>
      <c r="K26" s="302">
        <f>_xlfn.XLOOKUP(C26,BASE01[COD],BASE01[Columna32],"")</f>
        <v/>
      </c>
      <c r="L26" s="302">
        <f>_xlfn.XLOOKUP(C26,BASE01[COD],BASE01[Columna34],"")</f>
        <v/>
      </c>
      <c r="M26" s="303">
        <f>IFERROR(+L26/K26,"0,00")</f>
        <v/>
      </c>
      <c r="N26" s="304">
        <f>_xlfn.XLOOKUP(C26,BASE01[COD],BASE01[Columna36],"")</f>
        <v/>
      </c>
      <c r="O26" s="304">
        <f>_xlfn.XLOOKUP(C26,BASE01[COD],BASE01[Columna37],"")</f>
        <v/>
      </c>
      <c r="P26" s="305">
        <f>IFERROR(+O26/N26,"0,00")</f>
        <v/>
      </c>
      <c r="Q26" s="306">
        <f>_xlfn.XLOOKUP(C26,BASE01[COD],BASE01[Columna1],"")</f>
        <v/>
      </c>
      <c r="R26" s="3" t="n"/>
      <c r="U26" s="393" t="inlineStr">
        <is>
          <t>COD 38</t>
        </is>
      </c>
      <c r="V26" s="393">
        <f>U26</f>
        <v/>
      </c>
    </row>
    <row r="27" ht="23.1" customFormat="1" customHeight="1" s="393">
      <c r="A27" s="295" t="n"/>
      <c r="B27" s="307">
        <f>+B26+1</f>
        <v/>
      </c>
      <c r="C27" s="611" t="inlineStr">
        <is>
          <t>COD 15</t>
        </is>
      </c>
      <c r="D27" s="297">
        <f>_xlfn.XLOOKUP(C27,CODIGOS_Y_PAGOS[CODIGO],CODIGOS_Y_PAGOS[NOMBRE PARTICIPANTE],"")</f>
        <v/>
      </c>
      <c r="E27" s="298">
        <f>_xlfn.XLOOKUP($C27,BASE01[COD],BASE01[Columna14],"")</f>
        <v/>
      </c>
      <c r="F27" s="298">
        <f>_xlfn.XLOOKUP(C27,BASE01[COD],BASE01[Columna19],"")</f>
        <v/>
      </c>
      <c r="G27" s="299">
        <f>IFERROR(+F27/E27,"0,00")</f>
        <v/>
      </c>
      <c r="H27" s="300">
        <f>_xlfn.XLOOKUP(C27,BASE01[COD],BASE01[Columna32],"")</f>
        <v/>
      </c>
      <c r="I27" s="300">
        <f>_xlfn.XLOOKUP(C27,BASE01[COD],BASE01[Columna30],"")</f>
        <v/>
      </c>
      <c r="J27" s="301">
        <f>IFERROR(+I27/H27,"0,00")</f>
        <v/>
      </c>
      <c r="K27" s="302">
        <f>_xlfn.XLOOKUP(C27,BASE01[COD],BASE01[Columna32],"")</f>
        <v/>
      </c>
      <c r="L27" s="302">
        <f>_xlfn.XLOOKUP(C27,BASE01[COD],BASE01[Columna34],"")</f>
        <v/>
      </c>
      <c r="M27" s="303">
        <f>IFERROR(+L27/K27,"0,00")</f>
        <v/>
      </c>
      <c r="N27" s="304">
        <f>_xlfn.XLOOKUP(C27,BASE01[COD],BASE01[Columna36],"")</f>
        <v/>
      </c>
      <c r="O27" s="304">
        <f>_xlfn.XLOOKUP(C27,BASE01[COD],BASE01[Columna37],"")</f>
        <v/>
      </c>
      <c r="P27" s="305">
        <f>IFERROR(+O27/N27,"0,00")</f>
        <v/>
      </c>
      <c r="Q27" s="306">
        <f>_xlfn.XLOOKUP(C27,BASE01[COD],BASE01[Columna1],"")</f>
        <v/>
      </c>
      <c r="R27" s="3" t="n"/>
      <c r="U27" s="393" t="inlineStr">
        <is>
          <t>COD 15</t>
        </is>
      </c>
      <c r="V27" s="393">
        <f>U27</f>
        <v/>
      </c>
    </row>
    <row r="28" ht="23.1" customFormat="1" customHeight="1" s="393">
      <c r="A28" s="295" t="n"/>
      <c r="B28" s="307">
        <f>+B27+1</f>
        <v/>
      </c>
      <c r="C28" s="611" t="inlineStr">
        <is>
          <t>COD 08</t>
        </is>
      </c>
      <c r="D28" s="297">
        <f>_xlfn.XLOOKUP(C28,CODIGOS_Y_PAGOS[CODIGO],CODIGOS_Y_PAGOS[NOMBRE PARTICIPANTE],"")</f>
        <v/>
      </c>
      <c r="E28" s="298">
        <f>_xlfn.XLOOKUP($C28,BASE01[COD],BASE01[Columna14],"")</f>
        <v/>
      </c>
      <c r="F28" s="298">
        <f>_xlfn.XLOOKUP(C28,BASE01[COD],BASE01[Columna19],"")</f>
        <v/>
      </c>
      <c r="G28" s="299">
        <f>IFERROR(+F28/E28,"0,00")</f>
        <v/>
      </c>
      <c r="H28" s="300">
        <f>_xlfn.XLOOKUP(C28,BASE01[COD],BASE01[Columna32],"")</f>
        <v/>
      </c>
      <c r="I28" s="300">
        <f>_xlfn.XLOOKUP(C28,BASE01[COD],BASE01[Columna30],"")</f>
        <v/>
      </c>
      <c r="J28" s="301">
        <f>IFERROR(+I28/H28,"0,00")</f>
        <v/>
      </c>
      <c r="K28" s="302">
        <f>_xlfn.XLOOKUP(C28,BASE01[COD],BASE01[Columna32],"")</f>
        <v/>
      </c>
      <c r="L28" s="302">
        <f>_xlfn.XLOOKUP(C28,BASE01[COD],BASE01[Columna34],"")</f>
        <v/>
      </c>
      <c r="M28" s="303">
        <f>IFERROR(+L28/K28,"0,00")</f>
        <v/>
      </c>
      <c r="N28" s="304">
        <f>_xlfn.XLOOKUP(C28,BASE01[COD],BASE01[Columna36],"")</f>
        <v/>
      </c>
      <c r="O28" s="304">
        <f>_xlfn.XLOOKUP(C28,BASE01[COD],BASE01[Columna37],"")</f>
        <v/>
      </c>
      <c r="P28" s="305">
        <f>IFERROR(+O28/N28,"0,00")</f>
        <v/>
      </c>
      <c r="Q28" s="306">
        <f>_xlfn.XLOOKUP(C28,BASE01[COD],BASE01[Columna1],"")</f>
        <v/>
      </c>
      <c r="R28" s="3" t="n"/>
      <c r="U28" s="393" t="inlineStr">
        <is>
          <t>COD 08</t>
        </is>
      </c>
      <c r="V28" s="393">
        <f>U28</f>
        <v/>
      </c>
    </row>
    <row r="29" ht="23.1" customFormat="1" customHeight="1" s="393">
      <c r="A29" s="295" t="n"/>
      <c r="B29" s="307">
        <f>+B28+1</f>
        <v/>
      </c>
      <c r="C29" s="611" t="inlineStr">
        <is>
          <t>COD 26</t>
        </is>
      </c>
      <c r="D29" s="297">
        <f>_xlfn.XLOOKUP(C29,CODIGOS_Y_PAGOS[CODIGO],CODIGOS_Y_PAGOS[NOMBRE PARTICIPANTE],"")</f>
        <v/>
      </c>
      <c r="E29" s="298">
        <f>_xlfn.XLOOKUP($C29,BASE01[COD],BASE01[Columna14],"")</f>
        <v/>
      </c>
      <c r="F29" s="298">
        <f>_xlfn.XLOOKUP(C29,BASE01[COD],BASE01[Columna19],"")</f>
        <v/>
      </c>
      <c r="G29" s="299">
        <f>IFERROR(+F29/E29,"0,00")</f>
        <v/>
      </c>
      <c r="H29" s="300">
        <f>_xlfn.XLOOKUP(C29,BASE01[COD],BASE01[Columna32],"")</f>
        <v/>
      </c>
      <c r="I29" s="300">
        <f>_xlfn.XLOOKUP(C29,BASE01[COD],BASE01[Columna30],"")</f>
        <v/>
      </c>
      <c r="J29" s="301">
        <f>IFERROR(+I29/H29,"0,00")</f>
        <v/>
      </c>
      <c r="K29" s="302">
        <f>_xlfn.XLOOKUP(C29,BASE01[COD],BASE01[Columna32],"")</f>
        <v/>
      </c>
      <c r="L29" s="302">
        <f>_xlfn.XLOOKUP(C29,BASE01[COD],BASE01[Columna34],"")</f>
        <v/>
      </c>
      <c r="M29" s="303">
        <f>IFERROR(+L29/K29,"0,00")</f>
        <v/>
      </c>
      <c r="N29" s="304">
        <f>_xlfn.XLOOKUP(C29,BASE01[COD],BASE01[Columna36],"")</f>
        <v/>
      </c>
      <c r="O29" s="304">
        <f>_xlfn.XLOOKUP(C29,BASE01[COD],BASE01[Columna37],"")</f>
        <v/>
      </c>
      <c r="P29" s="305">
        <f>IFERROR(+O29/N29,"0,00")</f>
        <v/>
      </c>
      <c r="Q29" s="306">
        <f>_xlfn.XLOOKUP(C29,BASE01[COD],BASE01[Columna1],"")</f>
        <v/>
      </c>
      <c r="R29" s="3" t="n"/>
      <c r="U29" s="393" t="inlineStr">
        <is>
          <t>COD 26</t>
        </is>
      </c>
      <c r="V29" s="393">
        <f>U29</f>
        <v/>
      </c>
    </row>
    <row r="30" ht="23.1" customFormat="1" customHeight="1" s="393">
      <c r="A30" s="295" t="n"/>
      <c r="B30" s="307">
        <f>+B29+1</f>
        <v/>
      </c>
      <c r="C30" s="611" t="inlineStr">
        <is>
          <t>COD 03</t>
        </is>
      </c>
      <c r="D30" s="297">
        <f>_xlfn.XLOOKUP(C30,CODIGOS_Y_PAGOS[CODIGO],CODIGOS_Y_PAGOS[NOMBRE PARTICIPANTE],"")</f>
        <v/>
      </c>
      <c r="E30" s="298">
        <f>_xlfn.XLOOKUP($C30,BASE01[COD],BASE01[Columna14],"")</f>
        <v/>
      </c>
      <c r="F30" s="298">
        <f>_xlfn.XLOOKUP(C30,BASE01[COD],BASE01[Columna19],"")</f>
        <v/>
      </c>
      <c r="G30" s="299">
        <f>IFERROR(+F30/E30,"0,00")</f>
        <v/>
      </c>
      <c r="H30" s="300">
        <f>_xlfn.XLOOKUP(C30,BASE01[COD],BASE01[Columna32],"")</f>
        <v/>
      </c>
      <c r="I30" s="300">
        <f>_xlfn.XLOOKUP(C30,BASE01[COD],BASE01[Columna30],"")</f>
        <v/>
      </c>
      <c r="J30" s="301">
        <f>IFERROR(+I30/H30,"0,00")</f>
        <v/>
      </c>
      <c r="K30" s="302">
        <f>_xlfn.XLOOKUP(C30,BASE01[COD],BASE01[Columna32],"")</f>
        <v/>
      </c>
      <c r="L30" s="302">
        <f>_xlfn.XLOOKUP(C30,BASE01[COD],BASE01[Columna34],"")</f>
        <v/>
      </c>
      <c r="M30" s="303">
        <f>IFERROR(+L30/K30,"0,00")</f>
        <v/>
      </c>
      <c r="N30" s="304">
        <f>_xlfn.XLOOKUP(C30,BASE01[COD],BASE01[Columna36],"")</f>
        <v/>
      </c>
      <c r="O30" s="304">
        <f>_xlfn.XLOOKUP(C30,BASE01[COD],BASE01[Columna37],"")</f>
        <v/>
      </c>
      <c r="P30" s="305">
        <f>IFERROR(+O30/N30,"0,00")</f>
        <v/>
      </c>
      <c r="Q30" s="306">
        <f>_xlfn.XLOOKUP(C30,BASE01[COD],BASE01[Columna1],"")</f>
        <v/>
      </c>
      <c r="R30" s="3" t="n"/>
      <c r="U30" s="393" t="inlineStr">
        <is>
          <t>COD 03</t>
        </is>
      </c>
      <c r="V30" s="393">
        <f>U30</f>
        <v/>
      </c>
    </row>
    <row r="31" ht="23.1" customFormat="1" customHeight="1" s="393">
      <c r="A31" s="295" t="n"/>
      <c r="B31" s="307">
        <f>+B30+1</f>
        <v/>
      </c>
      <c r="C31" s="611" t="inlineStr">
        <is>
          <t>COD 20</t>
        </is>
      </c>
      <c r="D31" s="297">
        <f>_xlfn.XLOOKUP(C31,CODIGOS_Y_PAGOS[CODIGO],CODIGOS_Y_PAGOS[NOMBRE PARTICIPANTE],"")</f>
        <v/>
      </c>
      <c r="E31" s="298">
        <f>_xlfn.XLOOKUP($C31,BASE01[COD],BASE01[Columna14],"")</f>
        <v/>
      </c>
      <c r="F31" s="298">
        <f>_xlfn.XLOOKUP(C31,BASE01[COD],BASE01[Columna19],"")</f>
        <v/>
      </c>
      <c r="G31" s="299">
        <f>IFERROR(+F31/E31,"0,00")</f>
        <v/>
      </c>
      <c r="H31" s="300">
        <f>_xlfn.XLOOKUP(C31,BASE01[COD],BASE01[Columna32],"")</f>
        <v/>
      </c>
      <c r="I31" s="300">
        <f>_xlfn.XLOOKUP(C31,BASE01[COD],BASE01[Columna30],"")</f>
        <v/>
      </c>
      <c r="J31" s="301">
        <f>IFERROR(+I31/H31,"0,00")</f>
        <v/>
      </c>
      <c r="K31" s="302">
        <f>_xlfn.XLOOKUP(C31,BASE01[COD],BASE01[Columna32],"")</f>
        <v/>
      </c>
      <c r="L31" s="302">
        <f>_xlfn.XLOOKUP(C31,BASE01[COD],BASE01[Columna34],"")</f>
        <v/>
      </c>
      <c r="M31" s="303">
        <f>IFERROR(+L31/K31,"0,00")</f>
        <v/>
      </c>
      <c r="N31" s="304">
        <f>_xlfn.XLOOKUP(C31,BASE01[COD],BASE01[Columna36],"")</f>
        <v/>
      </c>
      <c r="O31" s="304">
        <f>_xlfn.XLOOKUP(C31,BASE01[COD],BASE01[Columna37],"")</f>
        <v/>
      </c>
      <c r="P31" s="305">
        <f>IFERROR(+O31/N31,"0,00")</f>
        <v/>
      </c>
      <c r="Q31" s="306">
        <f>_xlfn.XLOOKUP(C31,BASE01[COD],BASE01[Columna1],"")</f>
        <v/>
      </c>
      <c r="R31" s="3" t="n"/>
      <c r="U31" s="393" t="inlineStr">
        <is>
          <t>COD 20</t>
        </is>
      </c>
      <c r="V31" s="393">
        <f>U31</f>
        <v/>
      </c>
    </row>
    <row r="32" ht="23.1" customFormat="1" customHeight="1" s="393">
      <c r="A32" s="295" t="n"/>
      <c r="B32" s="307">
        <f>+B31+1</f>
        <v/>
      </c>
      <c r="C32" s="611" t="inlineStr">
        <is>
          <t>COD 17</t>
        </is>
      </c>
      <c r="D32" s="297">
        <f>_xlfn.XLOOKUP(C32,CODIGOS_Y_PAGOS[CODIGO],CODIGOS_Y_PAGOS[NOMBRE PARTICIPANTE],"")</f>
        <v/>
      </c>
      <c r="E32" s="298">
        <f>_xlfn.XLOOKUP($C32,BASE01[COD],BASE01[Columna14],"")</f>
        <v/>
      </c>
      <c r="F32" s="298">
        <f>_xlfn.XLOOKUP(C32,BASE01[COD],BASE01[Columna19],"")</f>
        <v/>
      </c>
      <c r="G32" s="299">
        <f>IFERROR(+F32/E32,"0,00")</f>
        <v/>
      </c>
      <c r="H32" s="300">
        <f>_xlfn.XLOOKUP(C32,BASE01[COD],BASE01[Columna32],"")</f>
        <v/>
      </c>
      <c r="I32" s="300">
        <f>_xlfn.XLOOKUP(C32,BASE01[COD],BASE01[Columna30],"")</f>
        <v/>
      </c>
      <c r="J32" s="301">
        <f>IFERROR(+I32/H32,"0,00")</f>
        <v/>
      </c>
      <c r="K32" s="302">
        <f>_xlfn.XLOOKUP(C32,BASE01[COD],BASE01[Columna32],"")</f>
        <v/>
      </c>
      <c r="L32" s="302">
        <f>_xlfn.XLOOKUP(C32,BASE01[COD],BASE01[Columna34],"")</f>
        <v/>
      </c>
      <c r="M32" s="303">
        <f>IFERROR(+L32/K32,"0,00")</f>
        <v/>
      </c>
      <c r="N32" s="304">
        <f>_xlfn.XLOOKUP(C32,BASE01[COD],BASE01[Columna36],"")</f>
        <v/>
      </c>
      <c r="O32" s="304">
        <f>_xlfn.XLOOKUP(C32,BASE01[COD],BASE01[Columna37],"")</f>
        <v/>
      </c>
      <c r="P32" s="305">
        <f>IFERROR(+O32/N32,"0,00")</f>
        <v/>
      </c>
      <c r="Q32" s="306">
        <f>_xlfn.XLOOKUP(C32,BASE01[COD],BASE01[Columna1],"")</f>
        <v/>
      </c>
      <c r="R32" s="3" t="n"/>
      <c r="U32" s="393" t="inlineStr">
        <is>
          <t>COD 17</t>
        </is>
      </c>
      <c r="V32" s="393">
        <f>U32</f>
        <v/>
      </c>
    </row>
    <row r="33" ht="23.1" customFormat="1" customHeight="1" s="393">
      <c r="A33" s="295" t="n"/>
      <c r="B33" s="307">
        <f>+B32+1</f>
        <v/>
      </c>
      <c r="C33" s="611" t="inlineStr">
        <is>
          <t>COD 18</t>
        </is>
      </c>
      <c r="D33" s="297">
        <f>_xlfn.XLOOKUP(C33,CODIGOS_Y_PAGOS[CODIGO],CODIGOS_Y_PAGOS[NOMBRE PARTICIPANTE],"")</f>
        <v/>
      </c>
      <c r="E33" s="298">
        <f>_xlfn.XLOOKUP($C33,BASE01[COD],BASE01[Columna14],"")</f>
        <v/>
      </c>
      <c r="F33" s="298">
        <f>_xlfn.XLOOKUP(C33,BASE01[COD],BASE01[Columna19],"")</f>
        <v/>
      </c>
      <c r="G33" s="299">
        <f>IFERROR(+F33/E33,"0,00")</f>
        <v/>
      </c>
      <c r="H33" s="300">
        <f>_xlfn.XLOOKUP(C33,BASE01[COD],BASE01[Columna32],"")</f>
        <v/>
      </c>
      <c r="I33" s="300">
        <f>_xlfn.XLOOKUP(C33,BASE01[COD],BASE01[Columna30],"")</f>
        <v/>
      </c>
      <c r="J33" s="301">
        <f>IFERROR(+I33/H33,"0,00")</f>
        <v/>
      </c>
      <c r="K33" s="302">
        <f>_xlfn.XLOOKUP(C33,BASE01[COD],BASE01[Columna32],"")</f>
        <v/>
      </c>
      <c r="L33" s="302">
        <f>_xlfn.XLOOKUP(C33,BASE01[COD],BASE01[Columna34],"")</f>
        <v/>
      </c>
      <c r="M33" s="303">
        <f>IFERROR(+L33/K33,"0,00")</f>
        <v/>
      </c>
      <c r="N33" s="304">
        <f>_xlfn.XLOOKUP(C33,BASE01[COD],BASE01[Columna36],"")</f>
        <v/>
      </c>
      <c r="O33" s="304">
        <f>_xlfn.XLOOKUP(C33,BASE01[COD],BASE01[Columna37],"")</f>
        <v/>
      </c>
      <c r="P33" s="305">
        <f>IFERROR(+O33/N33,"0,00")</f>
        <v/>
      </c>
      <c r="Q33" s="306">
        <f>_xlfn.XLOOKUP(C33,BASE01[COD],BASE01[Columna1],"")</f>
        <v/>
      </c>
      <c r="R33" s="3" t="n"/>
      <c r="U33" s="393" t="inlineStr">
        <is>
          <t>COD 18</t>
        </is>
      </c>
      <c r="V33" s="393">
        <f>U33</f>
        <v/>
      </c>
    </row>
    <row r="34" ht="23.1" customFormat="1" customHeight="1" s="393">
      <c r="A34" s="295" t="n"/>
      <c r="B34" s="307">
        <f>+B33+1</f>
        <v/>
      </c>
      <c r="C34" s="611" t="inlineStr">
        <is>
          <t>COD 01</t>
        </is>
      </c>
      <c r="D34" s="297">
        <f>_xlfn.XLOOKUP(C34,CODIGOS_Y_PAGOS[CODIGO],CODIGOS_Y_PAGOS[NOMBRE PARTICIPANTE],"")</f>
        <v/>
      </c>
      <c r="E34" s="298">
        <f>_xlfn.XLOOKUP($C34,BASE01[COD],BASE01[Columna14],"")</f>
        <v/>
      </c>
      <c r="F34" s="298">
        <f>_xlfn.XLOOKUP(C34,BASE01[COD],BASE01[Columna19],"")</f>
        <v/>
      </c>
      <c r="G34" s="299">
        <f>IFERROR(+F34/E34,"0,00")</f>
        <v/>
      </c>
      <c r="H34" s="300">
        <f>_xlfn.XLOOKUP(C34,BASE01[COD],BASE01[Columna32],"")</f>
        <v/>
      </c>
      <c r="I34" s="300">
        <f>_xlfn.XLOOKUP(C34,BASE01[COD],BASE01[Columna30],"")</f>
        <v/>
      </c>
      <c r="J34" s="301">
        <f>IFERROR(+I34/H34,"0,00")</f>
        <v/>
      </c>
      <c r="K34" s="302">
        <f>_xlfn.XLOOKUP(C34,BASE01[COD],BASE01[Columna32],"")</f>
        <v/>
      </c>
      <c r="L34" s="302">
        <f>_xlfn.XLOOKUP(C34,BASE01[COD],BASE01[Columna34],"")</f>
        <v/>
      </c>
      <c r="M34" s="303">
        <f>IFERROR(+L34/K34,"0,00")</f>
        <v/>
      </c>
      <c r="N34" s="304">
        <f>_xlfn.XLOOKUP(C34,BASE01[COD],BASE01[Columna36],"")</f>
        <v/>
      </c>
      <c r="O34" s="304">
        <f>_xlfn.XLOOKUP(C34,BASE01[COD],BASE01[Columna37],"")</f>
        <v/>
      </c>
      <c r="P34" s="305">
        <f>IFERROR(+O34/N34,"0,00")</f>
        <v/>
      </c>
      <c r="Q34" s="306">
        <f>_xlfn.XLOOKUP(C34,BASE01[COD],BASE01[Columna1],"")</f>
        <v/>
      </c>
      <c r="R34" s="3" t="n"/>
      <c r="U34" s="393" t="inlineStr">
        <is>
          <t>COD 01</t>
        </is>
      </c>
      <c r="V34" s="393">
        <f>U34</f>
        <v/>
      </c>
    </row>
    <row r="35" ht="23.1" customFormat="1" customHeight="1" s="393">
      <c r="A35" s="295" t="n"/>
      <c r="B35" s="307">
        <f>+B34+1</f>
        <v/>
      </c>
      <c r="C35" s="611" t="inlineStr">
        <is>
          <t>COD 14</t>
        </is>
      </c>
      <c r="D35" s="297">
        <f>_xlfn.XLOOKUP(C35,CODIGOS_Y_PAGOS[CODIGO],CODIGOS_Y_PAGOS[NOMBRE PARTICIPANTE],"")</f>
        <v/>
      </c>
      <c r="E35" s="298">
        <f>_xlfn.XLOOKUP($C35,BASE01[COD],BASE01[Columna14],"")</f>
        <v/>
      </c>
      <c r="F35" s="298">
        <f>_xlfn.XLOOKUP(C35,BASE01[COD],BASE01[Columna19],"")</f>
        <v/>
      </c>
      <c r="G35" s="299">
        <f>IFERROR(+F35/E35,"0,00")</f>
        <v/>
      </c>
      <c r="H35" s="300">
        <f>_xlfn.XLOOKUP(C35,BASE01[COD],BASE01[Columna32],"")</f>
        <v/>
      </c>
      <c r="I35" s="300">
        <f>_xlfn.XLOOKUP(C35,BASE01[COD],BASE01[Columna30],"")</f>
        <v/>
      </c>
      <c r="J35" s="301">
        <f>IFERROR(+I35/H35,"0,00")</f>
        <v/>
      </c>
      <c r="K35" s="302">
        <f>_xlfn.XLOOKUP(C35,BASE01[COD],BASE01[Columna32],"")</f>
        <v/>
      </c>
      <c r="L35" s="302">
        <f>_xlfn.XLOOKUP(C35,BASE01[COD],BASE01[Columna34],"")</f>
        <v/>
      </c>
      <c r="M35" s="303">
        <f>IFERROR(+L35/K35,"0,00")</f>
        <v/>
      </c>
      <c r="N35" s="304">
        <f>_xlfn.XLOOKUP(C35,BASE01[COD],BASE01[Columna36],"")</f>
        <v/>
      </c>
      <c r="O35" s="304">
        <f>_xlfn.XLOOKUP(C35,BASE01[COD],BASE01[Columna37],"")</f>
        <v/>
      </c>
      <c r="P35" s="305">
        <f>IFERROR(+O35/N35,"0,00")</f>
        <v/>
      </c>
      <c r="Q35" s="306">
        <f>_xlfn.XLOOKUP(C35,BASE01[COD],BASE01[Columna1],"")</f>
        <v/>
      </c>
      <c r="R35" s="3" t="n"/>
      <c r="U35" s="393" t="inlineStr">
        <is>
          <t>COD 14</t>
        </is>
      </c>
      <c r="V35" s="393">
        <f>U35</f>
        <v/>
      </c>
    </row>
    <row r="36" ht="23.1" customFormat="1" customHeight="1" s="393">
      <c r="A36" s="295" t="n"/>
      <c r="B36" s="307">
        <f>+B35+1</f>
        <v/>
      </c>
      <c r="C36" s="611" t="inlineStr">
        <is>
          <t>COD 04</t>
        </is>
      </c>
      <c r="D36" s="297">
        <f>_xlfn.XLOOKUP(C36,CODIGOS_Y_PAGOS[CODIGO],CODIGOS_Y_PAGOS[NOMBRE PARTICIPANTE],"")</f>
        <v/>
      </c>
      <c r="E36" s="298">
        <f>_xlfn.XLOOKUP($C36,BASE01[COD],BASE01[Columna14],"")</f>
        <v/>
      </c>
      <c r="F36" s="298">
        <f>_xlfn.XLOOKUP(C36,BASE01[COD],BASE01[Columna19],"")</f>
        <v/>
      </c>
      <c r="G36" s="299">
        <f>IFERROR(+F36/E36,"0,00")</f>
        <v/>
      </c>
      <c r="H36" s="300">
        <f>_xlfn.XLOOKUP(C36,BASE01[COD],BASE01[Columna32],"")</f>
        <v/>
      </c>
      <c r="I36" s="300">
        <f>_xlfn.XLOOKUP(C36,BASE01[COD],BASE01[Columna30],"")</f>
        <v/>
      </c>
      <c r="J36" s="301">
        <f>IFERROR(+I36/H36,"0,00")</f>
        <v/>
      </c>
      <c r="K36" s="302">
        <f>_xlfn.XLOOKUP(C36,BASE01[COD],BASE01[Columna32],"")</f>
        <v/>
      </c>
      <c r="L36" s="302">
        <f>_xlfn.XLOOKUP(C36,BASE01[COD],BASE01[Columna34],"")</f>
        <v/>
      </c>
      <c r="M36" s="303">
        <f>IFERROR(+L36/K36,"0,00")</f>
        <v/>
      </c>
      <c r="N36" s="304">
        <f>_xlfn.XLOOKUP(C36,BASE01[COD],BASE01[Columna36],"")</f>
        <v/>
      </c>
      <c r="O36" s="304">
        <f>_xlfn.XLOOKUP(C36,BASE01[COD],BASE01[Columna37],"")</f>
        <v/>
      </c>
      <c r="P36" s="305">
        <f>IFERROR(+O36/N36,"0,00")</f>
        <v/>
      </c>
      <c r="Q36" s="306">
        <f>_xlfn.XLOOKUP(C36,BASE01[COD],BASE01[Columna1],"")</f>
        <v/>
      </c>
      <c r="R36" s="3" t="n"/>
      <c r="U36" s="393" t="inlineStr">
        <is>
          <t>COD 04</t>
        </is>
      </c>
      <c r="V36" s="393">
        <f>U36</f>
        <v/>
      </c>
    </row>
    <row r="37" ht="23.1" customFormat="1" customHeight="1" s="393">
      <c r="A37" s="295" t="n"/>
      <c r="B37" s="307">
        <f>+B36+1</f>
        <v/>
      </c>
      <c r="C37" s="611" t="inlineStr">
        <is>
          <t>COD 06</t>
        </is>
      </c>
      <c r="D37" s="297">
        <f>_xlfn.XLOOKUP(C37,CODIGOS_Y_PAGOS[CODIGO],CODIGOS_Y_PAGOS[NOMBRE PARTICIPANTE],"")</f>
        <v/>
      </c>
      <c r="E37" s="298">
        <f>_xlfn.XLOOKUP($C37,BASE01[COD],BASE01[Columna14],"")</f>
        <v/>
      </c>
      <c r="F37" s="298">
        <f>_xlfn.XLOOKUP(C37,BASE01[COD],BASE01[Columna19],"")</f>
        <v/>
      </c>
      <c r="G37" s="299">
        <f>IFERROR(+F37/E37,"0,00")</f>
        <v/>
      </c>
      <c r="H37" s="300">
        <f>_xlfn.XLOOKUP(C37,BASE01[COD],BASE01[Columna32],"")</f>
        <v/>
      </c>
      <c r="I37" s="300">
        <f>_xlfn.XLOOKUP(C37,BASE01[COD],BASE01[Columna30],"")</f>
        <v/>
      </c>
      <c r="J37" s="301">
        <f>IFERROR(+I37/H37,"0,00")</f>
        <v/>
      </c>
      <c r="K37" s="302">
        <f>_xlfn.XLOOKUP(C37,BASE01[COD],BASE01[Columna32],"")</f>
        <v/>
      </c>
      <c r="L37" s="302">
        <f>_xlfn.XLOOKUP(C37,BASE01[COD],BASE01[Columna34],"")</f>
        <v/>
      </c>
      <c r="M37" s="303">
        <f>IFERROR(+L37/K37,"0,00")</f>
        <v/>
      </c>
      <c r="N37" s="304">
        <f>_xlfn.XLOOKUP(C37,BASE01[COD],BASE01[Columna36],"")</f>
        <v/>
      </c>
      <c r="O37" s="304">
        <f>_xlfn.XLOOKUP(C37,BASE01[COD],BASE01[Columna37],"")</f>
        <v/>
      </c>
      <c r="P37" s="305">
        <f>IFERROR(+O37/N37,"0,00")</f>
        <v/>
      </c>
      <c r="Q37" s="306">
        <f>_xlfn.XLOOKUP(C37,BASE01[COD],BASE01[Columna1],"")</f>
        <v/>
      </c>
      <c r="R37" s="3" t="n"/>
      <c r="U37" s="393" t="inlineStr">
        <is>
          <t>COD 06</t>
        </is>
      </c>
      <c r="V37" s="393">
        <f>U37</f>
        <v/>
      </c>
    </row>
    <row r="38" ht="23.1" customFormat="1" customHeight="1" s="393">
      <c r="A38" s="295" t="n"/>
      <c r="B38" s="307">
        <f>+B37+1</f>
        <v/>
      </c>
      <c r="C38" s="611" t="inlineStr">
        <is>
          <t>COD 13</t>
        </is>
      </c>
      <c r="D38" s="297">
        <f>_xlfn.XLOOKUP(C38,CODIGOS_Y_PAGOS[CODIGO],CODIGOS_Y_PAGOS[NOMBRE PARTICIPANTE],"")</f>
        <v/>
      </c>
      <c r="E38" s="298">
        <f>_xlfn.XLOOKUP($C38,BASE01[COD],BASE01[Columna14],"")</f>
        <v/>
      </c>
      <c r="F38" s="298">
        <f>_xlfn.XLOOKUP(C38,BASE01[COD],BASE01[Columna19],"")</f>
        <v/>
      </c>
      <c r="G38" s="299">
        <f>IFERROR(+F38/E38,"0,00")</f>
        <v/>
      </c>
      <c r="H38" s="300">
        <f>_xlfn.XLOOKUP(C38,BASE01[COD],BASE01[Columna32],"")</f>
        <v/>
      </c>
      <c r="I38" s="300">
        <f>_xlfn.XLOOKUP(C38,BASE01[COD],BASE01[Columna30],"")</f>
        <v/>
      </c>
      <c r="J38" s="301">
        <f>IFERROR(+I38/H38,"0,00")</f>
        <v/>
      </c>
      <c r="K38" s="302">
        <f>_xlfn.XLOOKUP(C38,BASE01[COD],BASE01[Columna32],"")</f>
        <v/>
      </c>
      <c r="L38" s="302">
        <f>_xlfn.XLOOKUP(C38,BASE01[COD],BASE01[Columna34],"")</f>
        <v/>
      </c>
      <c r="M38" s="303">
        <f>IFERROR(+L38/K38,"0,00")</f>
        <v/>
      </c>
      <c r="N38" s="304">
        <f>_xlfn.XLOOKUP(C38,BASE01[COD],BASE01[Columna36],"")</f>
        <v/>
      </c>
      <c r="O38" s="304">
        <f>_xlfn.XLOOKUP(C38,BASE01[COD],BASE01[Columna37],"")</f>
        <v/>
      </c>
      <c r="P38" s="305">
        <f>IFERROR(+O38/N38,"0,00")</f>
        <v/>
      </c>
      <c r="Q38" s="306">
        <f>_xlfn.XLOOKUP(C38,BASE01[COD],BASE01[Columna1],"")</f>
        <v/>
      </c>
      <c r="R38" s="3" t="n"/>
      <c r="U38" s="393" t="inlineStr">
        <is>
          <t>COD 13</t>
        </is>
      </c>
      <c r="V38" s="393">
        <f>U38</f>
        <v/>
      </c>
    </row>
    <row r="39" ht="23.1" customFormat="1" customHeight="1" s="393">
      <c r="A39" s="295" t="n"/>
      <c r="B39" s="307">
        <f>+B38+1</f>
        <v/>
      </c>
      <c r="C39" s="611" t="inlineStr">
        <is>
          <t>COD 07</t>
        </is>
      </c>
      <c r="D39" s="297">
        <f>_xlfn.XLOOKUP(C39,CODIGOS_Y_PAGOS[CODIGO],CODIGOS_Y_PAGOS[NOMBRE PARTICIPANTE],"")</f>
        <v/>
      </c>
      <c r="E39" s="298">
        <f>_xlfn.XLOOKUP($C39,BASE01[COD],BASE01[Columna14],"")</f>
        <v/>
      </c>
      <c r="F39" s="298">
        <f>_xlfn.XLOOKUP(C39,BASE01[COD],BASE01[Columna19],"")</f>
        <v/>
      </c>
      <c r="G39" s="299">
        <f>IFERROR(+F39/E39,"0,00")</f>
        <v/>
      </c>
      <c r="H39" s="300">
        <f>_xlfn.XLOOKUP(C39,BASE01[COD],BASE01[Columna32],"")</f>
        <v/>
      </c>
      <c r="I39" s="300">
        <f>_xlfn.XLOOKUP(C39,BASE01[COD],BASE01[Columna30],"")</f>
        <v/>
      </c>
      <c r="J39" s="301">
        <f>IFERROR(+I39/H39,"0,00")</f>
        <v/>
      </c>
      <c r="K39" s="302">
        <f>_xlfn.XLOOKUP(C39,BASE01[COD],BASE01[Columna32],"")</f>
        <v/>
      </c>
      <c r="L39" s="302">
        <f>_xlfn.XLOOKUP(C39,BASE01[COD],BASE01[Columna34],"")</f>
        <v/>
      </c>
      <c r="M39" s="303">
        <f>IFERROR(+L39/K39,"0,00")</f>
        <v/>
      </c>
      <c r="N39" s="304">
        <f>_xlfn.XLOOKUP(C39,BASE01[COD],BASE01[Columna36],"")</f>
        <v/>
      </c>
      <c r="O39" s="304">
        <f>_xlfn.XLOOKUP(C39,BASE01[COD],BASE01[Columna37],"")</f>
        <v/>
      </c>
      <c r="P39" s="305">
        <f>IFERROR(+O39/N39,"0,00")</f>
        <v/>
      </c>
      <c r="Q39" s="306">
        <f>_xlfn.XLOOKUP(C39,BASE01[COD],BASE01[Columna1],"")</f>
        <v/>
      </c>
      <c r="R39" s="3" t="n"/>
      <c r="U39" s="393" t="inlineStr">
        <is>
          <t>COD 07</t>
        </is>
      </c>
      <c r="V39" s="393">
        <f>U39</f>
        <v/>
      </c>
    </row>
    <row r="40" ht="23.1" customFormat="1" customHeight="1" s="393">
      <c r="A40" s="295" t="n"/>
      <c r="B40" s="307">
        <f>+B39+1</f>
        <v/>
      </c>
      <c r="C40" s="611" t="inlineStr">
        <is>
          <t>COD 12</t>
        </is>
      </c>
      <c r="D40" s="297">
        <f>_xlfn.XLOOKUP(C40,CODIGOS_Y_PAGOS[CODIGO],CODIGOS_Y_PAGOS[NOMBRE PARTICIPANTE],"")</f>
        <v/>
      </c>
      <c r="E40" s="298">
        <f>_xlfn.XLOOKUP($C40,BASE01[COD],BASE01[Columna14],"")</f>
        <v/>
      </c>
      <c r="F40" s="298">
        <f>_xlfn.XLOOKUP(C40,BASE01[COD],BASE01[Columna19],"")</f>
        <v/>
      </c>
      <c r="G40" s="299">
        <f>IFERROR(+F40/E40,"0,00")</f>
        <v/>
      </c>
      <c r="H40" s="300">
        <f>_xlfn.XLOOKUP(C40,BASE01[COD],BASE01[Columna32],"")</f>
        <v/>
      </c>
      <c r="I40" s="300">
        <f>_xlfn.XLOOKUP(C40,BASE01[COD],BASE01[Columna30],"")</f>
        <v/>
      </c>
      <c r="J40" s="301">
        <f>IFERROR(+I40/H40,"0,00")</f>
        <v/>
      </c>
      <c r="K40" s="302">
        <f>_xlfn.XLOOKUP(C40,BASE01[COD],BASE01[Columna32],"")</f>
        <v/>
      </c>
      <c r="L40" s="302">
        <f>_xlfn.XLOOKUP(C40,BASE01[COD],BASE01[Columna34],"")</f>
        <v/>
      </c>
      <c r="M40" s="303">
        <f>IFERROR(+L40/K40,"0,00")</f>
        <v/>
      </c>
      <c r="N40" s="304">
        <f>_xlfn.XLOOKUP(C40,BASE01[COD],BASE01[Columna36],"")</f>
        <v/>
      </c>
      <c r="O40" s="304">
        <f>_xlfn.XLOOKUP(C40,BASE01[COD],BASE01[Columna37],"")</f>
        <v/>
      </c>
      <c r="P40" s="305">
        <f>IFERROR(+O40/N40,"0,00")</f>
        <v/>
      </c>
      <c r="Q40" s="306">
        <f>_xlfn.XLOOKUP(C40,BASE01[COD],BASE01[Columna1],"")</f>
        <v/>
      </c>
      <c r="R40" s="3" t="n"/>
      <c r="U40" s="393" t="inlineStr">
        <is>
          <t>COD 12</t>
        </is>
      </c>
      <c r="V40" s="393">
        <f>U40</f>
        <v/>
      </c>
    </row>
    <row r="41" ht="23.1" customFormat="1" customHeight="1" s="393">
      <c r="A41" s="295" t="n"/>
      <c r="B41" s="307">
        <f>+B40+1</f>
        <v/>
      </c>
      <c r="C41" s="611" t="inlineStr">
        <is>
          <t>COD 24</t>
        </is>
      </c>
      <c r="D41" s="297">
        <f>_xlfn.XLOOKUP(C41,CODIGOS_Y_PAGOS[CODIGO],CODIGOS_Y_PAGOS[NOMBRE PARTICIPANTE],"")</f>
        <v/>
      </c>
      <c r="E41" s="298">
        <f>_xlfn.XLOOKUP($C41,BASE01[COD],BASE01[Columna14],"")</f>
        <v/>
      </c>
      <c r="F41" s="298">
        <f>_xlfn.XLOOKUP(C41,BASE01[COD],BASE01[Columna19],"")</f>
        <v/>
      </c>
      <c r="G41" s="299">
        <f>IFERROR(+F41/E41,"0,00")</f>
        <v/>
      </c>
      <c r="H41" s="300">
        <f>_xlfn.XLOOKUP(C41,BASE01[COD],BASE01[Columna32],"")</f>
        <v/>
      </c>
      <c r="I41" s="300">
        <f>_xlfn.XLOOKUP(C41,BASE01[COD],BASE01[Columna30],"")</f>
        <v/>
      </c>
      <c r="J41" s="301">
        <f>IFERROR(+I41/H41,"0,00")</f>
        <v/>
      </c>
      <c r="K41" s="302">
        <f>_xlfn.XLOOKUP(C41,BASE01[COD],BASE01[Columna32],"")</f>
        <v/>
      </c>
      <c r="L41" s="302">
        <f>_xlfn.XLOOKUP(C41,BASE01[COD],BASE01[Columna34],"")</f>
        <v/>
      </c>
      <c r="M41" s="303">
        <f>IFERROR(+L41/K41,"0,00")</f>
        <v/>
      </c>
      <c r="N41" s="304">
        <f>_xlfn.XLOOKUP(C41,BASE01[COD],BASE01[Columna36],"")</f>
        <v/>
      </c>
      <c r="O41" s="304">
        <f>_xlfn.XLOOKUP(C41,BASE01[COD],BASE01[Columna37],"")</f>
        <v/>
      </c>
      <c r="P41" s="305">
        <f>IFERROR(+O41/N41,"0,00")</f>
        <v/>
      </c>
      <c r="Q41" s="306">
        <f>_xlfn.XLOOKUP(C41,BASE01[COD],BASE01[Columna1],"")</f>
        <v/>
      </c>
      <c r="R41" s="3" t="n"/>
      <c r="U41" s="393" t="inlineStr">
        <is>
          <t>COD 24</t>
        </is>
      </c>
      <c r="V41" s="393">
        <f>U41</f>
        <v/>
      </c>
    </row>
    <row r="42" ht="23.1" customFormat="1" customHeight="1" s="393">
      <c r="A42" s="295" t="n"/>
      <c r="B42" s="307">
        <f>+B41+1</f>
        <v/>
      </c>
      <c r="C42" s="611" t="inlineStr">
        <is>
          <t>COD 30</t>
        </is>
      </c>
      <c r="D42" s="297">
        <f>_xlfn.XLOOKUP(C42,CODIGOS_Y_PAGOS[CODIGO],CODIGOS_Y_PAGOS[NOMBRE PARTICIPANTE],"")</f>
        <v/>
      </c>
      <c r="E42" s="298">
        <f>_xlfn.XLOOKUP($C42,BASE01[COD],BASE01[Columna14],"")</f>
        <v/>
      </c>
      <c r="F42" s="298">
        <f>_xlfn.XLOOKUP(C42,BASE01[COD],BASE01[Columna19],"")</f>
        <v/>
      </c>
      <c r="G42" s="299">
        <f>IFERROR(+F42/E42,"0,00")</f>
        <v/>
      </c>
      <c r="H42" s="300">
        <f>_xlfn.XLOOKUP(C42,BASE01[COD],BASE01[Columna32],"")</f>
        <v/>
      </c>
      <c r="I42" s="300">
        <f>_xlfn.XLOOKUP(C42,BASE01[COD],BASE01[Columna30],"")</f>
        <v/>
      </c>
      <c r="J42" s="301">
        <f>IFERROR(+I42/H42,"0,00")</f>
        <v/>
      </c>
      <c r="K42" s="302">
        <f>_xlfn.XLOOKUP(C42,BASE01[COD],BASE01[Columna32],"")</f>
        <v/>
      </c>
      <c r="L42" s="302">
        <f>_xlfn.XLOOKUP(C42,BASE01[COD],BASE01[Columna34],"")</f>
        <v/>
      </c>
      <c r="M42" s="303">
        <f>IFERROR(+L42/K42,"0,00")</f>
        <v/>
      </c>
      <c r="N42" s="304">
        <f>_xlfn.XLOOKUP(C42,BASE01[COD],BASE01[Columna36],"")</f>
        <v/>
      </c>
      <c r="O42" s="304">
        <f>_xlfn.XLOOKUP(C42,BASE01[COD],BASE01[Columna37],"")</f>
        <v/>
      </c>
      <c r="P42" s="305">
        <f>IFERROR(+O42/N42,"0,00")</f>
        <v/>
      </c>
      <c r="Q42" s="306">
        <f>_xlfn.XLOOKUP(C42,BASE01[COD],BASE01[Columna1],"")</f>
        <v/>
      </c>
      <c r="R42" s="3" t="n"/>
      <c r="U42" s="393" t="inlineStr">
        <is>
          <t>COD 30</t>
        </is>
      </c>
      <c r="V42" s="393">
        <f>U42</f>
        <v/>
      </c>
    </row>
    <row r="43" outlineLevel="1" ht="23.1" customFormat="1" customHeight="1" s="393">
      <c r="A43" s="295" t="n"/>
      <c r="B43" s="307">
        <f>+B42+1</f>
        <v/>
      </c>
      <c r="C43" s="611" t="inlineStr">
        <is>
          <t>COD 39</t>
        </is>
      </c>
      <c r="D43" s="297">
        <f>_xlfn.XLOOKUP(C43,CODIGOS_Y_PAGOS[CODIGO],CODIGOS_Y_PAGOS[NOMBRE PARTICIPANTE],"")</f>
        <v/>
      </c>
      <c r="E43" s="298">
        <f>_xlfn.XLOOKUP($C43,BASE01[COD],BASE01[Columna14],"")</f>
        <v/>
      </c>
      <c r="F43" s="298">
        <f>_xlfn.XLOOKUP(C43,BASE01[COD],BASE01[Columna19],"")</f>
        <v/>
      </c>
      <c r="G43" s="299">
        <f>IFERROR(+F43/E43,"0,00")</f>
        <v/>
      </c>
      <c r="H43" s="300">
        <f>_xlfn.XLOOKUP(C43,BASE01[COD],BASE01[Columna32],"")</f>
        <v/>
      </c>
      <c r="I43" s="300">
        <f>_xlfn.XLOOKUP(C43,BASE01[COD],BASE01[Columna30],"")</f>
        <v/>
      </c>
      <c r="J43" s="301">
        <f>IFERROR(+I43/H43,"0,00")</f>
        <v/>
      </c>
      <c r="K43" s="302">
        <f>_xlfn.XLOOKUP(C43,BASE01[COD],BASE01[Columna32],"")</f>
        <v/>
      </c>
      <c r="L43" s="302">
        <f>_xlfn.XLOOKUP(C43,BASE01[COD],BASE01[Columna34],"")</f>
        <v/>
      </c>
      <c r="M43" s="303">
        <f>IFERROR(+L43/K43,"0,00")</f>
        <v/>
      </c>
      <c r="N43" s="304">
        <f>_xlfn.XLOOKUP(C43,BASE01[COD],BASE01[Columna36],"")</f>
        <v/>
      </c>
      <c r="O43" s="304">
        <f>_xlfn.XLOOKUP(C43,BASE01[COD],BASE01[Columna37],"")</f>
        <v/>
      </c>
      <c r="P43" s="305">
        <f>IFERROR(+O43/N43,"0,00")</f>
        <v/>
      </c>
      <c r="Q43" s="306">
        <f>_xlfn.XLOOKUP(C43,BASE01[COD],BASE01[Columna1],"")</f>
        <v/>
      </c>
      <c r="R43" s="3" t="n"/>
      <c r="U43" s="393" t="inlineStr">
        <is>
          <t>COD 39</t>
        </is>
      </c>
      <c r="V43" s="393">
        <f>U43</f>
        <v/>
      </c>
    </row>
    <row r="44" outlineLevel="1" ht="23.1" customFormat="1" customHeight="1" s="393">
      <c r="A44" s="295" t="n"/>
      <c r="B44" s="307">
        <f>+B43+1</f>
        <v/>
      </c>
      <c r="C44" s="611" t="inlineStr">
        <is>
          <t>COD 40</t>
        </is>
      </c>
      <c r="D44" s="297">
        <f>_xlfn.XLOOKUP(C44,CODIGOS_Y_PAGOS[CODIGO],CODIGOS_Y_PAGOS[NOMBRE PARTICIPANTE],"")</f>
        <v/>
      </c>
      <c r="E44" s="298">
        <f>_xlfn.XLOOKUP($C44,BASE01[COD],BASE01[Columna14],"")</f>
        <v/>
      </c>
      <c r="F44" s="298">
        <f>_xlfn.XLOOKUP(C44,BASE01[COD],BASE01[Columna19],"")</f>
        <v/>
      </c>
      <c r="G44" s="299">
        <f>IFERROR(+F44/E44,"0,00")</f>
        <v/>
      </c>
      <c r="H44" s="300">
        <f>_xlfn.XLOOKUP(C44,BASE01[COD],BASE01[Columna32],"")</f>
        <v/>
      </c>
      <c r="I44" s="300">
        <f>_xlfn.XLOOKUP(C44,BASE01[COD],BASE01[Columna30],"")</f>
        <v/>
      </c>
      <c r="J44" s="301">
        <f>IFERROR(+I44/H44,"0,00")</f>
        <v/>
      </c>
      <c r="K44" s="302">
        <f>_xlfn.XLOOKUP(C44,BASE01[COD],BASE01[Columna32],"")</f>
        <v/>
      </c>
      <c r="L44" s="302">
        <f>_xlfn.XLOOKUP(C44,BASE01[COD],BASE01[Columna34],"")</f>
        <v/>
      </c>
      <c r="M44" s="303">
        <f>IFERROR(+L44/K44,"0,00")</f>
        <v/>
      </c>
      <c r="N44" s="304">
        <f>_xlfn.XLOOKUP(C44,BASE01[COD],BASE01[Columna36],"")</f>
        <v/>
      </c>
      <c r="O44" s="304">
        <f>_xlfn.XLOOKUP(C44,BASE01[COD],BASE01[Columna37],"")</f>
        <v/>
      </c>
      <c r="P44" s="305">
        <f>IFERROR(+O44/N44,"0,00")</f>
        <v/>
      </c>
      <c r="Q44" s="306">
        <f>_xlfn.XLOOKUP(C44,BASE01[COD],BASE01[Columna1],"")</f>
        <v/>
      </c>
      <c r="R44" s="3" t="n"/>
      <c r="U44" s="393" t="inlineStr">
        <is>
          <t>COD 40</t>
        </is>
      </c>
      <c r="V44" s="393">
        <f>U44</f>
        <v/>
      </c>
    </row>
    <row r="45" outlineLevel="1" ht="23.1" customFormat="1" customHeight="1" s="393">
      <c r="A45" s="295" t="n"/>
      <c r="B45" s="307">
        <f>+B44+1</f>
        <v/>
      </c>
      <c r="C45" s="611" t="inlineStr">
        <is>
          <t>COD 41</t>
        </is>
      </c>
      <c r="D45" s="297">
        <f>_xlfn.XLOOKUP(C45,CODIGOS_Y_PAGOS[CODIGO],CODIGOS_Y_PAGOS[NOMBRE PARTICIPANTE],"")</f>
        <v/>
      </c>
      <c r="E45" s="298">
        <f>_xlfn.XLOOKUP($C45,BASE01[COD],BASE01[Columna14],"")</f>
        <v/>
      </c>
      <c r="F45" s="298">
        <f>_xlfn.XLOOKUP(C45,BASE01[COD],BASE01[Columna19],"")</f>
        <v/>
      </c>
      <c r="G45" s="299">
        <f>IFERROR(+F45/E45,"0,00")</f>
        <v/>
      </c>
      <c r="H45" s="300">
        <f>_xlfn.XLOOKUP(C45,BASE01[COD],BASE01[Columna32],"")</f>
        <v/>
      </c>
      <c r="I45" s="300">
        <f>_xlfn.XLOOKUP(C45,BASE01[COD],BASE01[Columna30],"")</f>
        <v/>
      </c>
      <c r="J45" s="301">
        <f>IFERROR(+I45/H45,"0,00")</f>
        <v/>
      </c>
      <c r="K45" s="302">
        <f>_xlfn.XLOOKUP(C45,BASE01[COD],BASE01[Columna32],"")</f>
        <v/>
      </c>
      <c r="L45" s="302">
        <f>_xlfn.XLOOKUP(C45,BASE01[COD],BASE01[Columna34],"")</f>
        <v/>
      </c>
      <c r="M45" s="303">
        <f>IFERROR(+L45/K45,"0,00")</f>
        <v/>
      </c>
      <c r="N45" s="304">
        <f>_xlfn.XLOOKUP(C45,BASE01[COD],BASE01[Columna36],"")</f>
        <v/>
      </c>
      <c r="O45" s="304">
        <f>_xlfn.XLOOKUP(C45,BASE01[COD],BASE01[Columna37],"")</f>
        <v/>
      </c>
      <c r="P45" s="305">
        <f>IFERROR(+O45/N45,"0,00")</f>
        <v/>
      </c>
      <c r="Q45" s="306">
        <f>_xlfn.XLOOKUP(C45,BASE01[COD],BASE01[Columna1],"")</f>
        <v/>
      </c>
      <c r="R45" s="3" t="n"/>
      <c r="U45" s="393" t="inlineStr">
        <is>
          <t>COD 41</t>
        </is>
      </c>
      <c r="V45" s="393">
        <f>U45</f>
        <v/>
      </c>
    </row>
    <row r="46" outlineLevel="1" ht="23.1" customFormat="1" customHeight="1" s="393">
      <c r="A46" s="295" t="n"/>
      <c r="B46" s="307">
        <f>+B45+1</f>
        <v/>
      </c>
      <c r="C46" s="611" t="inlineStr">
        <is>
          <t>COD 42</t>
        </is>
      </c>
      <c r="D46" s="297">
        <f>_xlfn.XLOOKUP(C46,CODIGOS_Y_PAGOS[CODIGO],CODIGOS_Y_PAGOS[NOMBRE PARTICIPANTE],"")</f>
        <v/>
      </c>
      <c r="E46" s="298">
        <f>_xlfn.XLOOKUP($C46,BASE01[COD],BASE01[Columna14],"")</f>
        <v/>
      </c>
      <c r="F46" s="298">
        <f>_xlfn.XLOOKUP(C46,BASE01[COD],BASE01[Columna19],"")</f>
        <v/>
      </c>
      <c r="G46" s="299">
        <f>IFERROR(+F46/E46,"0,00")</f>
        <v/>
      </c>
      <c r="H46" s="300">
        <f>_xlfn.XLOOKUP(C46,BASE01[COD],BASE01[Columna32],"")</f>
        <v/>
      </c>
      <c r="I46" s="300">
        <f>_xlfn.XLOOKUP(C46,BASE01[COD],BASE01[Columna30],"")</f>
        <v/>
      </c>
      <c r="J46" s="301">
        <f>IFERROR(+I46/H46,"0,00")</f>
        <v/>
      </c>
      <c r="K46" s="302">
        <f>_xlfn.XLOOKUP(C46,BASE01[COD],BASE01[Columna32],"")</f>
        <v/>
      </c>
      <c r="L46" s="302">
        <f>_xlfn.XLOOKUP(C46,BASE01[COD],BASE01[Columna34],"")</f>
        <v/>
      </c>
      <c r="M46" s="303">
        <f>IFERROR(+L46/K46,"0,00")</f>
        <v/>
      </c>
      <c r="N46" s="304">
        <f>_xlfn.XLOOKUP(C46,BASE01[COD],BASE01[Columna36],"")</f>
        <v/>
      </c>
      <c r="O46" s="304">
        <f>_xlfn.XLOOKUP(C46,BASE01[COD],BASE01[Columna37],"")</f>
        <v/>
      </c>
      <c r="P46" s="305">
        <f>IFERROR(+O46/N46,"0,00")</f>
        <v/>
      </c>
      <c r="Q46" s="306">
        <f>_xlfn.XLOOKUP(C46,BASE01[COD],BASE01[Columna1],"")</f>
        <v/>
      </c>
      <c r="R46" s="3" t="n"/>
      <c r="U46" s="393" t="inlineStr">
        <is>
          <t>COD 42</t>
        </is>
      </c>
      <c r="V46" s="393">
        <f>U46</f>
        <v/>
      </c>
    </row>
    <row r="47" outlineLevel="1" ht="23.1" customFormat="1" customHeight="1" s="393">
      <c r="A47" s="295" t="n"/>
      <c r="B47" s="309">
        <f>+B46+1</f>
        <v/>
      </c>
      <c r="C47" s="611" t="inlineStr">
        <is>
          <t>COD 43</t>
        </is>
      </c>
      <c r="D47" s="297">
        <f>VLOOKUP(C$5:C$54,'[2]NOMBRES COD'!B$4:C$53,2,FALSE)</f>
        <v/>
      </c>
      <c r="E47" s="298">
        <f>_xlfn.XLOOKUP($C47,BASE01[COD],BASE01[Columna14],"")</f>
        <v/>
      </c>
      <c r="F47" s="298">
        <f>_xlfn.XLOOKUP(C47,BASE01[COD],BASE01[Columna19],"")</f>
        <v/>
      </c>
      <c r="G47" s="299">
        <f>IFERROR(+F47/E47,"0,00")</f>
        <v/>
      </c>
      <c r="H47" s="300">
        <f>_xlfn.XLOOKUP(C47,BASE01[COD],BASE01[Columna32],"")</f>
        <v/>
      </c>
      <c r="I47" s="300">
        <f>_xlfn.XLOOKUP(C47,BASE01[COD],BASE01[Columna30],"")</f>
        <v/>
      </c>
      <c r="J47" s="301">
        <f>IFERROR(+I47/H47,"0,00")</f>
        <v/>
      </c>
      <c r="K47" s="302">
        <f>_xlfn.XLOOKUP(C47,BASE01[COD],BASE01[Columna32],"")</f>
        <v/>
      </c>
      <c r="L47" s="302">
        <f>_xlfn.XLOOKUP(C47,BASE01[COD],BASE01[Columna34],"")</f>
        <v/>
      </c>
      <c r="M47" s="303">
        <f>IFERROR(+L47/K47,"0,00")</f>
        <v/>
      </c>
      <c r="N47" s="304">
        <f>_xlfn.XLOOKUP(C47,BASE01[COD],BASE01[Columna36],"")</f>
        <v/>
      </c>
      <c r="O47" s="304">
        <f>_xlfn.XLOOKUP(C47,BASE01[COD],BASE01[Columna37],"")</f>
        <v/>
      </c>
      <c r="P47" s="305">
        <f>IFERROR(+O47/N47,"0,00")</f>
        <v/>
      </c>
      <c r="Q47" s="306">
        <f>_xlfn.XLOOKUP(C47,BASE01[COD],BASE01[Columna1],"")</f>
        <v/>
      </c>
      <c r="R47" s="3" t="n"/>
    </row>
    <row r="48" outlineLevel="1" ht="23.1" customFormat="1" customHeight="1" s="393">
      <c r="A48" s="295" t="n"/>
      <c r="B48" s="309">
        <f>+B47+1</f>
        <v/>
      </c>
      <c r="C48" s="611" t="inlineStr">
        <is>
          <t>COD 44</t>
        </is>
      </c>
      <c r="D48" s="297">
        <f>VLOOKUP(C$5:C$54,'[2]NOMBRES COD'!B$4:C$53,2,FALSE)</f>
        <v/>
      </c>
      <c r="E48" s="298">
        <f>_xlfn.XLOOKUP($C48,BASE01[COD],BASE01[Columna14],"")</f>
        <v/>
      </c>
      <c r="F48" s="298">
        <f>_xlfn.XLOOKUP(C48,BASE01[COD],BASE01[Columna19],"")</f>
        <v/>
      </c>
      <c r="G48" s="299">
        <f>IFERROR(+F48/E48,"0,00")</f>
        <v/>
      </c>
      <c r="H48" s="300">
        <f>_xlfn.XLOOKUP(C48,BASE01[COD],BASE01[Columna32],"")</f>
        <v/>
      </c>
      <c r="I48" s="300">
        <f>_xlfn.XLOOKUP(C48,BASE01[COD],BASE01[Columna30],"")</f>
        <v/>
      </c>
      <c r="J48" s="301">
        <f>IFERROR(+I48/H48,"0,00")</f>
        <v/>
      </c>
      <c r="K48" s="302">
        <f>_xlfn.XLOOKUP(C48,BASE01[COD],BASE01[Columna32],"")</f>
        <v/>
      </c>
      <c r="L48" s="302">
        <f>_xlfn.XLOOKUP(C48,BASE01[COD],BASE01[Columna34],"")</f>
        <v/>
      </c>
      <c r="M48" s="303">
        <f>IFERROR(+L48/K48,"0,00")</f>
        <v/>
      </c>
      <c r="N48" s="304">
        <f>_xlfn.XLOOKUP(C48,BASE01[COD],BASE01[Columna36],"")</f>
        <v/>
      </c>
      <c r="O48" s="304">
        <f>_xlfn.XLOOKUP(C48,BASE01[COD],BASE01[Columna37],"")</f>
        <v/>
      </c>
      <c r="P48" s="305">
        <f>IFERROR(+O48/N48,"0,00")</f>
        <v/>
      </c>
      <c r="Q48" s="306">
        <f>_xlfn.XLOOKUP(C48,BASE01[COD],BASE01[Columna1],"")</f>
        <v/>
      </c>
      <c r="R48" s="3" t="n"/>
    </row>
    <row r="49" outlineLevel="1" ht="23.1" customFormat="1" customHeight="1" s="393">
      <c r="A49" s="295" t="n"/>
      <c r="B49" s="309">
        <f>+B48+1</f>
        <v/>
      </c>
      <c r="C49" s="611" t="inlineStr">
        <is>
          <t>COD 45</t>
        </is>
      </c>
      <c r="D49" s="297">
        <f>VLOOKUP(C$5:C$54,'[2]NOMBRES COD'!B$4:C$53,2,FALSE)</f>
        <v/>
      </c>
      <c r="E49" s="298">
        <f>_xlfn.XLOOKUP($C49,BASE01[COD],BASE01[Columna14],"")</f>
        <v/>
      </c>
      <c r="F49" s="298">
        <f>_xlfn.XLOOKUP(C49,BASE01[COD],BASE01[Columna19],"")</f>
        <v/>
      </c>
      <c r="G49" s="299">
        <f>IFERROR(+F49/E49,"0,00")</f>
        <v/>
      </c>
      <c r="H49" s="300">
        <f>_xlfn.XLOOKUP(C49,BASE01[COD],BASE01[Columna32],"")</f>
        <v/>
      </c>
      <c r="I49" s="300">
        <f>_xlfn.XLOOKUP(C49,BASE01[COD],BASE01[Columna30],"")</f>
        <v/>
      </c>
      <c r="J49" s="301">
        <f>IFERROR(+I49/H49,"0,00")</f>
        <v/>
      </c>
      <c r="K49" s="302">
        <f>_xlfn.XLOOKUP(C49,BASE01[COD],BASE01[Columna32],"")</f>
        <v/>
      </c>
      <c r="L49" s="302">
        <f>_xlfn.XLOOKUP(C49,BASE01[COD],BASE01[Columna34],"")</f>
        <v/>
      </c>
      <c r="M49" s="303">
        <f>IFERROR(+L49/K49,"0,00")</f>
        <v/>
      </c>
      <c r="N49" s="304">
        <f>_xlfn.XLOOKUP(C49,BASE01[COD],BASE01[Columna36],"")</f>
        <v/>
      </c>
      <c r="O49" s="304">
        <f>_xlfn.XLOOKUP(C49,BASE01[COD],BASE01[Columna37],"")</f>
        <v/>
      </c>
      <c r="P49" s="305">
        <f>IFERROR(+O49/N49,"0,00")</f>
        <v/>
      </c>
      <c r="Q49" s="306">
        <f>_xlfn.XLOOKUP(C49,BASE01[COD],BASE01[Columna1],"")</f>
        <v/>
      </c>
      <c r="R49" s="3" t="n"/>
    </row>
    <row r="50" outlineLevel="1" ht="23.1" customFormat="1" customHeight="1" s="393">
      <c r="A50" s="295" t="n"/>
      <c r="B50" s="309">
        <f>+B49+1</f>
        <v/>
      </c>
      <c r="C50" s="611" t="inlineStr">
        <is>
          <t>COD 46</t>
        </is>
      </c>
      <c r="D50" s="297">
        <f>VLOOKUP(C$5:C$54,'[2]NOMBRES COD'!B$4:C$53,2,FALSE)</f>
        <v/>
      </c>
      <c r="E50" s="298">
        <f>_xlfn.XLOOKUP($C50,BASE01[COD],BASE01[Columna14],"")</f>
        <v/>
      </c>
      <c r="F50" s="298">
        <f>_xlfn.XLOOKUP(C50,BASE01[COD],BASE01[Columna19],"")</f>
        <v/>
      </c>
      <c r="G50" s="299">
        <f>IFERROR(+F50/E50,"0,00")</f>
        <v/>
      </c>
      <c r="H50" s="300">
        <f>_xlfn.XLOOKUP(C50,BASE01[COD],BASE01[Columna32],"")</f>
        <v/>
      </c>
      <c r="I50" s="300">
        <f>_xlfn.XLOOKUP(C50,BASE01[COD],BASE01[Columna30],"")</f>
        <v/>
      </c>
      <c r="J50" s="301">
        <f>IFERROR(+I50/H50,"0,00")</f>
        <v/>
      </c>
      <c r="K50" s="302">
        <f>_xlfn.XLOOKUP(C50,BASE01[COD],BASE01[Columna32],"")</f>
        <v/>
      </c>
      <c r="L50" s="302">
        <f>_xlfn.XLOOKUP(C50,BASE01[COD],BASE01[Columna34],"")</f>
        <v/>
      </c>
      <c r="M50" s="303">
        <f>IFERROR(+L50/K50,"0,00")</f>
        <v/>
      </c>
      <c r="N50" s="304">
        <f>_xlfn.XLOOKUP(C50,BASE01[COD],BASE01[Columna36],"")</f>
        <v/>
      </c>
      <c r="O50" s="304">
        <f>_xlfn.XLOOKUP(C50,BASE01[COD],BASE01[Columna37],"")</f>
        <v/>
      </c>
      <c r="P50" s="305">
        <f>IFERROR(+O50/N50,"0,00")</f>
        <v/>
      </c>
      <c r="Q50" s="306">
        <f>_xlfn.XLOOKUP(C50,BASE01[COD],BASE01[Columna1],"")</f>
        <v/>
      </c>
      <c r="R50" s="3" t="n"/>
    </row>
    <row r="51" outlineLevel="1" ht="23.1" customFormat="1" customHeight="1" s="393">
      <c r="A51" s="295" t="n"/>
      <c r="B51" s="309">
        <f>+B50+1</f>
        <v/>
      </c>
      <c r="C51" s="611" t="inlineStr">
        <is>
          <t>COD 47</t>
        </is>
      </c>
      <c r="D51" s="297">
        <f>VLOOKUP(C$5:C$54,'[2]NOMBRES COD'!B$4:C$53,2,FALSE)</f>
        <v/>
      </c>
      <c r="E51" s="298">
        <f>_xlfn.XLOOKUP($C51,BASE01[COD],BASE01[Columna14],"")</f>
        <v/>
      </c>
      <c r="F51" s="298">
        <f>_xlfn.XLOOKUP(C51,BASE01[COD],BASE01[Columna19],"")</f>
        <v/>
      </c>
      <c r="G51" s="299">
        <f>IFERROR(+F51/E51,"0,00")</f>
        <v/>
      </c>
      <c r="H51" s="300">
        <f>_xlfn.XLOOKUP(C51,BASE01[COD],BASE01[Columna32],"")</f>
        <v/>
      </c>
      <c r="I51" s="300">
        <f>_xlfn.XLOOKUP(C51,BASE01[COD],BASE01[Columna30],"")</f>
        <v/>
      </c>
      <c r="J51" s="301">
        <f>IFERROR(+I51/H51,"0,00")</f>
        <v/>
      </c>
      <c r="K51" s="302">
        <f>_xlfn.XLOOKUP(C51,BASE01[COD],BASE01[Columna32],"")</f>
        <v/>
      </c>
      <c r="L51" s="302">
        <f>_xlfn.XLOOKUP(C51,BASE01[COD],BASE01[Columna34],"")</f>
        <v/>
      </c>
      <c r="M51" s="303">
        <f>IFERROR(+L51/K51,"0,00")</f>
        <v/>
      </c>
      <c r="N51" s="304">
        <f>_xlfn.XLOOKUP(C51,BASE01[COD],BASE01[Columna36],"")</f>
        <v/>
      </c>
      <c r="O51" s="304">
        <f>_xlfn.XLOOKUP(C51,BASE01[COD],BASE01[Columna37],"")</f>
        <v/>
      </c>
      <c r="P51" s="305">
        <f>IFERROR(+O51/N51,"0,00")</f>
        <v/>
      </c>
      <c r="Q51" s="306">
        <f>_xlfn.XLOOKUP(C51,BASE01[COD],BASE01[Columna1],"")</f>
        <v/>
      </c>
      <c r="R51" s="3" t="n"/>
    </row>
    <row r="52" outlineLevel="1" ht="23.1" customFormat="1" customHeight="1" s="393">
      <c r="A52" s="295" t="n"/>
      <c r="B52" s="309">
        <f>+B51+1</f>
        <v/>
      </c>
      <c r="C52" s="611" t="inlineStr">
        <is>
          <t>COD 48</t>
        </is>
      </c>
      <c r="D52" s="297">
        <f>VLOOKUP(C$5:C$54,'[2]NOMBRES COD'!B$4:C$53,2,FALSE)</f>
        <v/>
      </c>
      <c r="E52" s="298">
        <f>_xlfn.XLOOKUP($C52,BASE01[COD],BASE01[Columna14],"")</f>
        <v/>
      </c>
      <c r="F52" s="298">
        <f>_xlfn.XLOOKUP(C52,BASE01[COD],BASE01[Columna19],"")</f>
        <v/>
      </c>
      <c r="G52" s="299">
        <f>IFERROR(+F52/E52,"0,00")</f>
        <v/>
      </c>
      <c r="H52" s="300">
        <f>_xlfn.XLOOKUP(C52,BASE01[COD],BASE01[Columna32],"")</f>
        <v/>
      </c>
      <c r="I52" s="300">
        <f>_xlfn.XLOOKUP(C52,BASE01[COD],BASE01[Columna30],"")</f>
        <v/>
      </c>
      <c r="J52" s="301">
        <f>IFERROR(+I52/H52,"0,00")</f>
        <v/>
      </c>
      <c r="K52" s="302">
        <f>_xlfn.XLOOKUP(C52,BASE01[COD],BASE01[Columna32],"")</f>
        <v/>
      </c>
      <c r="L52" s="302">
        <f>_xlfn.XLOOKUP(C52,BASE01[COD],BASE01[Columna34],"")</f>
        <v/>
      </c>
      <c r="M52" s="303">
        <f>IFERROR(+L52/K52,"0,00")</f>
        <v/>
      </c>
      <c r="N52" s="304">
        <f>_xlfn.XLOOKUP(C52,BASE01[COD],BASE01[Columna36],"")</f>
        <v/>
      </c>
      <c r="O52" s="304">
        <f>_xlfn.XLOOKUP(C52,BASE01[COD],BASE01[Columna37],"")</f>
        <v/>
      </c>
      <c r="P52" s="305">
        <f>IFERROR(+O52/N52,"0,00")</f>
        <v/>
      </c>
      <c r="Q52" s="306">
        <f>_xlfn.XLOOKUP(C52,BASE01[COD],BASE01[Columna1],"")</f>
        <v/>
      </c>
      <c r="R52" s="3" t="n"/>
    </row>
    <row r="53" outlineLevel="1" ht="23.1" customFormat="1" customHeight="1" s="393">
      <c r="A53" s="295" t="n"/>
      <c r="B53" s="309">
        <f>+B52+1</f>
        <v/>
      </c>
      <c r="C53" s="611" t="inlineStr">
        <is>
          <t>COD 49</t>
        </is>
      </c>
      <c r="D53" s="297">
        <f>VLOOKUP(C$5:C$54,'[2]NOMBRES COD'!B$4:C$53,2,FALSE)</f>
        <v/>
      </c>
      <c r="E53" s="298">
        <f>_xlfn.XLOOKUP($C53,BASE01[COD],BASE01[Columna14],"")</f>
        <v/>
      </c>
      <c r="F53" s="298">
        <f>_xlfn.XLOOKUP(C53,BASE01[COD],BASE01[Columna19],"")</f>
        <v/>
      </c>
      <c r="G53" s="299">
        <f>IFERROR(+F53/E53,"0,00")</f>
        <v/>
      </c>
      <c r="H53" s="300">
        <f>_xlfn.XLOOKUP(C53,BASE01[COD],BASE01[Columna32],"")</f>
        <v/>
      </c>
      <c r="I53" s="300">
        <f>_xlfn.XLOOKUP(C53,BASE01[COD],BASE01[Columna30],"")</f>
        <v/>
      </c>
      <c r="J53" s="301">
        <f>IFERROR(+I53/H53,"0,00")</f>
        <v/>
      </c>
      <c r="K53" s="302">
        <f>_xlfn.XLOOKUP(C53,BASE01[COD],BASE01[Columna32],"")</f>
        <v/>
      </c>
      <c r="L53" s="302">
        <f>_xlfn.XLOOKUP(C53,BASE01[COD],BASE01[Columna34],"")</f>
        <v/>
      </c>
      <c r="M53" s="303">
        <f>IFERROR(+L53/K53,"0,00")</f>
        <v/>
      </c>
      <c r="N53" s="304">
        <f>_xlfn.XLOOKUP(C53,BASE01[COD],BASE01[Columna36],"")</f>
        <v/>
      </c>
      <c r="O53" s="304">
        <f>_xlfn.XLOOKUP(C53,BASE01[COD],BASE01[Columna37],"")</f>
        <v/>
      </c>
      <c r="P53" s="305">
        <f>IFERROR(+O53/N53,"0,00")</f>
        <v/>
      </c>
      <c r="Q53" s="306">
        <f>_xlfn.XLOOKUP(C53,BASE01[COD],BASE01[Columna1],"")</f>
        <v/>
      </c>
      <c r="R53" s="3" t="n"/>
    </row>
    <row r="54" outlineLevel="1" ht="23.1" customFormat="1" customHeight="1" s="393">
      <c r="A54" s="295" t="n"/>
      <c r="B54" s="309">
        <f>+B53+1</f>
        <v/>
      </c>
      <c r="C54" s="611" t="inlineStr">
        <is>
          <t>COD 50</t>
        </is>
      </c>
      <c r="D54" s="297">
        <f>VLOOKUP(C$5:C$54,'[2]NOMBRES COD'!B$4:C$53,2,FALSE)</f>
        <v/>
      </c>
      <c r="E54" s="298">
        <f>_xlfn.XLOOKUP($C54,BASE01[COD],BASE01[Columna14],"")</f>
        <v/>
      </c>
      <c r="F54" s="298">
        <f>_xlfn.XLOOKUP(C54,BASE01[COD],BASE01[Columna19],"")</f>
        <v/>
      </c>
      <c r="G54" s="299">
        <f>IFERROR(+F54/E54,"0,00")</f>
        <v/>
      </c>
      <c r="H54" s="300">
        <f>_xlfn.XLOOKUP(C54,BASE01[COD],BASE01[Columna32],"")</f>
        <v/>
      </c>
      <c r="I54" s="300">
        <f>_xlfn.XLOOKUP(C54,BASE01[COD],BASE01[Columna30],"")</f>
        <v/>
      </c>
      <c r="J54" s="301">
        <f>IFERROR(+I54/H54,"0,00")</f>
        <v/>
      </c>
      <c r="K54" s="302">
        <f>_xlfn.XLOOKUP(C54,BASE01[COD],BASE01[Columna32],"")</f>
        <v/>
      </c>
      <c r="L54" s="302">
        <f>_xlfn.XLOOKUP(C54,BASE01[COD],BASE01[Columna34],"")</f>
        <v/>
      </c>
      <c r="M54" s="303">
        <f>IFERROR(+L54/K54,"0,00")</f>
        <v/>
      </c>
      <c r="N54" s="304">
        <f>_xlfn.XLOOKUP(C54,BASE01[COD],BASE01[Columna36],"")</f>
        <v/>
      </c>
      <c r="O54" s="304">
        <f>_xlfn.XLOOKUP(C54,BASE01[COD],BASE01[Columna37],"")</f>
        <v/>
      </c>
      <c r="P54" s="305">
        <f>IFERROR(+O54/N54,"0,00")</f>
        <v/>
      </c>
      <c r="Q54" s="306">
        <f>_xlfn.XLOOKUP(C54,BASE01[COD],BASE01[Columna1],"")</f>
        <v/>
      </c>
      <c r="R54" s="3" t="n"/>
    </row>
    <row r="55" ht="9.75" customFormat="1" customHeight="1" s="316">
      <c r="A55" s="295" t="n"/>
      <c r="B55" s="310" t="n"/>
      <c r="C55" s="311" t="n"/>
      <c r="D55" s="312" t="n"/>
      <c r="E55" s="313" t="n"/>
      <c r="F55" s="313" t="n"/>
      <c r="G55" s="314" t="n"/>
      <c r="H55" s="313" t="n"/>
      <c r="I55" s="313" t="n"/>
      <c r="J55" s="314" t="n"/>
      <c r="K55" s="313" t="n"/>
      <c r="L55" s="313" t="n"/>
      <c r="M55" s="314" t="n"/>
      <c r="N55" s="313" t="n"/>
      <c r="O55" s="313" t="n"/>
      <c r="P55" s="315" t="n"/>
      <c r="Q55" s="310" t="n"/>
      <c r="R55" s="3" t="n"/>
    </row>
    <row r="56" outlineLevel="1" ht="23.25" customHeight="1" s="568">
      <c r="A56" s="3" t="n"/>
      <c r="B56" s="317" t="n"/>
      <c r="C56" s="318" t="n"/>
      <c r="D56" s="318" t="n"/>
      <c r="E56" s="319" t="n"/>
      <c r="F56" s="319" t="n"/>
      <c r="G56" s="320" t="n"/>
      <c r="H56" s="319" t="n"/>
      <c r="I56" s="319" t="n"/>
      <c r="J56" s="321" t="n"/>
      <c r="K56" s="321" t="n"/>
      <c r="L56" s="350">
        <f>'SEM 1'!CG3</f>
        <v/>
      </c>
      <c r="M56" s="361" t="n"/>
      <c r="N56" s="319" t="n"/>
      <c r="O56" s="319" t="n"/>
      <c r="P56" s="322" t="n"/>
      <c r="Q56" s="500">
        <f>+Q3</f>
        <v/>
      </c>
      <c r="R56" s="3" t="n"/>
    </row>
    <row r="57" outlineLevel="1" ht="25.5" customHeight="1" s="568">
      <c r="A57" s="1" t="n"/>
      <c r="B57" s="359" t="inlineStr">
        <is>
          <t>LOS MÁS DESTACADOS DE LA SEMANA</t>
        </is>
      </c>
      <c r="C57" s="517" t="n"/>
      <c r="D57" s="360" t="n"/>
      <c r="E57" s="517" t="n"/>
      <c r="F57" s="517" t="n"/>
      <c r="G57" s="517" t="n"/>
      <c r="H57" s="517" t="n"/>
      <c r="I57" s="517" t="n"/>
      <c r="J57" s="517" t="n"/>
      <c r="K57" s="517" t="n"/>
      <c r="L57" s="517" t="n"/>
      <c r="M57" s="323" t="n"/>
      <c r="N57" s="324" t="n"/>
      <c r="O57" s="324" t="n"/>
      <c r="P57" s="324" t="n"/>
      <c r="Q57" s="325" t="n"/>
      <c r="R57" s="3" t="n"/>
    </row>
    <row r="58" outlineLevel="1" ht="18" customFormat="1" customHeight="1" s="576">
      <c r="A58" s="285" t="n"/>
      <c r="B58" s="326" t="inlineStr">
        <is>
          <t>CODIGO</t>
        </is>
      </c>
      <c r="C58" s="327" t="n"/>
      <c r="D58" s="328" t="inlineStr">
        <is>
          <t>NOMBRE PARTICIPANTE</t>
        </is>
      </c>
      <c r="E58" s="518" t="inlineStr">
        <is>
          <t>CATEGORIA</t>
        </is>
      </c>
      <c r="F58" s="518" t="n"/>
      <c r="G58" s="518" t="n"/>
      <c r="H58" s="518" t="n"/>
      <c r="I58" s="518" t="n"/>
      <c r="J58" s="518" t="n"/>
      <c r="K58" s="386" t="inlineStr">
        <is>
          <t>LOGRO</t>
        </is>
      </c>
      <c r="L58" s="387" t="n"/>
      <c r="M58" s="575" t="n"/>
      <c r="P58" s="519" t="n"/>
      <c r="Q58" s="329" t="n"/>
      <c r="R58" s="3" t="n"/>
      <c r="U58" s="576" t="inlineStr">
        <is>
          <t>MAS PUNTOS</t>
        </is>
      </c>
      <c r="Y58" s="576" t="inlineStr">
        <is>
          <t>MAS 1RAS MARCAS</t>
        </is>
      </c>
      <c r="AC58" s="576" t="inlineStr">
        <is>
          <t>MAS 2DAS MARCAS</t>
        </is>
      </c>
      <c r="AG58" s="576" t="inlineStr">
        <is>
          <t>MAS 3RAS MARCAS</t>
        </is>
      </c>
      <c r="AK58" s="576" t="inlineStr">
        <is>
          <t>MAYOR DIVIDENDO DIA</t>
        </is>
      </c>
      <c r="AP58" s="576" t="inlineStr">
        <is>
          <t>MAYOR DIV. SUPERFIJA</t>
        </is>
      </c>
      <c r="AT58" s="576" t="inlineStr">
        <is>
          <t>MAYOR DIV. FIJA</t>
        </is>
      </c>
    </row>
    <row r="59" outlineLevel="1" ht="23.1" customFormat="1" customHeight="1" s="393">
      <c r="A59" s="295" t="n"/>
      <c r="B59" s="612" t="n"/>
      <c r="C59" s="613">
        <f>U59</f>
        <v/>
      </c>
      <c r="D59" s="357">
        <f>_xlfn.XLOOKUP(C59,CODIGOS_Y_PAGOS[CODIGO],CODIGOS_Y_PAGOS[NOMBRE PARTICIPANTE],"")</f>
        <v/>
      </c>
      <c r="E59" s="352" t="inlineStr">
        <is>
          <t>MAS PUNTOS EN LA SEMANA</t>
        </is>
      </c>
      <c r="F59" s="352" t="n"/>
      <c r="G59" s="352" t="n"/>
      <c r="H59" s="352" t="n"/>
      <c r="I59" s="352" t="n"/>
      <c r="J59" s="384" t="n"/>
      <c r="K59" s="614">
        <f>MAX(Q$5:Q$54)</f>
        <v/>
      </c>
      <c r="L59" s="615" t="n"/>
      <c r="M59" s="363" t="n"/>
      <c r="N59" s="363" t="n"/>
      <c r="O59" s="364" t="n"/>
      <c r="P59" s="364" t="n"/>
      <c r="Q59" s="330" t="n"/>
      <c r="R59" s="3" t="n"/>
      <c r="U59" s="393">
        <f t="array" ref="U59:V60">_xlfn._xlws.FILTER(C5:D54, Q5:Q54 = MAX(Q5:Q54))</f>
        <v/>
      </c>
      <c r="V59" s="393" t="inlineStr">
        <is>
          <t>WILMER</t>
        </is>
      </c>
      <c r="Y59" s="393">
        <f t="array" ref="Y59:Z59">_xlfn._xlws.FILTER(C5:D54, F5:F54 = MAX(F5:F54))</f>
        <v/>
      </c>
      <c r="Z59" s="393" t="inlineStr">
        <is>
          <t>WILMER</t>
        </is>
      </c>
      <c r="AC59" s="393">
        <f t="array" ref="AC59:AD59">_xlfn._xlws.FILTER(C5:D54, I5:I54 = MAX(I5:I54))</f>
        <v/>
      </c>
      <c r="AD59" s="393" t="inlineStr">
        <is>
          <t>ANDERSON HERNANDEZ</t>
        </is>
      </c>
      <c r="AG59" s="393">
        <f t="array" ref="AG59:AH59">_xlfn._xlws.FILTER(C5:D54, L5:L54 = MAX(L5:L54))</f>
        <v/>
      </c>
      <c r="AH59" s="393" t="inlineStr">
        <is>
          <t>GLADIADOR HIPICO</t>
        </is>
      </c>
      <c r="AK59" s="393">
        <f t="array" ref="AK59:AL59">_xlfn._xlws.FILTER('SEM 1'!CY28:CZ61, 'SEM 1'!DA28:DA61 = MIN('SEM 1'!DA28:DA62))</f>
        <v/>
      </c>
      <c r="AL59" s="393" t="inlineStr">
        <is>
          <t>COD 37</t>
        </is>
      </c>
      <c r="AP59" s="393">
        <f t="array" ref="AP59:AQ60">_xlfn._xlws.FILTER('SEM 1'!EI59:EJ61,'SEM 1'!EH59:EH61)</f>
        <v/>
      </c>
      <c r="AQ59" s="393" t="e">
        <v>#VALUE!</v>
      </c>
      <c r="AT59" s="393">
        <f t="array" ref="AT59:AU61">_xlfn._xlws.FILTER('SEM 1'!DQ59:DR61,'SEM 1'!DQ59:DQ61)</f>
        <v/>
      </c>
      <c r="AU59" s="393" t="e">
        <v>#VALUE!</v>
      </c>
    </row>
    <row r="60" outlineLevel="1" ht="23.1" customFormat="1" customHeight="1" s="393">
      <c r="A60" s="295" t="n"/>
      <c r="B60" s="616" t="n"/>
      <c r="C60" s="613">
        <f>U60</f>
        <v/>
      </c>
      <c r="D60" s="357">
        <f>_xlfn.XLOOKUP(C60,CODIGOS_Y_PAGOS[CODIGO],CODIGOS_Y_PAGOS[NOMBRE PARTICIPANTE],"")</f>
        <v/>
      </c>
      <c r="E60" s="352" t="inlineStr">
        <is>
          <t>MAS PUNTOS EN LA SEMANA</t>
        </is>
      </c>
      <c r="F60" s="352" t="n"/>
      <c r="G60" s="352" t="n"/>
      <c r="H60" s="352" t="n"/>
      <c r="I60" s="352" t="n"/>
      <c r="J60" s="384" t="n"/>
      <c r="K60" s="614">
        <f>_xlfn.XLOOKUP(C60,'SEM 1'!$C$8:$C$57,'SEM 1'!$CS$8:$CS$57,"")</f>
        <v/>
      </c>
      <c r="L60" s="615" t="n"/>
      <c r="M60" s="363" t="n"/>
      <c r="N60" s="363" t="n"/>
      <c r="O60" s="364" t="n"/>
      <c r="P60" s="364" t="n"/>
      <c r="Q60" s="330" t="n"/>
      <c r="R60" s="3" t="n"/>
      <c r="U60" s="393" t="inlineStr">
        <is>
          <t>COD 25</t>
        </is>
      </c>
      <c r="V60" s="393" t="inlineStr">
        <is>
          <t>GLEY GARCIA</t>
        </is>
      </c>
      <c r="AP60" s="393" t="e">
        <v>#VALUE!</v>
      </c>
      <c r="AQ60" s="393" t="e">
        <v>#VALUE!</v>
      </c>
      <c r="AT60" s="393" t="e">
        <v>#VALUE!</v>
      </c>
      <c r="AU60" s="393" t="e">
        <v>#VALUE!</v>
      </c>
    </row>
    <row r="61" outlineLevel="2" ht="23.1" customFormat="1" customHeight="1" s="393">
      <c r="A61" s="295" t="n"/>
      <c r="B61" s="616" t="n"/>
      <c r="C61" s="613">
        <f>U61</f>
        <v/>
      </c>
      <c r="D61" s="357">
        <f>_xlfn.XLOOKUP(C61,CODIGOS_Y_PAGOS[CODIGO],CODIGOS_Y_PAGOS[NOMBRE PARTICIPANTE],"")</f>
        <v/>
      </c>
      <c r="E61" s="352" t="inlineStr">
        <is>
          <t>MAS PUNTOS EN LA SEMANA</t>
        </is>
      </c>
      <c r="F61" s="352" t="n"/>
      <c r="G61" s="352" t="n"/>
      <c r="H61" s="352" t="n"/>
      <c r="I61" s="352" t="n"/>
      <c r="J61" s="384" t="n"/>
      <c r="K61" s="614">
        <f>_xlfn.XLOOKUP(C61,'SEM 1'!$C$8:$C$57,'SEM 1'!$CS$8:$CS$57,"")</f>
        <v/>
      </c>
      <c r="L61" s="617" t="n"/>
      <c r="M61" s="363" t="n"/>
      <c r="N61" s="363" t="n"/>
      <c r="O61" s="364" t="n"/>
      <c r="P61" s="364" t="n"/>
      <c r="Q61" s="330" t="n"/>
      <c r="R61" s="3" t="n"/>
      <c r="AT61" s="393" t="e">
        <v>#VALUE!</v>
      </c>
      <c r="AU61" s="393" t="e">
        <v>#VALUE!</v>
      </c>
    </row>
    <row r="62" outlineLevel="1" ht="23.1" customFormat="1" customHeight="1" s="393">
      <c r="A62" s="295" t="n"/>
      <c r="B62" s="618" t="n"/>
      <c r="C62" s="619">
        <f>Y59</f>
        <v/>
      </c>
      <c r="D62" s="357">
        <f>_xlfn.XLOOKUP(C62,CODIGOS_Y_PAGOS[CODIGO],CODIGOS_Y_PAGOS[NOMBRE PARTICIPANTE],"")</f>
        <v/>
      </c>
      <c r="E62" s="352" t="inlineStr">
        <is>
          <t>MAS ACIERTOS EN 1RA MARCA</t>
        </is>
      </c>
      <c r="F62" s="352" t="n"/>
      <c r="G62" s="352" t="n"/>
      <c r="H62" s="352" t="n"/>
      <c r="I62" s="352" t="n"/>
      <c r="J62" s="384" t="n"/>
      <c r="K62" s="467">
        <f>_xlfn.XLOOKUP(C62,'SEM 1'!$C$8:$C$57,'SEM 1'!$CH$8:$CH$57,"")</f>
        <v/>
      </c>
      <c r="L62" s="615" t="n"/>
      <c r="M62" s="363" t="n"/>
      <c r="N62" s="363" t="n"/>
      <c r="O62" s="364" t="n"/>
      <c r="P62" s="364" t="n"/>
      <c r="Q62" s="330" t="n"/>
      <c r="R62" s="3" t="n"/>
    </row>
    <row r="63" outlineLevel="2" ht="23.1" customFormat="1" customHeight="1" s="393">
      <c r="A63" s="295" t="n"/>
      <c r="B63" s="618" t="n"/>
      <c r="C63" s="619">
        <f>Y60</f>
        <v/>
      </c>
      <c r="D63" s="357">
        <f>_xlfn.XLOOKUP(C63,CODIGOS_Y_PAGOS[CODIGO],CODIGOS_Y_PAGOS[NOMBRE PARTICIPANTE],"")</f>
        <v/>
      </c>
      <c r="E63" s="352" t="inlineStr">
        <is>
          <t>MAS ACIERTOS EN 1RA MARCA</t>
        </is>
      </c>
      <c r="F63" s="352" t="n"/>
      <c r="G63" s="352" t="n"/>
      <c r="H63" s="352" t="n"/>
      <c r="I63" s="352" t="n"/>
      <c r="J63" s="384" t="n"/>
      <c r="K63" s="467">
        <f>_xlfn.XLOOKUP(C63,'SEM 1'!$C$8:$C$57,'SEM 1'!$CH$8:$CH$57,"")</f>
        <v/>
      </c>
      <c r="L63" s="617" t="n"/>
      <c r="M63" s="363" t="n"/>
      <c r="N63" s="363" t="n"/>
      <c r="O63" s="364" t="n"/>
      <c r="P63" s="364" t="n"/>
      <c r="Q63" s="330" t="n"/>
      <c r="R63" s="3" t="n"/>
    </row>
    <row r="64" outlineLevel="2" ht="23.1" customFormat="1" customHeight="1" s="393">
      <c r="A64" s="295" t="n"/>
      <c r="B64" s="618" t="n"/>
      <c r="C64" s="619">
        <f>Y61</f>
        <v/>
      </c>
      <c r="D64" s="357">
        <f>_xlfn.XLOOKUP(C64,CODIGOS_Y_PAGOS[CODIGO],CODIGOS_Y_PAGOS[NOMBRE PARTICIPANTE],"")</f>
        <v/>
      </c>
      <c r="E64" s="352" t="inlineStr">
        <is>
          <t>MAS ACIERTOS EN 1RA MARCA</t>
        </is>
      </c>
      <c r="F64" s="352" t="n"/>
      <c r="G64" s="352" t="n"/>
      <c r="H64" s="352" t="n"/>
      <c r="I64" s="352" t="n"/>
      <c r="J64" s="384" t="n"/>
      <c r="K64" s="467">
        <f>_xlfn.XLOOKUP(C64,'SEM 1'!$C$8:$C$57,'SEM 1'!$CH$8:$CH$57,"")</f>
        <v/>
      </c>
      <c r="L64" s="617" t="n"/>
      <c r="M64" s="363" t="n"/>
      <c r="N64" s="363" t="n"/>
      <c r="O64" s="364" t="n"/>
      <c r="P64" s="364" t="n"/>
      <c r="Q64" s="330" t="n"/>
      <c r="R64" s="3" t="n"/>
    </row>
    <row r="65" outlineLevel="1" ht="23.1" customFormat="1" customHeight="1" s="393">
      <c r="A65" s="295" t="n"/>
      <c r="B65" s="618" t="n"/>
      <c r="C65" s="619">
        <f>AC59</f>
        <v/>
      </c>
      <c r="D65" s="357">
        <f>_xlfn.XLOOKUP(C65,CODIGOS_Y_PAGOS[CODIGO],CODIGOS_Y_PAGOS[NOMBRE PARTICIPANTE],"")</f>
        <v/>
      </c>
      <c r="E65" s="352" t="inlineStr">
        <is>
          <t>MAS ACIERTOS EN 2 MARCAS</t>
        </is>
      </c>
      <c r="F65" s="352" t="n"/>
      <c r="G65" s="352" t="n"/>
      <c r="H65" s="352" t="n"/>
      <c r="I65" s="352" t="n"/>
      <c r="J65" s="384" t="n"/>
      <c r="K65" s="467">
        <f>_xlfn.XLOOKUP(C65,'SEM 1'!$C$8:$C$57,'SEM 1'!$CK$8:$CK$57,"")</f>
        <v/>
      </c>
      <c r="L65" s="615" t="n"/>
      <c r="M65" s="363" t="n"/>
      <c r="N65" s="363" t="n"/>
      <c r="O65" s="364" t="n"/>
      <c r="P65" s="364" t="n"/>
      <c r="Q65" s="330" t="n"/>
      <c r="R65" s="3" t="n"/>
    </row>
    <row r="66" outlineLevel="2" ht="23.1" customFormat="1" customHeight="1" s="393">
      <c r="A66" s="295" t="n"/>
      <c r="B66" s="618" t="n"/>
      <c r="C66" s="619">
        <f>AC60</f>
        <v/>
      </c>
      <c r="D66" s="357">
        <f>_xlfn.XLOOKUP(C66,CODIGOS_Y_PAGOS[CODIGO],CODIGOS_Y_PAGOS[NOMBRE PARTICIPANTE],"")</f>
        <v/>
      </c>
      <c r="E66" s="352" t="inlineStr">
        <is>
          <t>MAS ACIERTOS EN 2 MARCAS</t>
        </is>
      </c>
      <c r="F66" s="352" t="n"/>
      <c r="G66" s="352" t="n"/>
      <c r="H66" s="352" t="n"/>
      <c r="I66" s="352" t="n"/>
      <c r="J66" s="384" t="n"/>
      <c r="K66" s="467">
        <f>_xlfn.XLOOKUP(C66,'SEM 1'!$C$8:$C$57,'SEM 1'!$CK$8:$CK$57,"")</f>
        <v/>
      </c>
      <c r="L66" s="388" t="n"/>
      <c r="M66" s="363" t="n"/>
      <c r="N66" s="363" t="n"/>
      <c r="O66" s="364" t="n"/>
      <c r="P66" s="364" t="n"/>
      <c r="Q66" s="330" t="n"/>
      <c r="R66" s="3" t="n"/>
    </row>
    <row r="67" outlineLevel="2" ht="23.1" customFormat="1" customHeight="1" s="393">
      <c r="A67" s="295" t="n"/>
      <c r="B67" s="618" t="n"/>
      <c r="C67" s="619">
        <f>AC61</f>
        <v/>
      </c>
      <c r="D67" s="357">
        <f>_xlfn.XLOOKUP(C67,CODIGOS_Y_PAGOS[CODIGO],CODIGOS_Y_PAGOS[NOMBRE PARTICIPANTE],"")</f>
        <v/>
      </c>
      <c r="E67" s="352" t="inlineStr">
        <is>
          <t>MAS ACIERTOS EN 2 MARCAS</t>
        </is>
      </c>
      <c r="F67" s="352" t="n"/>
      <c r="G67" s="352" t="n"/>
      <c r="H67" s="352" t="n"/>
      <c r="I67" s="352" t="n"/>
      <c r="J67" s="384" t="n"/>
      <c r="K67" s="467">
        <f>_xlfn.XLOOKUP(C67,'SEM 1'!$C$8:$C$57,'SEM 1'!$CK$8:$CK$57,"")</f>
        <v/>
      </c>
      <c r="L67" s="388" t="n"/>
      <c r="M67" s="363" t="n"/>
      <c r="N67" s="363" t="n"/>
      <c r="O67" s="364" t="n"/>
      <c r="P67" s="364" t="n"/>
      <c r="Q67" s="330" t="n"/>
      <c r="R67" s="3" t="n"/>
    </row>
    <row r="68" outlineLevel="1" ht="23.1" customFormat="1" customHeight="1" s="393">
      <c r="A68" s="295" t="n"/>
      <c r="B68" s="618" t="n"/>
      <c r="C68" s="619">
        <f>AG59</f>
        <v/>
      </c>
      <c r="D68" s="357">
        <f>_xlfn.XLOOKUP(C68,CODIGOS_Y_PAGOS[CODIGO],CODIGOS_Y_PAGOS[NOMBRE PARTICIPANTE],"")</f>
        <v/>
      </c>
      <c r="E68" s="352" t="inlineStr">
        <is>
          <t>MAS ACIERTOS EN 3 MARCAS</t>
        </is>
      </c>
      <c r="F68" s="353" t="n"/>
      <c r="G68" s="353" t="n"/>
      <c r="H68" s="353" t="n"/>
      <c r="I68" s="353" t="n"/>
      <c r="J68" s="385" t="n"/>
      <c r="K68" s="467">
        <f>_xlfn.XLOOKUP(C68,'SEM 1'!$C$8:$C$57,'SEM 1'!$CN$8:$CN$57,"")</f>
        <v/>
      </c>
      <c r="L68" s="615" t="n"/>
      <c r="M68" s="365" t="n"/>
      <c r="N68" s="365" t="n"/>
      <c r="O68" s="366" t="n"/>
      <c r="P68" s="366" t="n"/>
      <c r="Q68" s="367" t="n"/>
      <c r="R68" s="3" t="n"/>
    </row>
    <row r="69" outlineLevel="2" ht="23.1" customFormat="1" customHeight="1" s="393">
      <c r="A69" s="295" t="n"/>
      <c r="B69" s="618" t="n"/>
      <c r="C69" s="619">
        <f>AG60</f>
        <v/>
      </c>
      <c r="D69" s="357">
        <f>_xlfn.XLOOKUP(C69,CODIGOS_Y_PAGOS[CODIGO],CODIGOS_Y_PAGOS[NOMBRE PARTICIPANTE],"")</f>
        <v/>
      </c>
      <c r="E69" s="352" t="inlineStr">
        <is>
          <t>MAS ACIERTOS EN 3 MARCAS</t>
        </is>
      </c>
      <c r="F69" s="353" t="n"/>
      <c r="G69" s="353" t="n"/>
      <c r="H69" s="353" t="n"/>
      <c r="I69" s="353" t="n"/>
      <c r="J69" s="385" t="n"/>
      <c r="K69" s="467">
        <f>_xlfn.XLOOKUP(C69,'SEM 1'!$C$8:$C$57,'SEM 1'!$CN$8:$CN$57,"")</f>
        <v/>
      </c>
      <c r="L69" s="403" t="n"/>
      <c r="M69" s="363" t="n"/>
      <c r="N69" s="363" t="n"/>
      <c r="O69" s="364" t="n"/>
      <c r="P69" s="364" t="n"/>
      <c r="Q69" s="330" t="n"/>
      <c r="R69" s="3" t="n"/>
    </row>
    <row r="70" outlineLevel="2" ht="23.1" customFormat="1" customHeight="1" s="393">
      <c r="A70" s="295" t="n"/>
      <c r="B70" s="618" t="n"/>
      <c r="C70" s="619">
        <f>AG61</f>
        <v/>
      </c>
      <c r="D70" s="357">
        <f>_xlfn.XLOOKUP(C70,CODIGOS_Y_PAGOS[CODIGO],CODIGOS_Y_PAGOS[NOMBRE PARTICIPANTE],"")</f>
        <v/>
      </c>
      <c r="E70" s="352" t="inlineStr">
        <is>
          <t>MAS ACIERTOS EN 3 MARCAS</t>
        </is>
      </c>
      <c r="F70" s="353" t="n"/>
      <c r="G70" s="353" t="n"/>
      <c r="H70" s="353" t="n"/>
      <c r="I70" s="353" t="n"/>
      <c r="J70" s="385" t="n"/>
      <c r="K70" s="482">
        <f>_xlfn.XLOOKUP(C70,'SEM 1'!$C$8:$C$57,'SEM 1'!$CN$8:$CN$57,"")</f>
        <v/>
      </c>
      <c r="L70" s="388" t="n"/>
      <c r="M70" s="363" t="n"/>
      <c r="N70" s="363" t="n"/>
      <c r="O70" s="364" t="n"/>
      <c r="P70" s="364" t="n"/>
      <c r="Q70" s="330" t="n"/>
      <c r="R70" s="3" t="n"/>
    </row>
    <row r="71" outlineLevel="1" ht="23.1" customFormat="1" customHeight="1" s="393">
      <c r="A71" s="295" t="n"/>
      <c r="B71" s="618" t="n"/>
      <c r="C71" s="619">
        <f>AL59</f>
        <v/>
      </c>
      <c r="D71" s="357">
        <f>_xlfn.XLOOKUP(C71,CODIGOS_Y_PAGOS[CODIGO],CODIGOS_Y_PAGOS[NOMBRE PARTICIPANTE],"")</f>
        <v/>
      </c>
      <c r="E71" s="573" t="inlineStr">
        <is>
          <t>MAYOR DIVIDENDO DEL DIA</t>
        </is>
      </c>
      <c r="F71" s="553" t="n"/>
      <c r="G71" s="553" t="n"/>
      <c r="H71" s="553" t="n"/>
      <c r="I71" s="553" t="n"/>
      <c r="J71" s="574" t="n"/>
      <c r="K71" s="464">
        <f>IF(D71="","",'SEM 1'!$CZ$24)</f>
        <v/>
      </c>
      <c r="L71" s="615" t="n"/>
      <c r="M71" s="620">
        <f>IF(D71="","",'SEM 1'!$CZ$25)</f>
        <v/>
      </c>
      <c r="N71" s="368">
        <f>IF(M71="","",'SEM 1'!$DA$25)</f>
        <v/>
      </c>
      <c r="O71" s="465">
        <f t="array" ref="O71">_xlfn._xlws.FILTER('[1]ALFABETICO SEM'!$M$1:$M$196, ('[1]ALFABETICO SEM'!$L$1:$L$196 = $N$71) * ('[1]ALFABETICO SEM'!$N$1:$N$196 = N71), " - ")</f>
        <v/>
      </c>
      <c r="P71" s="390" t="n"/>
      <c r="Q71" s="391" t="n"/>
      <c r="R71" s="3" t="n"/>
      <c r="T71" s="465" t="inlineStr">
        <is>
          <t>LINO EL ADIVINO</t>
        </is>
      </c>
      <c r="U71" s="390" t="n"/>
      <c r="V71" s="391" t="n"/>
      <c r="W71" s="391" t="n"/>
    </row>
    <row r="72" outlineLevel="2" ht="23.1" customFormat="1" customHeight="1" s="393">
      <c r="A72" s="295" t="n"/>
      <c r="B72" s="618" t="n"/>
      <c r="C72" s="619">
        <f>AL60</f>
        <v/>
      </c>
      <c r="D72" s="357">
        <f>_xlfn.XLOOKUP(C72,CODIGOS_Y_PAGOS[CODIGO],CODIGOS_Y_PAGOS[NOMBRE PARTICIPANTE],"")</f>
        <v/>
      </c>
      <c r="E72" s="573" t="inlineStr">
        <is>
          <t>MAYOR DIVIDENDO DEL DIA</t>
        </is>
      </c>
      <c r="F72" s="553" t="n"/>
      <c r="G72" s="553" t="n"/>
      <c r="H72" s="553" t="n"/>
      <c r="I72" s="553" t="n"/>
      <c r="J72" s="574" t="n"/>
      <c r="K72" s="464">
        <f>IF(D72="","",'SEM 1'!$CZ$24)</f>
        <v/>
      </c>
      <c r="L72" s="615" t="n"/>
      <c r="M72" s="620">
        <f>IF(D72="","",'SEM 1'!$CZ$25)</f>
        <v/>
      </c>
      <c r="N72" s="368">
        <f>IF(M72="","",'SEM 1'!$DA$25)</f>
        <v/>
      </c>
      <c r="O72" s="465">
        <f t="array" ref="O72">_xlfn._xlws.FILTER('[1]ALFABETICO SEM'!$M$1:$M$196, ('[1]ALFABETICO SEM'!$L$1:$L$196 = $N$71) * ('[1]ALFABETICO SEM'!$N$1:$N$196 = N72), " - ")</f>
        <v/>
      </c>
      <c r="P72" s="390" t="n"/>
      <c r="Q72" s="391" t="n"/>
      <c r="R72" s="3" t="n"/>
      <c r="T72" s="465" t="n"/>
      <c r="U72" s="390" t="n"/>
      <c r="V72" s="391" t="n"/>
      <c r="W72" s="391" t="n"/>
    </row>
    <row r="73" outlineLevel="2" ht="23.1" customFormat="1" customHeight="1" s="393">
      <c r="A73" s="295" t="n"/>
      <c r="B73" s="618" t="n"/>
      <c r="C73" s="619">
        <f>AL61</f>
        <v/>
      </c>
      <c r="D73" s="357">
        <f>_xlfn.XLOOKUP(C73,CODIGOS_Y_PAGOS[CODIGO],CODIGOS_Y_PAGOS[NOMBRE PARTICIPANTE],"")</f>
        <v/>
      </c>
      <c r="E73" s="573" t="inlineStr">
        <is>
          <t>MAYOR DIVIDENDO DEL DIA</t>
        </is>
      </c>
      <c r="F73" s="553" t="n"/>
      <c r="G73" s="553" t="n"/>
      <c r="H73" s="553" t="n"/>
      <c r="I73" s="553" t="n"/>
      <c r="J73" s="574" t="n"/>
      <c r="K73" s="464">
        <f>IF(D73="","",'SEM 1'!$CZ$24)</f>
        <v/>
      </c>
      <c r="L73" s="615" t="n"/>
      <c r="M73" s="620">
        <f>IF(D73="","",'SEM 1'!$CZ$25)</f>
        <v/>
      </c>
      <c r="N73" s="368">
        <f>IF(M73="","",'SEM 1'!$DA$25)</f>
        <v/>
      </c>
      <c r="O73" s="465">
        <f t="array" ref="O73">_xlfn._xlws.FILTER('[1]ALFABETICO SEM'!$M$1:$M$196, ('[1]ALFABETICO SEM'!$L$1:$L$196 = $N$71) * ('[1]ALFABETICO SEM'!$N$1:$N$196 = N73), " - ")</f>
        <v/>
      </c>
      <c r="P73" s="390" t="n"/>
      <c r="Q73" s="391" t="n"/>
      <c r="R73" s="3" t="n"/>
      <c r="T73" s="465" t="n"/>
      <c r="U73" s="390" t="n"/>
      <c r="V73" s="391" t="n"/>
      <c r="W73" s="391" t="n"/>
    </row>
    <row r="74" outlineLevel="2" ht="23.1" customFormat="1" customHeight="1" s="393">
      <c r="A74" s="295" t="n"/>
      <c r="B74" s="618" t="n"/>
      <c r="C74" s="619" t="n"/>
      <c r="D74" s="357">
        <f>_xlfn.XLOOKUP(C74,CODIGOS_Y_PAGOS[CODIGO],CODIGOS_Y_PAGOS[NOMBRE PARTICIPANTE],"")</f>
        <v/>
      </c>
      <c r="E74" s="573" t="inlineStr">
        <is>
          <t>MARCA MAYOR DIVIDENDO</t>
        </is>
      </c>
      <c r="F74" s="553" t="n"/>
      <c r="G74" s="553" t="n"/>
      <c r="H74" s="553" t="n"/>
      <c r="I74" s="553" t="n"/>
      <c r="J74" s="574" t="n"/>
      <c r="K74" s="614" t="n"/>
      <c r="L74" s="615" t="n"/>
      <c r="M74" s="620" t="n"/>
      <c r="N74" s="368" t="n"/>
      <c r="O74" s="465">
        <f t="array" ref="O74">_xlfn._xlws.FILTER('[1]ALFABETICO SEM'!$M$1:$M$196, ('[1]ALFABETICO SEM'!$L$1:$L$196 = $N$71) * ('[1]ALFABETICO SEM'!$N$1:$N$196 = N74), " - ")</f>
        <v/>
      </c>
      <c r="P74" s="369" t="n"/>
      <c r="Q74" s="371" t="n"/>
      <c r="R74" s="3" t="n"/>
      <c r="T74" s="465" t="n"/>
      <c r="U74" s="369" t="n"/>
      <c r="V74" s="371" t="n"/>
      <c r="W74" s="371" t="n"/>
    </row>
    <row r="75" outlineLevel="2" ht="23.1" customFormat="1" customHeight="1" s="393">
      <c r="A75" s="295" t="n"/>
      <c r="B75" s="618" t="n"/>
      <c r="C75" s="619" t="n"/>
      <c r="D75" s="357">
        <f>_xlfn.XLOOKUP(C75,CODIGOS_Y_PAGOS[CODIGO],CODIGOS_Y_PAGOS[NOMBRE PARTICIPANTE],"")</f>
        <v/>
      </c>
      <c r="E75" s="573" t="inlineStr">
        <is>
          <t>MARCA MAYOR DIVIDENDO</t>
        </is>
      </c>
      <c r="F75" s="553" t="n"/>
      <c r="G75" s="553" t="n"/>
      <c r="H75" s="553" t="n"/>
      <c r="I75" s="553" t="n"/>
      <c r="J75" s="574" t="n"/>
      <c r="K75" s="614" t="n"/>
      <c r="L75" s="615" t="n"/>
      <c r="M75" s="620" t="n"/>
      <c r="N75" s="368" t="n"/>
      <c r="O75" s="465">
        <f t="array" ref="O75">_xlfn._xlws.FILTER('[1]ALFABETICO SEM'!$M$1:$M$196, ('[1]ALFABETICO SEM'!$L$1:$L$196 = $N$71) * ('[1]ALFABETICO SEM'!$N$1:$N$196 = N75), " - ")</f>
        <v/>
      </c>
      <c r="P75" s="390" t="n"/>
      <c r="Q75" s="391" t="n"/>
      <c r="R75" s="3" t="n"/>
      <c r="T75" s="465" t="n"/>
      <c r="U75" s="390" t="n"/>
      <c r="V75" s="391" t="n"/>
      <c r="W75" s="391" t="n"/>
    </row>
    <row r="76" outlineLevel="2" ht="23.1" customFormat="1" customHeight="1" s="393">
      <c r="A76" s="295" t="n"/>
      <c r="B76" s="618" t="n"/>
      <c r="C76" s="619" t="n"/>
      <c r="D76" s="357">
        <f>_xlfn.XLOOKUP(C76,CODIGOS_Y_PAGOS[CODIGO],CODIGOS_Y_PAGOS[NOMBRE PARTICIPANTE],"")</f>
        <v/>
      </c>
      <c r="E76" s="573" t="inlineStr">
        <is>
          <t>MARCA MAYOR DIVIDENDO</t>
        </is>
      </c>
      <c r="F76" s="553" t="n"/>
      <c r="G76" s="553" t="n"/>
      <c r="H76" s="553" t="n"/>
      <c r="I76" s="553" t="n"/>
      <c r="J76" s="574" t="n"/>
      <c r="K76" s="614" t="n"/>
      <c r="L76" s="615" t="n"/>
      <c r="M76" s="620" t="n"/>
      <c r="N76" s="368" t="n"/>
      <c r="O76" s="465">
        <f t="array" ref="O76">_xlfn._xlws.FILTER('[1]ALFABETICO SEM'!$M$1:$M$196, ('[1]ALFABETICO SEM'!$L$1:$L$196 = $N$71) * ('[1]ALFABETICO SEM'!$N$1:$N$196 = N76), " - ")</f>
        <v/>
      </c>
      <c r="P76" s="369" t="n"/>
      <c r="Q76" s="371" t="n"/>
      <c r="R76" s="3" t="n"/>
      <c r="T76" s="465" t="n"/>
      <c r="U76" s="369" t="n"/>
      <c r="V76" s="371" t="n"/>
      <c r="W76" s="371" t="n"/>
    </row>
    <row r="77" outlineLevel="1" ht="23.1" customFormat="1" customHeight="1" s="393">
      <c r="A77" s="295" t="n"/>
      <c r="B77" s="618" t="n"/>
      <c r="C77" s="619">
        <f>AP59</f>
        <v/>
      </c>
      <c r="D77" s="357">
        <f>_xlfn.XLOOKUP(C77,CODIGOS_Y_PAGOS[CODIGO],CODIGOS_Y_PAGOS[NOMBRE PARTICIPANTE],"")</f>
        <v/>
      </c>
      <c r="E77" s="573" t="inlineStr">
        <is>
          <t>SUPERFIJA MAYOR DIVIDENDO</t>
        </is>
      </c>
      <c r="F77" s="553" t="n"/>
      <c r="G77" s="553" t="n"/>
      <c r="H77" s="553" t="n"/>
      <c r="I77" s="553" t="n"/>
      <c r="J77" s="574" t="n"/>
      <c r="K77" s="464">
        <f>IF(D77="","",'SEM 1'!EH59)</f>
        <v/>
      </c>
      <c r="L77" s="615" t="n"/>
      <c r="M77" s="620">
        <f>IF(AQ59="","",AQ59)</f>
        <v/>
      </c>
      <c r="N77" s="368">
        <f>IF(M77="","",'SEM 1'!$EG$59)</f>
        <v/>
      </c>
      <c r="O77" s="465">
        <f t="array" ref="O77">_xlfn._xlws.FILTER('[1]ALFABETICO SEM'!$M$1:$M$196, ('[1]ALFABETICO SEM'!$L$1:$L$196 = $N$77) * ('[1]ALFABETICO SEM'!$N$1:$N$196 = N77), " - ")</f>
        <v/>
      </c>
      <c r="P77" s="390" t="n"/>
      <c r="Q77" s="391" t="n"/>
      <c r="R77" s="3" t="n"/>
      <c r="T77" s="465" t="inlineStr">
        <is>
          <t>SOLANA</t>
        </is>
      </c>
      <c r="U77" s="390" t="n"/>
      <c r="V77" s="391" t="n"/>
      <c r="W77" s="391" t="n"/>
    </row>
    <row r="78" outlineLevel="1" ht="23.1" customFormat="1" customHeight="1" s="393">
      <c r="A78" s="295" t="n"/>
      <c r="B78" s="618" t="n"/>
      <c r="C78" s="619">
        <f>AP60</f>
        <v/>
      </c>
      <c r="D78" s="357">
        <f>_xlfn.XLOOKUP(C78,CODIGOS_Y_PAGOS[CODIGO],CODIGOS_Y_PAGOS[NOMBRE PARTICIPANTE],"")</f>
        <v/>
      </c>
      <c r="E78" s="573" t="inlineStr">
        <is>
          <t>SUPERFIJA MAYOR DIVIDENDO</t>
        </is>
      </c>
      <c r="F78" s="553" t="n"/>
      <c r="G78" s="553" t="n"/>
      <c r="H78" s="553" t="n"/>
      <c r="I78" s="553" t="n"/>
      <c r="J78" s="574" t="n"/>
      <c r="K78" s="464">
        <f>IF(D78="","",'SEM 1'!EH60)</f>
        <v/>
      </c>
      <c r="L78" s="615" t="n"/>
      <c r="M78" s="620">
        <f>IF(AQ60="","",AQ60)</f>
        <v/>
      </c>
      <c r="N78" s="368">
        <f>IF(M78="","",'SEM 1'!$EG$59)</f>
        <v/>
      </c>
      <c r="O78" s="465">
        <f t="array" ref="O78">_xlfn._xlws.FILTER('[1]ALFABETICO SEM'!$M$1:$M$196, ('[1]ALFABETICO SEM'!$L$1:$L$196 = $N$77) * ('[1]ALFABETICO SEM'!$N$1:$N$196 = N78), " - ")</f>
        <v/>
      </c>
      <c r="P78" s="369" t="n"/>
      <c r="Q78" s="371" t="n"/>
      <c r="R78" s="3" t="n"/>
      <c r="T78" s="465" t="inlineStr">
        <is>
          <t>SOLANA</t>
        </is>
      </c>
      <c r="U78" s="369" t="n"/>
      <c r="V78" s="371" t="n"/>
      <c r="W78" s="371" t="n"/>
    </row>
    <row r="79" outlineLevel="2" ht="23.1" customFormat="1" customHeight="1" s="393">
      <c r="A79" s="295" t="n"/>
      <c r="B79" s="618" t="n"/>
      <c r="C79" s="619">
        <f>AP61</f>
        <v/>
      </c>
      <c r="D79" s="357">
        <f>_xlfn.XLOOKUP(C79,CODIGOS_Y_PAGOS[CODIGO],CODIGOS_Y_PAGOS[NOMBRE PARTICIPANTE],"")</f>
        <v/>
      </c>
      <c r="E79" s="573" t="inlineStr">
        <is>
          <t>SUPERFIJA MAYOR DIVIDENDO</t>
        </is>
      </c>
      <c r="F79" s="553" t="n"/>
      <c r="G79" s="553" t="n"/>
      <c r="H79" s="553" t="n"/>
      <c r="I79" s="553" t="n"/>
      <c r="J79" s="574" t="n"/>
      <c r="K79" s="464">
        <f>IF(D79="","",'SEM 1'!EH61)</f>
        <v/>
      </c>
      <c r="L79" s="615" t="n"/>
      <c r="M79" s="620">
        <f>IF(AQ61="","",AQ61)</f>
        <v/>
      </c>
      <c r="N79" s="368">
        <f>IF(M79="","",'SEM 1'!$EG$59)</f>
        <v/>
      </c>
      <c r="O79" s="465">
        <f t="array" ref="O79">_xlfn._xlws.FILTER('[1]ALFABETICO SEM'!$M$1:$M$196, ('[1]ALFABETICO SEM'!$L$1:$L$196 = $N$77) * ('[1]ALFABETICO SEM'!$N$1:$N$196 = N79), " - ")</f>
        <v/>
      </c>
      <c r="P79" s="390" t="n"/>
      <c r="Q79" s="391" t="n"/>
      <c r="R79" s="3" t="n"/>
      <c r="T79" s="465" t="n"/>
      <c r="U79" s="390" t="n"/>
      <c r="V79" s="391" t="n"/>
      <c r="W79" s="391" t="n"/>
    </row>
    <row r="80" outlineLevel="1" ht="23.1" customFormat="1" customHeight="1" s="393">
      <c r="A80" s="295" t="n"/>
      <c r="B80" s="618" t="n"/>
      <c r="C80" s="619" t="n">
        <v>26</v>
      </c>
      <c r="D80" s="357">
        <f>_xlfn.XLOOKUP(C80,CODIGOS_Y_PAGOS[CODIGO],CODIGOS_Y_PAGOS[NOMBRE PARTICIPANTE],"")</f>
        <v/>
      </c>
      <c r="E80" s="573" t="inlineStr">
        <is>
          <t>FIJA MAYOR DIVIDENDO</t>
        </is>
      </c>
      <c r="F80" s="553" t="n"/>
      <c r="G80" s="553" t="n"/>
      <c r="H80" s="553" t="n"/>
      <c r="I80" s="553" t="n"/>
      <c r="J80" s="574" t="n"/>
      <c r="K80" s="464">
        <f>IF(D80="","",'SEM 1'!DP59)</f>
        <v/>
      </c>
      <c r="L80" s="615" t="n"/>
      <c r="M80" s="620">
        <f>IF(AU59="","",AU59)</f>
        <v/>
      </c>
      <c r="N80" s="368">
        <f>IF(M80="","",'SEM 1'!$DO$59)</f>
        <v/>
      </c>
      <c r="O80" s="465">
        <f t="array" ref="O80">_xlfn._xlws.FILTER('[1]ALFABETICO SEM'!$M$1:$M$196, ('[1]ALFABETICO SEM'!$L$1:$L$196 = $N$80) * ('[1]ALFABETICO SEM'!$N$1:$N$196 = N80), " - ")</f>
        <v/>
      </c>
      <c r="P80" s="369" t="n"/>
      <c r="Q80" s="371" t="n"/>
      <c r="R80" s="3" t="n"/>
      <c r="T80" s="465" t="inlineStr">
        <is>
          <t>ASTUTO</t>
        </is>
      </c>
      <c r="U80" s="369" t="n"/>
      <c r="V80" s="371" t="n"/>
      <c r="W80" s="371" t="n"/>
    </row>
    <row r="81" outlineLevel="2" ht="23.1" customHeight="1" s="568">
      <c r="A81" s="3" t="n"/>
      <c r="B81" s="618" t="n"/>
      <c r="C81" s="619" t="n">
        <v>38</v>
      </c>
      <c r="D81" s="357">
        <f>_xlfn.XLOOKUP(C81,CODIGOS_Y_PAGOS[CODIGO],CODIGOS_Y_PAGOS[NOMBRE PARTICIPANTE],"")</f>
        <v/>
      </c>
      <c r="E81" s="573" t="inlineStr">
        <is>
          <t>FIJA MAYOR DIVIDENDO</t>
        </is>
      </c>
      <c r="F81" s="553" t="n"/>
      <c r="G81" s="553" t="n"/>
      <c r="H81" s="553" t="n"/>
      <c r="I81" s="553" t="n"/>
      <c r="J81" s="574" t="n"/>
      <c r="K81" s="464">
        <f>IF(D81="","",'SEM 1'!DP60)</f>
        <v/>
      </c>
      <c r="L81" s="615" t="n"/>
      <c r="M81" s="620">
        <f>IF(AU60="","",AU60)</f>
        <v/>
      </c>
      <c r="N81" s="368">
        <f>IF(M81="","",'SEM 1'!$DO$59)</f>
        <v/>
      </c>
      <c r="O81" s="465">
        <f t="array" ref="O81">_xlfn._xlws.FILTER('[1]ALFABETICO SEM'!$M$1:$M$196, ('[1]ALFABETICO SEM'!$L$1:$L$196 = $N$80) * ('[1]ALFABETICO SEM'!$N$1:$N$196 = N81), " - ")</f>
        <v/>
      </c>
      <c r="P81" s="390" t="n"/>
      <c r="Q81" s="391" t="n"/>
      <c r="T81" s="465" t="inlineStr">
        <is>
          <t>ASTUTO</t>
        </is>
      </c>
      <c r="U81" s="390" t="n"/>
      <c r="V81" s="391" t="n"/>
      <c r="W81" s="391" t="n"/>
    </row>
    <row r="82" outlineLevel="1" ht="23.1" customHeight="1" s="568">
      <c r="A82" s="1" t="n"/>
      <c r="B82" s="618" t="n"/>
      <c r="C82" s="619" t="n">
        <v>39</v>
      </c>
      <c r="D82" s="357">
        <f>_xlfn.XLOOKUP(C82,CODIGOS_Y_PAGOS[CODIGO],CODIGOS_Y_PAGOS[NOMBRE PARTICIPANTE],"")</f>
        <v/>
      </c>
      <c r="E82" s="573" t="inlineStr">
        <is>
          <t>FIJA MAYOR DIVIDENDO</t>
        </is>
      </c>
      <c r="F82" s="553" t="n"/>
      <c r="G82" s="553" t="n"/>
      <c r="H82" s="553" t="n"/>
      <c r="I82" s="553" t="n"/>
      <c r="J82" s="574" t="n"/>
      <c r="K82" s="464">
        <f>IF(D82="","",'SEM 1'!DP61)</f>
        <v/>
      </c>
      <c r="L82" s="615" t="n"/>
      <c r="M82" s="620">
        <f>IF(AU61="","",AU61)</f>
        <v/>
      </c>
      <c r="N82" s="368">
        <f>IF(M82="","",'SEM 1'!$DO$59)</f>
        <v/>
      </c>
      <c r="O82" s="465">
        <f t="array" ref="O82">_xlfn._xlws.FILTER('[1]ALFABETICO SEM'!$M$1:$M$196, ('[1]ALFABETICO SEM'!$L$1:$L$196 = $N$80) * ('[1]ALFABETICO SEM'!$N$1:$N$196 = N82), " - ")</f>
        <v/>
      </c>
      <c r="P82" s="372" t="n"/>
      <c r="Q82" s="373" t="n"/>
      <c r="R82" s="3" t="n"/>
      <c r="T82" s="465" t="inlineStr">
        <is>
          <t>ASTUTO</t>
        </is>
      </c>
      <c r="U82" s="372" t="n"/>
      <c r="V82" s="373" t="n"/>
      <c r="W82" s="373" t="n"/>
    </row>
    <row r="83" ht="23.1" customFormat="1" customHeight="1" s="393" thickBot="1">
      <c r="A83" s="295" t="n"/>
      <c r="B83" s="331" t="n"/>
      <c r="C83" s="331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R83" s="316" t="n"/>
    </row>
    <row r="84" ht="24" customFormat="1" customHeight="1" s="504" thickBot="1">
      <c r="A84" s="501" t="n"/>
      <c r="B84" s="332" t="n"/>
      <c r="C84" s="502" t="n"/>
      <c r="D84" s="358">
        <f>L56</f>
        <v/>
      </c>
      <c r="E84" s="333" t="n"/>
      <c r="F84" s="333" t="n"/>
      <c r="G84" s="505">
        <f>+Q56</f>
        <v/>
      </c>
      <c r="H84" s="503" t="n"/>
      <c r="I84" s="376" t="n"/>
      <c r="J84" s="377" t="n"/>
      <c r="K84" s="377" t="n"/>
      <c r="L84" s="377" t="n"/>
      <c r="M84" s="377" t="n"/>
      <c r="N84" s="378">
        <f>D84</f>
        <v/>
      </c>
      <c r="O84" s="378" t="n"/>
      <c r="P84" s="377" t="n"/>
      <c r="Q84" s="379">
        <f>+G84</f>
        <v/>
      </c>
      <c r="R84" s="503" t="n"/>
    </row>
    <row r="85" ht="22.5" customFormat="1" customHeight="1" s="514">
      <c r="A85" s="506" t="n"/>
      <c r="B85" s="507" t="n"/>
      <c r="C85" s="508" t="n"/>
      <c r="D85" s="508" t="n"/>
      <c r="E85" s="508" t="n"/>
      <c r="F85" s="508" t="n"/>
      <c r="G85" s="509" t="inlineStr">
        <is>
          <t>RANKING GANADORES ACERTADOS</t>
        </is>
      </c>
      <c r="H85" s="510" t="n"/>
      <c r="I85" s="511" t="n"/>
      <c r="J85" s="512" t="n"/>
      <c r="K85" s="512" t="n"/>
      <c r="L85" s="512" t="n"/>
      <c r="M85" s="512" t="n"/>
      <c r="N85" s="512" t="n"/>
      <c r="O85" s="512" t="n"/>
      <c r="P85" s="512" t="n"/>
      <c r="Q85" s="513" t="inlineStr">
        <is>
          <t>RANKING FIJAS ACERTADAS</t>
        </is>
      </c>
      <c r="R85" s="510" t="n"/>
    </row>
    <row r="86" ht="22.5" customFormat="1" customHeight="1" s="393">
      <c r="A86" s="295" t="n"/>
      <c r="B86" s="334" t="n">
        <v>0</v>
      </c>
      <c r="C86" s="287" t="inlineStr">
        <is>
          <t>CODIGO</t>
        </is>
      </c>
      <c r="D86" s="288" t="inlineStr">
        <is>
          <t>NOMBRE PARTICIPANTE</t>
        </is>
      </c>
      <c r="E86" s="335" t="inlineStr">
        <is>
          <t>CARRERAS</t>
        </is>
      </c>
      <c r="F86" s="335" t="inlineStr">
        <is>
          <t>ACIERTOS</t>
        </is>
      </c>
      <c r="G86" s="335" t="inlineStr">
        <is>
          <t>RENDIMIEN   TO</t>
        </is>
      </c>
      <c r="H86" s="295" t="n"/>
      <c r="I86" s="382" t="n">
        <v>0</v>
      </c>
      <c r="J86" s="336" t="inlineStr">
        <is>
          <t>CODIGO</t>
        </is>
      </c>
      <c r="K86" s="337" t="inlineStr">
        <is>
          <t>NOMBRE PARTICIPANTE</t>
        </is>
      </c>
      <c r="L86" s="338" t="n"/>
      <c r="M86" s="338" t="n"/>
      <c r="N86" s="339" t="n"/>
      <c r="O86" s="340" t="inlineStr">
        <is>
          <t>CARRERAS</t>
        </is>
      </c>
      <c r="P86" s="335" t="inlineStr">
        <is>
          <t>ACIERTOS</t>
        </is>
      </c>
      <c r="Q86" s="335" t="inlineStr">
        <is>
          <t>RENDIMIENTO</t>
        </is>
      </c>
      <c r="R86" s="316" t="n"/>
    </row>
    <row r="87" ht="23.1" customFormat="1" customHeight="1" s="393">
      <c r="A87" s="295" t="n"/>
      <c r="B87" s="307">
        <f>+B86+1</f>
        <v/>
      </c>
      <c r="C87" s="621">
        <f t="array" ref="C87:C136">_xlfn.SORTBY(BASE01[COD],BASE01[Columna35],-1)</f>
        <v/>
      </c>
      <c r="D87" s="357">
        <f>_xlfn.XLOOKUP(C87,CODIGOS_Y_PAGOS[CODIGO],CODIGOS_Y_PAGOS[NOMBRE PARTICIPANTE],"")</f>
        <v/>
      </c>
      <c r="E87" s="341">
        <f>VLOOKUP(C$87:C$196,C$5:P$53,9,FALSE)</f>
        <v/>
      </c>
      <c r="F87" s="341">
        <f>VLOOKUP(C$87:C$96,C$5:P$53,10,FALSE)</f>
        <v/>
      </c>
      <c r="G87" s="342">
        <f>+F87/E87</f>
        <v/>
      </c>
      <c r="H87" s="316" t="n"/>
      <c r="I87" s="307">
        <f>+I86+1</f>
        <v/>
      </c>
      <c r="J87" s="621">
        <f t="array" ref="J87:J136">_xlfn.SORTBY(BASE01[COD],BASE01[Columna38],-1)</f>
        <v/>
      </c>
      <c r="K87" s="357">
        <f>_xlfn.XLOOKUP(J87,CODIGOS_Y_PAGOS[CODIGO],CODIGOS_Y_PAGOS[NOMBRE PARTICIPANTE],"")</f>
        <v/>
      </c>
      <c r="L87" s="343" t="n"/>
      <c r="M87" s="343" t="n"/>
      <c r="N87" s="344" t="n"/>
      <c r="O87" s="345">
        <f>VLOOKUP(J$87:J$96,C$5:P$53,12,FALSE)</f>
        <v/>
      </c>
      <c r="P87" s="345">
        <f>VLOOKUP(J$87:J$96,C$5:P$53,13,FALSE)</f>
        <v/>
      </c>
      <c r="Q87" s="383">
        <f>+P87/O87</f>
        <v/>
      </c>
      <c r="R87" s="316" t="n"/>
    </row>
    <row r="88" ht="23.1" customFormat="1" customHeight="1" s="393">
      <c r="A88" s="295" t="n"/>
      <c r="B88" s="307">
        <f>+B87+1</f>
        <v/>
      </c>
      <c r="C88" s="621" t="inlineStr">
        <is>
          <t>COD 01</t>
        </is>
      </c>
      <c r="D88" s="357">
        <f>_xlfn.XLOOKUP(C88,CODIGOS_Y_PAGOS[CODIGO],CODIGOS_Y_PAGOS[NOMBRE PARTICIPANTE],"")</f>
        <v/>
      </c>
      <c r="E88" s="341">
        <f>VLOOKUP(C$87:C$196,C$5:P$53,9,FALSE)</f>
        <v/>
      </c>
      <c r="F88" s="341">
        <f>VLOOKUP(C$87:C$96,C$5:P$53,10,FALSE)</f>
        <v/>
      </c>
      <c r="G88" s="342">
        <f>+F88/E88</f>
        <v/>
      </c>
      <c r="H88" s="316" t="n"/>
      <c r="I88" s="307">
        <f>+I87+1</f>
        <v/>
      </c>
      <c r="J88" s="621" t="inlineStr">
        <is>
          <t>COD 23</t>
        </is>
      </c>
      <c r="K88" s="357">
        <f>_xlfn.XLOOKUP(J88,CODIGOS_Y_PAGOS[CODIGO],CODIGOS_Y_PAGOS[NOMBRE PARTICIPANTE],"")</f>
        <v/>
      </c>
      <c r="L88" s="346" t="n"/>
      <c r="M88" s="346" t="n"/>
      <c r="N88" s="347" t="n"/>
      <c r="O88" s="345">
        <f>VLOOKUP(J$87:J$96,C$5:P$53,12,FALSE)</f>
        <v/>
      </c>
      <c r="P88" s="345">
        <f>VLOOKUP(J$87:J$96,C$5:P$53,13,FALSE)</f>
        <v/>
      </c>
      <c r="Q88" s="383">
        <f>+P88/O88</f>
        <v/>
      </c>
      <c r="R88" s="316" t="n"/>
    </row>
    <row r="89" ht="23.1" customFormat="1" customHeight="1" s="393">
      <c r="A89" s="295" t="n"/>
      <c r="B89" s="307">
        <f>+B88+1</f>
        <v/>
      </c>
      <c r="C89" s="621" t="inlineStr">
        <is>
          <t>COD 21</t>
        </is>
      </c>
      <c r="D89" s="357">
        <f>_xlfn.XLOOKUP(C89,CODIGOS_Y_PAGOS[CODIGO],CODIGOS_Y_PAGOS[NOMBRE PARTICIPANTE],"")</f>
        <v/>
      </c>
      <c r="E89" s="341">
        <f>VLOOKUP(C$87:C$196,C$5:P$53,9,FALSE)</f>
        <v/>
      </c>
      <c r="F89" s="341">
        <f>VLOOKUP(C$87:C$96,C$5:P$53,10,FALSE)</f>
        <v/>
      </c>
      <c r="G89" s="342">
        <f>+F89/E89</f>
        <v/>
      </c>
      <c r="H89" s="316" t="n"/>
      <c r="I89" s="307">
        <f>+I88+1</f>
        <v/>
      </c>
      <c r="J89" s="621" t="inlineStr">
        <is>
          <t>COD 25</t>
        </is>
      </c>
      <c r="K89" s="357">
        <f>_xlfn.XLOOKUP(J89,CODIGOS_Y_PAGOS[CODIGO],CODIGOS_Y_PAGOS[NOMBRE PARTICIPANTE],"")</f>
        <v/>
      </c>
      <c r="L89" s="346" t="n"/>
      <c r="M89" s="346" t="n"/>
      <c r="N89" s="347" t="n"/>
      <c r="O89" s="345">
        <f>VLOOKUP(J$87:J$96,C$5:P$53,12,FALSE)</f>
        <v/>
      </c>
      <c r="P89" s="345">
        <f>VLOOKUP(J$87:J$96,C$5:P$53,13,FALSE)</f>
        <v/>
      </c>
      <c r="Q89" s="383">
        <f>+P89/O89</f>
        <v/>
      </c>
      <c r="R89" s="316" t="n"/>
    </row>
    <row r="90" ht="23.1" customFormat="1" customHeight="1" s="393">
      <c r="A90" s="295" t="n"/>
      <c r="B90" s="307">
        <f>+B89+1</f>
        <v/>
      </c>
      <c r="C90" s="621" t="inlineStr">
        <is>
          <t>COD 22</t>
        </is>
      </c>
      <c r="D90" s="357">
        <f>_xlfn.XLOOKUP(C90,CODIGOS_Y_PAGOS[CODIGO],CODIGOS_Y_PAGOS[NOMBRE PARTICIPANTE],"")</f>
        <v/>
      </c>
      <c r="E90" s="341">
        <f>VLOOKUP(C$87:C$196,C$5:P$53,9,FALSE)</f>
        <v/>
      </c>
      <c r="F90" s="341">
        <f>VLOOKUP(C$87:C$96,C$5:P$53,10,FALSE)</f>
        <v/>
      </c>
      <c r="G90" s="342">
        <f>+F90/E90</f>
        <v/>
      </c>
      <c r="H90" s="316" t="n"/>
      <c r="I90" s="307">
        <f>+I89+1</f>
        <v/>
      </c>
      <c r="J90" s="621" t="inlineStr">
        <is>
          <t>COD 34</t>
        </is>
      </c>
      <c r="K90" s="357">
        <f>_xlfn.XLOOKUP(J90,CODIGOS_Y_PAGOS[CODIGO],CODIGOS_Y_PAGOS[NOMBRE PARTICIPANTE],"")</f>
        <v/>
      </c>
      <c r="L90" s="346" t="n"/>
      <c r="M90" s="346" t="n"/>
      <c r="N90" s="347" t="n"/>
      <c r="O90" s="345">
        <f>VLOOKUP(J$87:J$96,C$5:P$53,12,FALSE)</f>
        <v/>
      </c>
      <c r="P90" s="345">
        <f>VLOOKUP(J$87:J$96,C$5:P$53,13,FALSE)</f>
        <v/>
      </c>
      <c r="Q90" s="383">
        <f>+P90/O90</f>
        <v/>
      </c>
      <c r="R90" s="316" t="n"/>
    </row>
    <row r="91" ht="23.1" customFormat="1" customHeight="1" s="393">
      <c r="A91" s="295" t="n"/>
      <c r="B91" s="307">
        <f>+B90+1</f>
        <v/>
      </c>
      <c r="C91" s="621" t="inlineStr">
        <is>
          <t>COD 25</t>
        </is>
      </c>
      <c r="D91" s="357">
        <f>_xlfn.XLOOKUP(C91,CODIGOS_Y_PAGOS[CODIGO],CODIGOS_Y_PAGOS[NOMBRE PARTICIPANTE],"")</f>
        <v/>
      </c>
      <c r="E91" s="341">
        <f>VLOOKUP(C$87:C$196,C$5:P$53,9,FALSE)</f>
        <v/>
      </c>
      <c r="F91" s="341">
        <f>VLOOKUP(C$87:C$96,C$5:P$53,10,FALSE)</f>
        <v/>
      </c>
      <c r="G91" s="342">
        <f>+F91/E91</f>
        <v/>
      </c>
      <c r="H91" s="316" t="n"/>
      <c r="I91" s="307">
        <f>+I90+1</f>
        <v/>
      </c>
      <c r="J91" s="621" t="inlineStr">
        <is>
          <t>COD 35</t>
        </is>
      </c>
      <c r="K91" s="357">
        <f>_xlfn.XLOOKUP(J91,CODIGOS_Y_PAGOS[CODIGO],CODIGOS_Y_PAGOS[NOMBRE PARTICIPANTE],"")</f>
        <v/>
      </c>
      <c r="L91" s="346" t="n"/>
      <c r="M91" s="346" t="n"/>
      <c r="N91" s="347" t="n"/>
      <c r="O91" s="345">
        <f>VLOOKUP(J$87:J$96,C$5:P$53,12,FALSE)</f>
        <v/>
      </c>
      <c r="P91" s="345">
        <f>VLOOKUP(J$87:J$96,C$5:P$53,13,FALSE)</f>
        <v/>
      </c>
      <c r="Q91" s="383">
        <f>+P91/O91</f>
        <v/>
      </c>
      <c r="R91" s="316" t="n"/>
    </row>
    <row r="92" ht="23.1" customFormat="1" customHeight="1" s="393">
      <c r="A92" s="295" t="n"/>
      <c r="B92" s="307">
        <f>+B91+1</f>
        <v/>
      </c>
      <c r="C92" s="621" t="inlineStr">
        <is>
          <t>COD 27</t>
        </is>
      </c>
      <c r="D92" s="357">
        <f>_xlfn.XLOOKUP(C92,CODIGOS_Y_PAGOS[CODIGO],CODIGOS_Y_PAGOS[NOMBRE PARTICIPANTE],"")</f>
        <v/>
      </c>
      <c r="E92" s="341">
        <f>VLOOKUP(C$87:C$196,C$5:P$53,9,FALSE)</f>
        <v/>
      </c>
      <c r="F92" s="341">
        <f>VLOOKUP(C$87:C$96,C$5:P$53,10,FALSE)</f>
        <v/>
      </c>
      <c r="G92" s="342">
        <f>+F92/E92</f>
        <v/>
      </c>
      <c r="H92" s="316" t="n"/>
      <c r="I92" s="307">
        <f>+I91+1</f>
        <v/>
      </c>
      <c r="J92" s="621" t="inlineStr">
        <is>
          <t>COD 02</t>
        </is>
      </c>
      <c r="K92" s="357">
        <f>_xlfn.XLOOKUP(J92,CODIGOS_Y_PAGOS[CODIGO],CODIGOS_Y_PAGOS[NOMBRE PARTICIPANTE],"")</f>
        <v/>
      </c>
      <c r="L92" s="346" t="n"/>
      <c r="M92" s="346" t="n"/>
      <c r="N92" s="347" t="n"/>
      <c r="O92" s="345">
        <f>VLOOKUP(J$87:J$96,C$5:P$53,12,FALSE)</f>
        <v/>
      </c>
      <c r="P92" s="345">
        <f>VLOOKUP(J$87:J$96,C$5:P$53,13,FALSE)</f>
        <v/>
      </c>
      <c r="Q92" s="383">
        <f>+P92/O92</f>
        <v/>
      </c>
      <c r="R92" s="316" t="n"/>
    </row>
    <row r="93" ht="23.1" customHeight="1" s="568">
      <c r="A93" s="3" t="n"/>
      <c r="B93" s="307">
        <f>+B92+1</f>
        <v/>
      </c>
      <c r="C93" s="621" t="inlineStr">
        <is>
          <t>COD 28</t>
        </is>
      </c>
      <c r="D93" s="357">
        <f>_xlfn.XLOOKUP(C93,CODIGOS_Y_PAGOS[CODIGO],CODIGOS_Y_PAGOS[NOMBRE PARTICIPANTE],"")</f>
        <v/>
      </c>
      <c r="E93" s="341">
        <f>VLOOKUP(C$87:C$196,C$5:P$53,9,FALSE)</f>
        <v/>
      </c>
      <c r="F93" s="341">
        <f>VLOOKUP(C$87:C$96,C$5:P$53,10,FALSE)</f>
        <v/>
      </c>
      <c r="G93" s="342">
        <f>+F93/E93</f>
        <v/>
      </c>
      <c r="H93" s="316" t="n"/>
      <c r="I93" s="307">
        <f>+I92+1</f>
        <v/>
      </c>
      <c r="J93" s="621" t="inlineStr">
        <is>
          <t>COD 03</t>
        </is>
      </c>
      <c r="K93" s="357">
        <f>_xlfn.XLOOKUP(J93,CODIGOS_Y_PAGOS[CODIGO],CODIGOS_Y_PAGOS[NOMBRE PARTICIPANTE],"")</f>
        <v/>
      </c>
      <c r="L93" s="346" t="n"/>
      <c r="M93" s="346" t="n"/>
      <c r="N93" s="347" t="n"/>
      <c r="O93" s="345">
        <f>VLOOKUP(J$87:J$96,C$5:P$53,12,FALSE)</f>
        <v/>
      </c>
      <c r="P93" s="345">
        <f>VLOOKUP(J$87:J$96,C$5:P$53,13,FALSE)</f>
        <v/>
      </c>
      <c r="Q93" s="383">
        <f>+P93/O93</f>
        <v/>
      </c>
      <c r="R93" s="3" t="n"/>
    </row>
    <row r="94" ht="23.1" customHeight="1" s="568">
      <c r="B94" s="307">
        <f>+B93+1</f>
        <v/>
      </c>
      <c r="C94" s="621" t="inlineStr">
        <is>
          <t>COD 29</t>
        </is>
      </c>
      <c r="D94" s="357">
        <f>_xlfn.XLOOKUP(C94,CODIGOS_Y_PAGOS[CODIGO],CODIGOS_Y_PAGOS[NOMBRE PARTICIPANTE],"")</f>
        <v/>
      </c>
      <c r="E94" s="341">
        <f>VLOOKUP(C$87:C$196,C$5:P$53,9,FALSE)</f>
        <v/>
      </c>
      <c r="F94" s="341">
        <f>VLOOKUP(C$87:C$96,C$5:P$53,10,FALSE)</f>
        <v/>
      </c>
      <c r="G94" s="342">
        <f>+F94/E94</f>
        <v/>
      </c>
      <c r="H94" s="316" t="n"/>
      <c r="I94" s="307">
        <f>+I93+1</f>
        <v/>
      </c>
      <c r="J94" s="621" t="inlineStr">
        <is>
          <t>COD 05</t>
        </is>
      </c>
      <c r="K94" s="357">
        <f>_xlfn.XLOOKUP(J94,CODIGOS_Y_PAGOS[CODIGO],CODIGOS_Y_PAGOS[NOMBRE PARTICIPANTE],"")</f>
        <v/>
      </c>
      <c r="L94" s="346" t="n"/>
      <c r="M94" s="346" t="n"/>
      <c r="N94" s="347" t="n"/>
      <c r="O94" s="345">
        <f>VLOOKUP(J$87:J$96,C$5:P$53,12,FALSE)</f>
        <v/>
      </c>
      <c r="P94" s="345">
        <f>VLOOKUP(J$87:J$96,C$5:P$53,13,FALSE)</f>
        <v/>
      </c>
      <c r="Q94" s="383">
        <f>+P94/O94</f>
        <v/>
      </c>
      <c r="R94" s="3" t="n"/>
    </row>
    <row r="95" ht="23.1" customHeight="1" s="568">
      <c r="B95" s="307">
        <f>+B94+1</f>
        <v/>
      </c>
      <c r="C95" s="621" t="inlineStr">
        <is>
          <t>COD 34</t>
        </is>
      </c>
      <c r="D95" s="357">
        <f>_xlfn.XLOOKUP(C95,CODIGOS_Y_PAGOS[CODIGO],CODIGOS_Y_PAGOS[NOMBRE PARTICIPANTE],"")</f>
        <v/>
      </c>
      <c r="E95" s="341">
        <f>VLOOKUP(C$87:C$196,C$5:P$53,9,FALSE)</f>
        <v/>
      </c>
      <c r="F95" s="341">
        <f>VLOOKUP(C$87:C$96,C$5:P$53,10,FALSE)</f>
        <v/>
      </c>
      <c r="G95" s="342">
        <f>+F95/E95</f>
        <v/>
      </c>
      <c r="H95" s="316" t="n"/>
      <c r="I95" s="307">
        <f>+I94+1</f>
        <v/>
      </c>
      <c r="J95" s="621" t="inlineStr">
        <is>
          <t>COD 07</t>
        </is>
      </c>
      <c r="K95" s="357">
        <f>_xlfn.XLOOKUP(J95,CODIGOS_Y_PAGOS[CODIGO],CODIGOS_Y_PAGOS[NOMBRE PARTICIPANTE],"")</f>
        <v/>
      </c>
      <c r="L95" s="346" t="n"/>
      <c r="M95" s="346" t="n"/>
      <c r="N95" s="347" t="n"/>
      <c r="O95" s="345">
        <f>VLOOKUP(J$87:J$96,C$5:P$53,12,FALSE)</f>
        <v/>
      </c>
      <c r="P95" s="345">
        <f>VLOOKUP(J$87:J$96,C$5:P$53,13,FALSE)</f>
        <v/>
      </c>
      <c r="Q95" s="383">
        <f>+P95/O95</f>
        <v/>
      </c>
      <c r="R95" s="3" t="n"/>
    </row>
    <row r="96" ht="23.1" customHeight="1" s="568" thickBot="1">
      <c r="B96" s="307">
        <f>+B95+1</f>
        <v/>
      </c>
      <c r="C96" s="621" t="inlineStr">
        <is>
          <t>COD 03</t>
        </is>
      </c>
      <c r="D96" s="357">
        <f>_xlfn.XLOOKUP(C96,CODIGOS_Y_PAGOS[CODIGO],CODIGOS_Y_PAGOS[NOMBRE PARTICIPANTE],"")</f>
        <v/>
      </c>
      <c r="E96" s="341">
        <f>VLOOKUP(C$87:C$196,C$5:P$53,9,FALSE)</f>
        <v/>
      </c>
      <c r="F96" s="341">
        <f>VLOOKUP(C$87:C$96,C$5:P$53,10,FALSE)</f>
        <v/>
      </c>
      <c r="G96" s="348">
        <f>+F96/E96</f>
        <v/>
      </c>
      <c r="H96" s="316" t="n"/>
      <c r="I96" s="307">
        <f>+I95+1</f>
        <v/>
      </c>
      <c r="J96" s="621" t="inlineStr">
        <is>
          <t>COD 08</t>
        </is>
      </c>
      <c r="K96" s="357">
        <f>_xlfn.XLOOKUP(J96,CODIGOS_Y_PAGOS[CODIGO],CODIGOS_Y_PAGOS[NOMBRE PARTICIPANTE],"")</f>
        <v/>
      </c>
      <c r="L96" s="346" t="n"/>
      <c r="M96" s="346" t="n"/>
      <c r="N96" s="347" t="n"/>
      <c r="O96" s="345">
        <f>VLOOKUP(J$87:J$96,C$5:P$53,12,FALSE)</f>
        <v/>
      </c>
      <c r="P96" s="345">
        <f>VLOOKUP(J$87:J$96,C$5:P$53,13,FALSE)</f>
        <v/>
      </c>
      <c r="Q96" s="383">
        <f>+P96/O96</f>
        <v/>
      </c>
      <c r="R96" s="3" t="n"/>
    </row>
    <row r="97" ht="7.5" customHeight="1" s="568">
      <c r="B97" s="331" t="n"/>
      <c r="C97" s="351" t="inlineStr">
        <is>
          <t>COD 05</t>
        </is>
      </c>
      <c r="D97" s="3" t="n"/>
      <c r="E97" s="3" t="n"/>
      <c r="F97" s="3" t="n"/>
      <c r="G97" s="3" t="n"/>
      <c r="H97" s="3" t="n"/>
      <c r="I97" s="3" t="n"/>
      <c r="J97" s="351" t="inlineStr">
        <is>
          <t>COD 10</t>
        </is>
      </c>
      <c r="K97" s="3" t="n"/>
      <c r="L97" s="3" t="n"/>
      <c r="M97" s="3" t="n"/>
      <c r="N97" s="3" t="n"/>
      <c r="O97" s="3" t="n"/>
      <c r="P97" s="3" t="n"/>
      <c r="Q97" s="3" t="n"/>
      <c r="R97" s="3" t="n"/>
    </row>
    <row r="98">
      <c r="C98" s="73" t="inlineStr">
        <is>
          <t>COD 09</t>
        </is>
      </c>
      <c r="J98" s="73" t="inlineStr">
        <is>
          <t>COD 13</t>
        </is>
      </c>
      <c r="R98" s="3" t="n"/>
    </row>
    <row r="99">
      <c r="C99" s="73" t="inlineStr">
        <is>
          <t>COD 10</t>
        </is>
      </c>
      <c r="J99" s="73" t="inlineStr">
        <is>
          <t>COD 16</t>
        </is>
      </c>
      <c r="R99" s="3" t="n"/>
    </row>
    <row r="100">
      <c r="C100" s="73" t="inlineStr">
        <is>
          <t>COD 11</t>
        </is>
      </c>
      <c r="J100" s="73" t="inlineStr">
        <is>
          <t>COD 17</t>
        </is>
      </c>
      <c r="R100" s="3" t="n"/>
    </row>
    <row r="101">
      <c r="C101" s="73" t="inlineStr">
        <is>
          <t>COD 14</t>
        </is>
      </c>
      <c r="J101" s="73" t="inlineStr">
        <is>
          <t>COD 18</t>
        </is>
      </c>
      <c r="R101" s="3" t="n"/>
    </row>
    <row r="102">
      <c r="C102" s="73" t="inlineStr">
        <is>
          <t>COD 15</t>
        </is>
      </c>
      <c r="J102" s="73" t="inlineStr">
        <is>
          <t>COD 19</t>
        </is>
      </c>
      <c r="R102" s="3" t="n"/>
    </row>
    <row r="103">
      <c r="C103" s="73" t="inlineStr">
        <is>
          <t>COD 16</t>
        </is>
      </c>
      <c r="J103" s="73" t="inlineStr">
        <is>
          <t>COD 21</t>
        </is>
      </c>
      <c r="R103" s="3" t="n"/>
    </row>
    <row r="104">
      <c r="C104" s="73" t="inlineStr">
        <is>
          <t>COD 18</t>
        </is>
      </c>
      <c r="J104" s="73" t="inlineStr">
        <is>
          <t>COD 22</t>
        </is>
      </c>
    </row>
    <row r="105">
      <c r="C105" s="73" t="inlineStr">
        <is>
          <t>COD 23</t>
        </is>
      </c>
      <c r="J105" s="73" t="inlineStr">
        <is>
          <t>COD 24</t>
        </is>
      </c>
    </row>
    <row r="106">
      <c r="C106" s="73" t="inlineStr">
        <is>
          <t>COD 26</t>
        </is>
      </c>
      <c r="J106" s="73" t="inlineStr">
        <is>
          <t>COD 26</t>
        </is>
      </c>
    </row>
    <row r="107">
      <c r="C107" s="73" t="inlineStr">
        <is>
          <t>COD 32</t>
        </is>
      </c>
      <c r="J107" s="73" t="inlineStr">
        <is>
          <t>COD 27</t>
        </is>
      </c>
    </row>
    <row r="108">
      <c r="C108" s="73" t="inlineStr">
        <is>
          <t>COD 38</t>
        </is>
      </c>
      <c r="J108" s="73" t="inlineStr">
        <is>
          <t>COD 28</t>
        </is>
      </c>
    </row>
    <row r="109">
      <c r="C109" s="73" t="inlineStr">
        <is>
          <t>COD 02</t>
        </is>
      </c>
      <c r="J109" s="73" t="inlineStr">
        <is>
          <t>COD 30</t>
        </is>
      </c>
    </row>
    <row r="110">
      <c r="C110" s="73" t="inlineStr">
        <is>
          <t>COD 12</t>
        </is>
      </c>
      <c r="J110" s="73" t="inlineStr">
        <is>
          <t>COD 32</t>
        </is>
      </c>
    </row>
    <row r="111">
      <c r="C111" s="73" t="inlineStr">
        <is>
          <t>COD 20</t>
        </is>
      </c>
      <c r="J111" s="73" t="inlineStr">
        <is>
          <t>COD 33</t>
        </is>
      </c>
    </row>
    <row r="112">
      <c r="C112" s="73" t="inlineStr">
        <is>
          <t>COD 31</t>
        </is>
      </c>
      <c r="J112" s="73" t="inlineStr">
        <is>
          <t>COD 36</t>
        </is>
      </c>
    </row>
    <row r="113">
      <c r="C113" s="73" t="inlineStr">
        <is>
          <t>COD 33</t>
        </is>
      </c>
      <c r="J113" s="73" t="inlineStr">
        <is>
          <t>COD 37</t>
        </is>
      </c>
    </row>
    <row r="114">
      <c r="C114" s="73" t="inlineStr">
        <is>
          <t>COD 35</t>
        </is>
      </c>
      <c r="J114" s="73" t="inlineStr">
        <is>
          <t>COD 38</t>
        </is>
      </c>
    </row>
    <row r="115">
      <c r="C115" s="73" t="inlineStr">
        <is>
          <t>COD 36</t>
        </is>
      </c>
      <c r="J115" s="73" t="inlineStr">
        <is>
          <t>COD 06</t>
        </is>
      </c>
    </row>
    <row r="116">
      <c r="C116" s="73" t="inlineStr">
        <is>
          <t>COD 08</t>
        </is>
      </c>
      <c r="J116" s="73" t="inlineStr">
        <is>
          <t>COD 12</t>
        </is>
      </c>
    </row>
    <row r="117">
      <c r="C117" s="73" t="inlineStr">
        <is>
          <t>COD 13</t>
        </is>
      </c>
      <c r="J117" s="73" t="inlineStr">
        <is>
          <t>COD 01</t>
        </is>
      </c>
    </row>
    <row r="118">
      <c r="C118" s="73" t="inlineStr">
        <is>
          <t>COD 17</t>
        </is>
      </c>
      <c r="J118" s="73" t="inlineStr">
        <is>
          <t>COD 04</t>
        </is>
      </c>
    </row>
    <row r="119">
      <c r="C119" s="73" t="inlineStr">
        <is>
          <t>COD 19</t>
        </is>
      </c>
      <c r="J119" s="73" t="inlineStr">
        <is>
          <t>COD 09</t>
        </is>
      </c>
    </row>
    <row r="120">
      <c r="C120" s="73" t="inlineStr">
        <is>
          <t>COD 06</t>
        </is>
      </c>
      <c r="J120" s="73" t="inlineStr">
        <is>
          <t>COD 11</t>
        </is>
      </c>
    </row>
    <row r="121">
      <c r="C121" s="73" t="inlineStr">
        <is>
          <t>COD 07</t>
        </is>
      </c>
      <c r="J121" s="73" t="inlineStr">
        <is>
          <t>COD 20</t>
        </is>
      </c>
    </row>
    <row r="122">
      <c r="C122" s="73" t="inlineStr">
        <is>
          <t>COD 24</t>
        </is>
      </c>
      <c r="J122" s="73" t="inlineStr">
        <is>
          <t>COD 29</t>
        </is>
      </c>
    </row>
    <row r="123">
      <c r="C123" s="73" t="inlineStr">
        <is>
          <t>COD 30</t>
        </is>
      </c>
      <c r="J123" s="73" t="inlineStr">
        <is>
          <t>COD 31</t>
        </is>
      </c>
    </row>
    <row r="124">
      <c r="C124" s="73" t="inlineStr">
        <is>
          <t>COD 04</t>
        </is>
      </c>
      <c r="J124" s="73" t="inlineStr">
        <is>
          <t>COD 14</t>
        </is>
      </c>
    </row>
    <row r="125">
      <c r="C125" s="73" t="inlineStr">
        <is>
          <t>COD 39</t>
        </is>
      </c>
      <c r="J125" s="73" t="inlineStr">
        <is>
          <t>COD 39</t>
        </is>
      </c>
    </row>
    <row r="126">
      <c r="C126" s="73" t="inlineStr">
        <is>
          <t>COD 40</t>
        </is>
      </c>
      <c r="J126" s="73" t="inlineStr">
        <is>
          <t>COD 40</t>
        </is>
      </c>
    </row>
    <row r="127">
      <c r="C127" s="73" t="inlineStr">
        <is>
          <t>COD 41</t>
        </is>
      </c>
      <c r="J127" s="73" t="inlineStr">
        <is>
          <t>COD 41</t>
        </is>
      </c>
    </row>
    <row r="128">
      <c r="C128" s="73" t="inlineStr">
        <is>
          <t>COD 42</t>
        </is>
      </c>
      <c r="J128" s="73" t="inlineStr">
        <is>
          <t>COD 42</t>
        </is>
      </c>
    </row>
    <row r="129">
      <c r="C129" t="inlineStr">
        <is>
          <t>COD 43</t>
        </is>
      </c>
      <c r="J129" t="inlineStr">
        <is>
          <t>COD 43</t>
        </is>
      </c>
    </row>
    <row r="130">
      <c r="C130" t="inlineStr">
        <is>
          <t>COD 44</t>
        </is>
      </c>
      <c r="J130" t="inlineStr">
        <is>
          <t>COD 44</t>
        </is>
      </c>
    </row>
    <row r="131">
      <c r="C131" t="inlineStr">
        <is>
          <t>COD 45</t>
        </is>
      </c>
      <c r="J131" t="inlineStr">
        <is>
          <t>COD 45</t>
        </is>
      </c>
    </row>
    <row r="132">
      <c r="C132" t="inlineStr">
        <is>
          <t>COD 46</t>
        </is>
      </c>
      <c r="J132" t="inlineStr">
        <is>
          <t>COD 46</t>
        </is>
      </c>
    </row>
    <row r="133">
      <c r="C133" t="inlineStr">
        <is>
          <t>COD 47</t>
        </is>
      </c>
      <c r="J133" t="inlineStr">
        <is>
          <t>COD 47</t>
        </is>
      </c>
    </row>
    <row r="134">
      <c r="C134" t="inlineStr">
        <is>
          <t>COD 48</t>
        </is>
      </c>
      <c r="J134" t="inlineStr">
        <is>
          <t>COD 48</t>
        </is>
      </c>
    </row>
    <row r="135">
      <c r="C135" t="inlineStr">
        <is>
          <t>COD 49</t>
        </is>
      </c>
      <c r="J135" t="inlineStr">
        <is>
          <t>COD 49</t>
        </is>
      </c>
    </row>
    <row r="136">
      <c r="C136" t="inlineStr">
        <is>
          <t>COD 50</t>
        </is>
      </c>
      <c r="J136" t="inlineStr">
        <is>
          <t>COD 50</t>
        </is>
      </c>
    </row>
  </sheetData>
  <mergeCells count="13">
    <mergeCell ref="E72:J72"/>
    <mergeCell ref="E77:J77"/>
    <mergeCell ref="E71:J71"/>
    <mergeCell ref="E81:J81"/>
    <mergeCell ref="E80:J80"/>
    <mergeCell ref="M58:O58"/>
    <mergeCell ref="E78:J78"/>
    <mergeCell ref="E75:J75"/>
    <mergeCell ref="E79:J79"/>
    <mergeCell ref="E73:J73"/>
    <mergeCell ref="E74:J74"/>
    <mergeCell ref="E82:J82"/>
    <mergeCell ref="E76:J76"/>
  </mergeCells>
  <conditionalFormatting sqref="B4">
    <cfRule type="containsText" priority="33" operator="containsText" text="0">
      <formula>NOT(ISERROR(SEARCH("0",B4)))</formula>
    </cfRule>
  </conditionalFormatting>
  <conditionalFormatting sqref="D5:D54">
    <cfRule type="expression" priority="15" dxfId="16">
      <formula>$K5=$L5</formula>
    </cfRule>
  </conditionalFormatting>
  <conditionalFormatting sqref="M71:M82">
    <cfRule type="cellIs" priority="17" operator="between" dxfId="14">
      <formula>1</formula>
      <formula>18</formula>
    </cfRule>
    <cfRule type="containsText" priority="18" operator="containsText" dxfId="14" text="V">
      <formula>NOT(ISERROR(SEARCH("V",M71)))</formula>
    </cfRule>
  </conditionalFormatting>
  <conditionalFormatting sqref="N71:N82">
    <cfRule type="cellIs" priority="1" operator="equal" dxfId="13">
      <formula>14</formula>
    </cfRule>
    <cfRule type="cellIs" priority="2" operator="equal" dxfId="12">
      <formula>13</formula>
    </cfRule>
    <cfRule type="cellIs" priority="3" operator="equal" dxfId="11">
      <formula>12</formula>
    </cfRule>
    <cfRule type="cellIs" priority="4" operator="equal" dxfId="10">
      <formula>11</formula>
    </cfRule>
    <cfRule type="cellIs" priority="5" operator="equal" dxfId="9">
      <formula>10</formula>
    </cfRule>
    <cfRule type="cellIs" priority="6" operator="equal" dxfId="8">
      <formula>9</formula>
    </cfRule>
    <cfRule type="cellIs" priority="7" operator="equal" dxfId="7">
      <formula>8</formula>
    </cfRule>
    <cfRule type="cellIs" priority="8" operator="equal" dxfId="6">
      <formula>7</formula>
    </cfRule>
    <cfRule type="cellIs" priority="9" operator="equal" dxfId="5">
      <formula>6</formula>
    </cfRule>
    <cfRule type="cellIs" priority="10" operator="equal" dxfId="4">
      <formula>5</formula>
    </cfRule>
    <cfRule type="cellIs" priority="11" operator="equal" dxfId="3">
      <formula>4</formula>
    </cfRule>
    <cfRule type="cellIs" priority="12" operator="equal" dxfId="2">
      <formula>3</formula>
    </cfRule>
    <cfRule type="cellIs" priority="13" operator="equal" dxfId="1">
      <formula>2</formula>
    </cfRule>
    <cfRule type="cellIs" priority="14" operator="equal" dxfId="0">
      <formula>1</formula>
    </cfRule>
  </conditionalFormatting>
  <pageMargins left="0.2362204724409449" right="0.2362204724409449" top="0.07874015748031496" bottom="0.07874015748031496" header="0" footer="0"/>
  <pageSetup orientation="portrait" paperSize="3" scale="72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J152"/>
  <sheetViews>
    <sheetView showGridLines="0" topLeftCell="A32" zoomScale="59" zoomScaleNormal="59" workbookViewId="0">
      <selection activeCell="C8" sqref="C8:C57"/>
    </sheetView>
  </sheetViews>
  <sheetFormatPr baseColWidth="10" defaultRowHeight="15" outlineLevelRow="1"/>
  <cols>
    <col width="3.42578125" customWidth="1" style="568" min="1" max="1"/>
    <col width="14.7109375" customWidth="1" style="10" min="2" max="2"/>
    <col width="24" customWidth="1" style="568" min="3" max="3"/>
    <col width="22.7109375" customWidth="1" style="568" min="4" max="4"/>
    <col width="8.140625" customWidth="1" style="568" min="5" max="5"/>
    <col width="6.7109375" customWidth="1" style="568" min="6" max="13"/>
    <col width="7.42578125" customWidth="1" style="568" min="14" max="14"/>
    <col width="6.7109375" customWidth="1" style="568" min="15" max="31"/>
    <col width="7.42578125" customWidth="1" style="568" min="32" max="32"/>
    <col width="6.7109375" customWidth="1" style="568" min="33" max="40"/>
    <col width="7.42578125" customWidth="1" style="568" min="41" max="41"/>
    <col width="6.7109375" customWidth="1" style="568" min="42" max="43"/>
    <col width="7.140625" customWidth="1" style="568" min="44" max="44"/>
    <col width="6.7109375" customWidth="1" style="568" min="45" max="58"/>
    <col width="7" customWidth="1" style="356" min="59" max="59"/>
    <col width="6.7109375" customWidth="1" style="568" min="60" max="63"/>
    <col width="6.7109375" customWidth="1" style="356" min="64" max="64"/>
    <col width="6.7109375" customWidth="1" style="568" min="65" max="67"/>
    <col width="7.140625" customWidth="1" style="568" min="68" max="68"/>
    <col width="6.7109375" customWidth="1" style="568" min="69" max="74"/>
    <col outlineLevel="1" width="6.7109375" customWidth="1" style="568" min="75" max="84"/>
    <col width="6.7109375" customWidth="1" style="568" min="85" max="89"/>
    <col width="8.140625" customWidth="1" style="568" min="90" max="90"/>
    <col width="6.7109375" customWidth="1" style="568" min="91" max="92"/>
    <col width="8.5703125" customWidth="1" style="568" min="93" max="93"/>
    <col width="6.7109375" customWidth="1" style="568" min="94" max="95"/>
    <col width="12.42578125" customWidth="1" style="568" min="96" max="96"/>
    <col width="15.7109375" customWidth="1" style="568" min="97" max="100"/>
    <col width="2.7109375" customWidth="1" style="568" min="101" max="101"/>
    <col width="17" customWidth="1" style="568" min="103" max="103"/>
    <col width="18.140625" customWidth="1" style="568" min="104" max="104"/>
    <col width="14.42578125" bestFit="1" customWidth="1" style="568" min="105" max="105"/>
    <col width="18.28515625" customWidth="1" style="568" min="106" max="106"/>
    <col width="13.42578125" bestFit="1" customWidth="1" style="568" min="122" max="122"/>
    <col width="13.7109375" bestFit="1" customWidth="1" style="568" min="137" max="137"/>
    <col width="13.42578125" bestFit="1" customWidth="1" style="568" min="140" max="140"/>
  </cols>
  <sheetData>
    <row r="1" ht="15.75" customHeight="1" s="568">
      <c r="B1" s="73" t="n">
        <v>0</v>
      </c>
      <c r="CV1" s="74" t="inlineStr">
        <is>
          <t>PREMIO</t>
        </is>
      </c>
      <c r="CX1" s="75" t="inlineStr">
        <is>
          <t>PREMIO</t>
        </is>
      </c>
      <c r="DA1" s="73" t="inlineStr">
        <is>
          <t>PREMIO</t>
        </is>
      </c>
    </row>
    <row r="2" ht="24" customFormat="1" customHeight="1" s="576" thickBot="1">
      <c r="B2" s="439" t="inlineStr">
        <is>
          <t>CAMPEONATO DE MARCAS LA RINCONADA</t>
        </is>
      </c>
      <c r="C2" s="440" t="n"/>
      <c r="D2" s="440" t="n"/>
      <c r="E2" s="440" t="n"/>
      <c r="F2" s="440" t="n"/>
      <c r="G2" s="440" t="n"/>
      <c r="H2" s="440" t="n"/>
      <c r="I2" s="440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0" t="n"/>
      <c r="AE2" s="440" t="n"/>
      <c r="AF2" s="440" t="n"/>
      <c r="AG2" s="440" t="n"/>
      <c r="AH2" s="440" t="n"/>
      <c r="AI2" s="440" t="n"/>
      <c r="AJ2" s="440" t="n"/>
      <c r="AK2" s="440" t="n"/>
      <c r="AL2" s="440" t="n"/>
      <c r="AM2" s="440" t="n"/>
      <c r="AN2" s="440" t="n"/>
      <c r="AO2" s="440" t="n"/>
      <c r="AP2" s="440" t="n"/>
      <c r="AQ2" s="440" t="n"/>
      <c r="AR2" s="440" t="n"/>
      <c r="AS2" s="440" t="n"/>
      <c r="AT2" s="440" t="n"/>
      <c r="AU2" s="440" t="n"/>
      <c r="AV2" s="440" t="n"/>
      <c r="AW2" s="440" t="n"/>
      <c r="AX2" s="440" t="n"/>
      <c r="AY2" s="440" t="n"/>
      <c r="AZ2" s="440" t="n"/>
      <c r="BA2" s="440" t="n"/>
      <c r="BB2" s="440" t="n"/>
      <c r="BC2" s="440" t="n"/>
      <c r="BD2" s="440" t="n"/>
      <c r="BE2" s="440" t="n"/>
      <c r="BF2" s="440" t="n"/>
      <c r="BG2" s="441" t="n"/>
      <c r="BH2" s="440" t="n"/>
      <c r="BI2" s="440" t="n"/>
      <c r="BJ2" s="440" t="n"/>
      <c r="BK2" s="440" t="n"/>
      <c r="BL2" s="441" t="n"/>
      <c r="BM2" s="440" t="n"/>
      <c r="BN2" s="440" t="n"/>
      <c r="BO2" s="440" t="n"/>
      <c r="BP2" s="440" t="n"/>
      <c r="BQ2" s="440" t="n"/>
      <c r="BR2" s="440" t="n"/>
      <c r="BS2" s="440" t="n"/>
      <c r="BT2" s="440" t="n"/>
      <c r="BU2" s="440" t="n"/>
      <c r="BV2" s="440" t="n"/>
      <c r="BW2" s="440" t="n"/>
      <c r="BX2" s="440" t="n"/>
      <c r="BY2" s="440" t="n"/>
      <c r="BZ2" s="440" t="n"/>
      <c r="CA2" s="440" t="n"/>
      <c r="CB2" s="440" t="n"/>
      <c r="CC2" s="440" t="n"/>
      <c r="CD2" s="440" t="n"/>
      <c r="CE2" s="440" t="n"/>
      <c r="CF2" s="440" t="n"/>
      <c r="CG2" s="440" t="n"/>
      <c r="CH2" s="440" t="n"/>
      <c r="CI2" s="440" t="n"/>
      <c r="CJ2" s="440" t="n"/>
      <c r="CK2" s="440" t="n"/>
      <c r="CL2" s="440" t="n"/>
      <c r="CM2" s="440" t="n"/>
      <c r="CN2" s="440" t="n"/>
      <c r="CO2" s="440" t="n"/>
      <c r="CP2" s="440" t="n"/>
      <c r="CQ2" s="440" t="n"/>
      <c r="CR2" s="440" t="n"/>
      <c r="CS2" s="442" t="n"/>
      <c r="CT2" s="442" t="n"/>
      <c r="CU2" s="440" t="n"/>
      <c r="CV2" s="443" t="n"/>
      <c r="CX2" s="76" t="inlineStr">
        <is>
          <t>MEETING</t>
        </is>
      </c>
      <c r="DA2" s="77" t="inlineStr">
        <is>
          <t>MEETING</t>
        </is>
      </c>
    </row>
    <row r="3" ht="24" customFormat="1" customHeight="1" s="80" thickBot="1">
      <c r="A3" s="576" t="n"/>
      <c r="B3" s="444" t="inlineStr">
        <is>
          <t>FECHA</t>
        </is>
      </c>
      <c r="C3" s="253" t="n"/>
      <c r="D3" s="252">
        <f>CODIGOS_Y_PAGOS[[#Headers],[13/09/2026]]</f>
        <v/>
      </c>
      <c r="E3" s="253" t="n"/>
      <c r="F3" s="248" t="inlineStr">
        <is>
          <t>PARTICIPACION</t>
        </is>
      </c>
      <c r="G3" s="249" t="n"/>
      <c r="H3" s="249" t="n"/>
      <c r="I3" s="249" t="n"/>
      <c r="J3" s="250" t="n"/>
      <c r="K3" s="250" t="n"/>
      <c r="L3" s="250" t="n"/>
      <c r="M3" s="250" t="n"/>
      <c r="N3" s="251" t="n"/>
      <c r="O3" s="243">
        <f>CONTROL!H2</f>
        <v/>
      </c>
      <c r="P3" s="78" t="n"/>
      <c r="Q3" s="78" t="n"/>
      <c r="R3" s="78" t="n"/>
      <c r="S3" s="78" t="n"/>
      <c r="T3" s="569" t="inlineStr">
        <is>
          <t>COMBINACIONES</t>
        </is>
      </c>
      <c r="U3" s="570" t="n"/>
      <c r="V3" s="570" t="n"/>
      <c r="W3" s="570" t="n"/>
      <c r="X3" s="570" t="n"/>
      <c r="Y3" s="570" t="n"/>
      <c r="Z3" s="570" t="n"/>
      <c r="AA3" s="570" t="n"/>
      <c r="AB3" s="564" t="n"/>
      <c r="AC3" s="424">
        <f>COUNTA(SEMANA2[COD])-COUNTIF(SEMANA2[TIPO],"NO ENVIÓ")</f>
        <v/>
      </c>
      <c r="AD3" s="462" t="n"/>
      <c r="AE3" s="462" t="n"/>
      <c r="AF3" s="462" t="n"/>
      <c r="AG3" s="463" t="n"/>
      <c r="AH3" s="572" t="inlineStr">
        <is>
          <t>PAGADAS</t>
        </is>
      </c>
      <c r="AI3" s="570" t="n"/>
      <c r="AJ3" s="570" t="n"/>
      <c r="AK3" s="570" t="n"/>
      <c r="AL3" s="570" t="n"/>
      <c r="AM3" s="564" t="n"/>
      <c r="AN3" s="424">
        <f>COUNTIF(SEMANA2[TIPO],"PREMIO")</f>
        <v/>
      </c>
      <c r="AO3" s="462" t="n"/>
      <c r="AP3" s="462" t="n"/>
      <c r="AQ3" s="462" t="n"/>
      <c r="AR3" s="463" t="n"/>
      <c r="AS3" s="245" t="inlineStr">
        <is>
          <t>RECAUDADO</t>
        </is>
      </c>
      <c r="AT3" s="246" t="n"/>
      <c r="AU3" s="246" t="n"/>
      <c r="AV3" s="246" t="n"/>
      <c r="AW3" s="246" t="n"/>
      <c r="AX3" s="247" t="n"/>
      <c r="AY3" s="243">
        <f>+O3*AN3</f>
        <v/>
      </c>
      <c r="AZ3" s="244" t="n"/>
      <c r="BA3" s="244" t="n"/>
      <c r="BB3" s="244" t="n"/>
      <c r="BC3" s="220" t="n"/>
      <c r="BD3" s="220" t="n"/>
      <c r="BE3" s="220" t="n"/>
      <c r="BF3" s="220" t="n"/>
      <c r="BG3" s="221" t="n"/>
      <c r="BH3" s="220" t="n"/>
      <c r="BI3" s="220" t="n"/>
      <c r="BJ3" s="220" t="n"/>
      <c r="BK3" s="220" t="n"/>
      <c r="BL3" s="221" t="n"/>
      <c r="BM3" s="220" t="n"/>
      <c r="BN3" s="220" t="n"/>
      <c r="BO3" s="220" t="n"/>
      <c r="BP3" s="220" t="n"/>
      <c r="BQ3" s="220" t="n"/>
      <c r="BR3" s="220" t="n"/>
      <c r="BS3" s="220" t="n"/>
      <c r="BT3" s="220" t="n"/>
      <c r="BU3" s="220" t="n"/>
      <c r="BV3" s="220" t="n"/>
      <c r="BW3" s="220" t="n"/>
      <c r="BX3" s="220" t="n"/>
      <c r="BY3" s="220" t="n"/>
      <c r="BZ3" s="220" t="n"/>
      <c r="CA3" s="220" t="n"/>
      <c r="CB3" s="220" t="n"/>
      <c r="CC3" s="220" t="n"/>
      <c r="CD3" s="220" t="n"/>
      <c r="CE3" s="220" t="n"/>
      <c r="CF3" s="220" t="n"/>
      <c r="CG3" s="222" t="inlineStr">
        <is>
          <t>SEMANA 2</t>
        </is>
      </c>
      <c r="CH3" s="222" t="n"/>
      <c r="CI3" s="222" t="n"/>
      <c r="CJ3" s="222" t="n"/>
      <c r="CK3" s="222" t="n"/>
      <c r="CL3" s="222" t="n"/>
      <c r="CM3" s="222" t="n"/>
      <c r="CN3" s="222" t="n"/>
      <c r="CO3" s="222" t="n"/>
      <c r="CP3" s="222" t="n"/>
      <c r="CQ3" s="222" t="n"/>
      <c r="CR3" s="222" t="n"/>
      <c r="CS3" s="226" t="n"/>
      <c r="CT3" s="227" t="n"/>
      <c r="CU3" s="232" t="n"/>
      <c r="CV3" s="445" t="n"/>
      <c r="CW3" s="576" t="n"/>
      <c r="CX3" s="79" t="inlineStr">
        <is>
          <t>NO ENVIÓ</t>
        </is>
      </c>
    </row>
    <row r="4" ht="21" customFormat="1" customHeight="1" s="80" thickBot="1">
      <c r="A4" s="576" t="n"/>
      <c r="B4" s="258">
        <f>COUNTA(F6,K6,P6,U6,Z6,AE6,AJ6,AO6,AT6,AY6,BD6,BI6,BN6,BS6,BX6,CC6)</f>
        <v/>
      </c>
      <c r="C4" s="254" t="inlineStr">
        <is>
          <t>PRUEBAS</t>
        </is>
      </c>
      <c r="D4" s="255" t="inlineStr">
        <is>
          <t xml:space="preserve">ORDEN DE LLEGADA </t>
        </is>
      </c>
      <c r="E4" s="591">
        <f>D5+1</f>
        <v/>
      </c>
      <c r="F4" s="261" t="n"/>
      <c r="G4" s="261" t="n"/>
      <c r="H4" s="262" t="n"/>
      <c r="I4" s="263" t="n"/>
      <c r="J4" s="591">
        <f>E4+1</f>
        <v/>
      </c>
      <c r="K4" s="261" t="n"/>
      <c r="L4" s="261" t="n"/>
      <c r="M4" s="262" t="n"/>
      <c r="N4" s="263" t="n"/>
      <c r="O4" s="591">
        <f>J4+1</f>
        <v/>
      </c>
      <c r="P4" s="261" t="n"/>
      <c r="Q4" s="261" t="n"/>
      <c r="R4" s="262" t="n"/>
      <c r="S4" s="263" t="n"/>
      <c r="T4" s="591">
        <f>O4+1</f>
        <v/>
      </c>
      <c r="U4" s="261" t="n"/>
      <c r="V4" s="261" t="n"/>
      <c r="W4" s="262" t="n"/>
      <c r="X4" s="263" t="n"/>
      <c r="Y4" s="591">
        <f>T4+1</f>
        <v/>
      </c>
      <c r="Z4" s="261" t="n"/>
      <c r="AA4" s="261" t="n"/>
      <c r="AB4" s="262" t="n"/>
      <c r="AC4" s="263" t="n"/>
      <c r="AD4" s="591">
        <f>Y4+1</f>
        <v/>
      </c>
      <c r="AE4" s="261" t="n"/>
      <c r="AF4" s="261" t="n"/>
      <c r="AG4" s="262" t="n"/>
      <c r="AH4" s="263" t="n"/>
      <c r="AI4" s="591">
        <f>AD4+1</f>
        <v/>
      </c>
      <c r="AJ4" s="261" t="n"/>
      <c r="AK4" s="261" t="n"/>
      <c r="AL4" s="262" t="n"/>
      <c r="AM4" s="263" t="n"/>
      <c r="AN4" s="591">
        <f>AI4+1</f>
        <v/>
      </c>
      <c r="AO4" s="261" t="n"/>
      <c r="AP4" s="261" t="n"/>
      <c r="AQ4" s="262" t="n"/>
      <c r="AR4" s="263" t="n"/>
      <c r="AS4" s="591">
        <f>AN4+1</f>
        <v/>
      </c>
      <c r="AT4" s="261" t="n"/>
      <c r="AU4" s="261" t="n"/>
      <c r="AV4" s="262" t="n"/>
      <c r="AW4" s="263" t="n"/>
      <c r="AX4" s="591">
        <f>AS4+1</f>
        <v/>
      </c>
      <c r="AY4" s="261" t="n"/>
      <c r="AZ4" s="261" t="n"/>
      <c r="BA4" s="262" t="n"/>
      <c r="BB4" s="263" t="n"/>
      <c r="BC4" s="591">
        <f>AX4+1</f>
        <v/>
      </c>
      <c r="BD4" s="261" t="n"/>
      <c r="BE4" s="261" t="n"/>
      <c r="BF4" s="262" t="n"/>
      <c r="BG4" s="263" t="n"/>
      <c r="BH4" s="591">
        <f>BC4+1</f>
        <v/>
      </c>
      <c r="BI4" s="261" t="n"/>
      <c r="BJ4" s="261" t="n"/>
      <c r="BK4" s="262" t="n"/>
      <c r="BL4" s="263" t="n"/>
      <c r="BM4" s="591">
        <f>BH4+1</f>
        <v/>
      </c>
      <c r="BN4" s="261" t="n"/>
      <c r="BO4" s="261" t="n"/>
      <c r="BP4" s="262" t="n"/>
      <c r="BQ4" s="263" t="n"/>
      <c r="BR4" s="591">
        <f>BM4+1</f>
        <v/>
      </c>
      <c r="BS4" s="261" t="n"/>
      <c r="BT4" s="261" t="n"/>
      <c r="BU4" s="262" t="n"/>
      <c r="BV4" s="263" t="n"/>
      <c r="BW4" s="591">
        <f>BR4+1</f>
        <v/>
      </c>
      <c r="BX4" s="261" t="n"/>
      <c r="BY4" s="261" t="n"/>
      <c r="BZ4" s="262" t="n"/>
      <c r="CA4" s="263" t="n"/>
      <c r="CB4" s="591">
        <f>BW4+1</f>
        <v/>
      </c>
      <c r="CC4" s="261" t="n"/>
      <c r="CD4" s="261" t="n"/>
      <c r="CE4" s="262" t="n"/>
      <c r="CF4" s="263" t="n"/>
      <c r="CG4" s="223" t="inlineStr">
        <is>
          <t>PORCENTAJE DE ACIERTOS</t>
        </is>
      </c>
      <c r="CH4" s="224" t="n"/>
      <c r="CI4" s="224" t="n"/>
      <c r="CJ4" s="224" t="n"/>
      <c r="CK4" s="224" t="n"/>
      <c r="CL4" s="224" t="n"/>
      <c r="CM4" s="224" t="n"/>
      <c r="CN4" s="224" t="n"/>
      <c r="CO4" s="224" t="n"/>
      <c r="CP4" s="224" t="n"/>
      <c r="CQ4" s="224" t="n"/>
      <c r="CR4" s="224" t="n"/>
      <c r="CS4" s="228" t="n"/>
      <c r="CT4" s="229" t="n"/>
      <c r="CU4" s="234" t="n"/>
      <c r="CV4" s="446" t="n"/>
      <c r="CW4" s="576" t="n"/>
      <c r="CX4" s="79" t="inlineStr">
        <is>
          <t>PENDIENTE</t>
        </is>
      </c>
    </row>
    <row r="5" ht="21" customFormat="1" customHeight="1" s="80" thickBot="1">
      <c r="A5" s="576" t="n"/>
      <c r="B5" s="167">
        <f>ROUNDUP($C$5/2, 0)</f>
        <v/>
      </c>
      <c r="C5" s="168">
        <f>COUNTA('SEM 2'!E8,'SEM 2'!J8,'SEM 2'!O8,'SEM 2'!T8,'SEM 2'!Y8,'SEM 2'!AD8,'SEM 2'!AI8,'SEM 2'!AN8,'SEM 2'!AS8,'SEM 2'!AX8,'SEM 2'!BC8,'SEM 2'!BH8,'SEM 2'!BM8,'SEM 2'!BR8,'SEM 2'!BW8,'SEM 2'!CB8)</f>
        <v/>
      </c>
      <c r="D5" s="434" t="n">
        <v>0</v>
      </c>
      <c r="E5" s="592" t="n">
        <v>6</v>
      </c>
      <c r="F5" s="593" t="n">
        <v>4</v>
      </c>
      <c r="G5" s="594" t="n">
        <v>9</v>
      </c>
      <c r="H5" s="595">
        <f>E5&amp;"SF"</f>
        <v/>
      </c>
      <c r="I5" s="596">
        <f>E5&amp;"F"</f>
        <v/>
      </c>
      <c r="J5" s="597" t="n">
        <v>7</v>
      </c>
      <c r="K5" s="597" t="n">
        <v>2</v>
      </c>
      <c r="L5" s="597" t="n">
        <v>9</v>
      </c>
      <c r="M5" s="598">
        <f>J5&amp;"SF"</f>
        <v/>
      </c>
      <c r="N5" s="599">
        <f>J5&amp;"F"</f>
        <v/>
      </c>
      <c r="O5" s="600" t="n">
        <v>1</v>
      </c>
      <c r="P5" s="597" t="n">
        <v>3</v>
      </c>
      <c r="Q5" s="597" t="n">
        <v>9</v>
      </c>
      <c r="R5" s="598">
        <f>O5&amp;"SF"</f>
        <v/>
      </c>
      <c r="S5" s="599">
        <f>O5&amp;"F"</f>
        <v/>
      </c>
      <c r="T5" s="600" t="n">
        <v>1</v>
      </c>
      <c r="U5" s="597" t="n">
        <v>3</v>
      </c>
      <c r="V5" s="597" t="n">
        <v>4</v>
      </c>
      <c r="W5" s="598">
        <f>T5&amp;"SF"</f>
        <v/>
      </c>
      <c r="X5" s="599">
        <f>T5&amp;"F"</f>
        <v/>
      </c>
      <c r="Y5" s="600" t="n">
        <v>2</v>
      </c>
      <c r="Z5" s="597" t="n">
        <v>4</v>
      </c>
      <c r="AA5" s="597" t="n">
        <v>7</v>
      </c>
      <c r="AB5" s="598">
        <f>Y5&amp;"SF"</f>
        <v/>
      </c>
      <c r="AC5" s="599">
        <f>Y5&amp;"F"</f>
        <v/>
      </c>
      <c r="AD5" s="600" t="n">
        <v>7</v>
      </c>
      <c r="AE5" s="597" t="n">
        <v>5</v>
      </c>
      <c r="AF5" s="597" t="n">
        <v>2</v>
      </c>
      <c r="AG5" s="598">
        <f>AD5&amp;"SF"</f>
        <v/>
      </c>
      <c r="AH5" s="599">
        <f>AD5&amp;"F"</f>
        <v/>
      </c>
      <c r="AI5" s="600" t="n">
        <v>9</v>
      </c>
      <c r="AJ5" s="597" t="n">
        <v>6</v>
      </c>
      <c r="AK5" s="597" t="n">
        <v>7</v>
      </c>
      <c r="AL5" s="598">
        <f>AI5&amp;"SF"</f>
        <v/>
      </c>
      <c r="AM5" s="599">
        <f>AI5&amp;"F"</f>
        <v/>
      </c>
      <c r="AN5" s="600" t="n">
        <v>8</v>
      </c>
      <c r="AO5" s="597" t="n">
        <v>6</v>
      </c>
      <c r="AP5" s="597" t="n">
        <v>2</v>
      </c>
      <c r="AQ5" s="598">
        <f>AN5&amp;"SF"</f>
        <v/>
      </c>
      <c r="AR5" s="599">
        <f>AN5&amp;"F"</f>
        <v/>
      </c>
      <c r="AS5" s="600" t="n">
        <v>2</v>
      </c>
      <c r="AT5" s="597" t="n">
        <v>5</v>
      </c>
      <c r="AU5" s="597" t="n">
        <v>3</v>
      </c>
      <c r="AV5" s="598">
        <f>AS5&amp;"SF"</f>
        <v/>
      </c>
      <c r="AW5" s="599">
        <f>AS5&amp;"F"</f>
        <v/>
      </c>
      <c r="AX5" s="600" t="n">
        <v>2</v>
      </c>
      <c r="AY5" s="597" t="n">
        <v>6</v>
      </c>
      <c r="AZ5" s="597" t="n">
        <v>8</v>
      </c>
      <c r="BA5" s="598">
        <f>AX5&amp;"SF"</f>
        <v/>
      </c>
      <c r="BB5" s="599">
        <f>AX5&amp;"F"</f>
        <v/>
      </c>
      <c r="BC5" s="600" t="n">
        <v>7</v>
      </c>
      <c r="BD5" s="597" t="n">
        <v>6</v>
      </c>
      <c r="BE5" s="597" t="n">
        <v>5</v>
      </c>
      <c r="BF5" s="598">
        <f>BC5&amp;"SF"</f>
        <v/>
      </c>
      <c r="BG5" s="599">
        <f>BC5&amp;"F"</f>
        <v/>
      </c>
      <c r="BH5" s="600" t="n">
        <v>6</v>
      </c>
      <c r="BI5" s="597" t="n">
        <v>5</v>
      </c>
      <c r="BJ5" s="597" t="n">
        <v>1</v>
      </c>
      <c r="BK5" s="598">
        <f>BH5&amp;"SF"</f>
        <v/>
      </c>
      <c r="BL5" s="599">
        <f>$BH$5&amp;"F"</f>
        <v/>
      </c>
      <c r="BM5" s="600" t="n">
        <v>5</v>
      </c>
      <c r="BN5" s="597" t="n">
        <v>1</v>
      </c>
      <c r="BO5" s="597" t="n">
        <v>3</v>
      </c>
      <c r="BP5" s="598">
        <f>BM5&amp;"SF"</f>
        <v/>
      </c>
      <c r="BQ5" s="599">
        <f>BM5&amp;"F"</f>
        <v/>
      </c>
      <c r="BR5" s="600" t="n">
        <v>1</v>
      </c>
      <c r="BS5" s="597" t="n">
        <v>5</v>
      </c>
      <c r="BT5" s="597" t="n">
        <v>11</v>
      </c>
      <c r="BU5" s="598">
        <f>BR5&amp;"SF"</f>
        <v/>
      </c>
      <c r="BV5" s="599">
        <f>BR5&amp;"F"</f>
        <v/>
      </c>
      <c r="BW5" s="600" t="inlineStr">
        <is>
          <t>-</t>
        </is>
      </c>
      <c r="BX5" s="597" t="n"/>
      <c r="BY5" s="597" t="n"/>
      <c r="BZ5" s="598">
        <f>BW5&amp;"SF"</f>
        <v/>
      </c>
      <c r="CA5" s="599">
        <f>BW5&amp;"F"</f>
        <v/>
      </c>
      <c r="CB5" s="600" t="inlineStr">
        <is>
          <t>-</t>
        </is>
      </c>
      <c r="CC5" s="597" t="n"/>
      <c r="CD5" s="597" t="n"/>
      <c r="CE5" s="598">
        <f>CB5&amp;"SF"</f>
        <v/>
      </c>
      <c r="CF5" s="599">
        <f>CB5&amp;"F"</f>
        <v/>
      </c>
      <c r="CG5" s="153" t="n"/>
      <c r="CH5" s="154" t="n"/>
      <c r="CI5" s="154" t="n"/>
      <c r="CJ5" s="154" t="n"/>
      <c r="CK5" s="154" t="n"/>
      <c r="CL5" s="154" t="n"/>
      <c r="CM5" s="154" t="n"/>
      <c r="CN5" s="154" t="n"/>
      <c r="CO5" s="154" t="n"/>
      <c r="CP5" s="154" t="n"/>
      <c r="CQ5" s="154" t="n"/>
      <c r="CR5" s="154" t="n"/>
      <c r="CS5" s="230" t="inlineStr">
        <is>
          <t>TOTAL PREMIO</t>
        </is>
      </c>
      <c r="CT5" s="231" t="n"/>
      <c r="CU5" s="278">
        <f>(AY3*80%)/3</f>
        <v/>
      </c>
      <c r="CV5" s="447" t="n"/>
      <c r="CW5" s="576" t="n"/>
    </row>
    <row r="6" ht="21" customFormat="1" customHeight="1" s="80">
      <c r="A6" s="576" t="n"/>
      <c r="B6" s="259">
        <f>COUNTA(F6,Z6,AY6)</f>
        <v/>
      </c>
      <c r="C6" s="257" t="inlineStr">
        <is>
          <t>FIJAS</t>
        </is>
      </c>
      <c r="D6" s="256" t="n"/>
      <c r="E6" s="264" t="inlineStr">
        <is>
          <t>DIV</t>
        </is>
      </c>
      <c r="F6" s="265" t="n">
        <v>476.82</v>
      </c>
      <c r="G6" s="266" t="n"/>
      <c r="H6" s="266" t="n"/>
      <c r="I6" s="267" t="n"/>
      <c r="J6" s="268" t="inlineStr">
        <is>
          <t>DIV</t>
        </is>
      </c>
      <c r="K6" s="269" t="n">
        <v>344.19</v>
      </c>
      <c r="L6" s="270" t="n"/>
      <c r="M6" s="270" t="n"/>
      <c r="N6" s="271" t="n"/>
      <c r="O6" s="272" t="inlineStr">
        <is>
          <t>DIV</t>
        </is>
      </c>
      <c r="P6" s="269" t="n">
        <v>196.47</v>
      </c>
      <c r="Q6" s="270" t="n"/>
      <c r="R6" s="270" t="n"/>
      <c r="S6" s="271" t="n"/>
      <c r="T6" s="272" t="inlineStr">
        <is>
          <t>DIV</t>
        </is>
      </c>
      <c r="U6" s="269" t="n">
        <v>546.89</v>
      </c>
      <c r="V6" s="270" t="n"/>
      <c r="W6" s="270" t="n"/>
      <c r="X6" s="271" t="n"/>
      <c r="Y6" s="272" t="inlineStr">
        <is>
          <t>DIV</t>
        </is>
      </c>
      <c r="Z6" s="269" t="n">
        <v>171.46</v>
      </c>
      <c r="AA6" s="270" t="n"/>
      <c r="AB6" s="270" t="n"/>
      <c r="AC6" s="271" t="n"/>
      <c r="AD6" s="272" t="inlineStr">
        <is>
          <t>DIV</t>
        </is>
      </c>
      <c r="AE6" s="269" t="n">
        <v>798.3200000000001</v>
      </c>
      <c r="AF6" s="270" t="n"/>
      <c r="AG6" s="270" t="n"/>
      <c r="AH6" s="271" t="n"/>
      <c r="AI6" s="272" t="inlineStr">
        <is>
          <t>DIV</t>
        </is>
      </c>
      <c r="AJ6" s="269" t="n">
        <v>1046.84</v>
      </c>
      <c r="AK6" s="270" t="n"/>
      <c r="AL6" s="270" t="n"/>
      <c r="AM6" s="271" t="n"/>
      <c r="AN6" s="272" t="inlineStr">
        <is>
          <t>DIV</t>
        </is>
      </c>
      <c r="AO6" s="269" t="n">
        <v>128.36</v>
      </c>
      <c r="AP6" s="270" t="n"/>
      <c r="AQ6" s="270" t="n"/>
      <c r="AR6" s="271" t="n"/>
      <c r="AS6" s="272" t="inlineStr">
        <is>
          <t>DIV</t>
        </is>
      </c>
      <c r="AT6" s="269" t="n">
        <v>380.3</v>
      </c>
      <c r="AU6" s="270" t="n"/>
      <c r="AV6" s="270" t="n"/>
      <c r="AW6" s="271" t="n"/>
      <c r="AX6" s="272" t="inlineStr">
        <is>
          <t>DIV</t>
        </is>
      </c>
      <c r="AY6" s="269" t="n">
        <v>163.44</v>
      </c>
      <c r="AZ6" s="270" t="n"/>
      <c r="BA6" s="270" t="n"/>
      <c r="BB6" s="271" t="n"/>
      <c r="BC6" s="272" t="inlineStr">
        <is>
          <t>DIV</t>
        </is>
      </c>
      <c r="BD6" s="269" t="n">
        <v>156.87</v>
      </c>
      <c r="BE6" s="270" t="n"/>
      <c r="BF6" s="270" t="n"/>
      <c r="BG6" s="273" t="n"/>
      <c r="BH6" s="272" t="inlineStr">
        <is>
          <t>DIV</t>
        </is>
      </c>
      <c r="BI6" s="269" t="n">
        <v>177.86</v>
      </c>
      <c r="BJ6" s="270" t="n"/>
      <c r="BK6" s="270" t="n"/>
      <c r="BL6" s="273" t="n"/>
      <c r="BM6" s="272" t="inlineStr">
        <is>
          <t>DIV</t>
        </is>
      </c>
      <c r="BN6" s="269" t="n">
        <v>915.58</v>
      </c>
      <c r="BO6" s="270" t="n"/>
      <c r="BP6" s="270" t="n"/>
      <c r="BQ6" s="271" t="n"/>
      <c r="BR6" s="272" t="inlineStr">
        <is>
          <t>DIV</t>
        </is>
      </c>
      <c r="BS6" s="269" t="n">
        <v>313.13</v>
      </c>
      <c r="BT6" s="270" t="n"/>
      <c r="BU6" s="270" t="n"/>
      <c r="BV6" s="271" t="n"/>
      <c r="BW6" s="272" t="inlineStr">
        <is>
          <t>DIV</t>
        </is>
      </c>
      <c r="BX6" s="269" t="n"/>
      <c r="BY6" s="270" t="n"/>
      <c r="BZ6" s="270" t="n"/>
      <c r="CA6" s="271" t="n"/>
      <c r="CB6" s="272" t="inlineStr">
        <is>
          <t>DIV</t>
        </is>
      </c>
      <c r="CC6" s="269" t="n"/>
      <c r="CD6" s="270" t="n"/>
      <c r="CE6" s="270" t="n"/>
      <c r="CF6" s="271" t="n"/>
      <c r="CG6" s="240" t="inlineStr">
        <is>
          <t>UNA MARCA</t>
        </is>
      </c>
      <c r="CH6" s="241" t="n"/>
      <c r="CI6" s="242" t="n"/>
      <c r="CJ6" s="240" t="inlineStr">
        <is>
          <t>DOS MARCAS</t>
        </is>
      </c>
      <c r="CK6" s="241" t="n"/>
      <c r="CL6" s="242" t="n"/>
      <c r="CM6" s="240" t="inlineStr">
        <is>
          <t>TRES MARCAS</t>
        </is>
      </c>
      <c r="CN6" s="241" t="n"/>
      <c r="CO6" s="242" t="n"/>
      <c r="CP6" s="237" t="inlineStr">
        <is>
          <t>FIJAS</t>
        </is>
      </c>
      <c r="CQ6" s="238" t="n"/>
      <c r="CR6" s="239" t="n"/>
      <c r="CS6" s="280" t="inlineStr">
        <is>
          <t>SEMANA</t>
        </is>
      </c>
      <c r="CT6" s="281" t="inlineStr">
        <is>
          <t>VIENEN</t>
        </is>
      </c>
      <c r="CU6" s="279" t="inlineStr">
        <is>
          <t>GENERAL</t>
        </is>
      </c>
      <c r="CV6" s="448" t="inlineStr">
        <is>
          <t>PAGO</t>
        </is>
      </c>
      <c r="CW6" s="576" t="n"/>
      <c r="DB6" s="400" t="inlineStr">
        <is>
          <t>ACIERTO DE FIJAS</t>
        </is>
      </c>
      <c r="DC6" s="400" t="n"/>
      <c r="DD6" s="400" t="n"/>
      <c r="DE6" s="400" t="n"/>
      <c r="DF6" s="400" t="n"/>
      <c r="DG6" s="400" t="n"/>
      <c r="DH6" s="400" t="n"/>
      <c r="DI6" s="400" t="n"/>
      <c r="DJ6" s="400" t="n"/>
      <c r="DK6" s="400" t="n"/>
      <c r="DL6" s="400" t="n"/>
      <c r="DM6" s="400" t="n"/>
      <c r="DN6" s="400" t="n"/>
      <c r="DO6" s="400" t="n"/>
      <c r="DP6" s="400" t="n"/>
      <c r="DQ6" s="400" t="n"/>
      <c r="DR6" s="400" t="n"/>
      <c r="DT6" s="397" t="inlineStr">
        <is>
          <t>ACIERTO DE SUPERFIJAS</t>
        </is>
      </c>
      <c r="DU6" s="398" t="n"/>
      <c r="DV6" s="398" t="n"/>
      <c r="DW6" s="398" t="n"/>
      <c r="DX6" s="398" t="n"/>
      <c r="DY6" s="398" t="n"/>
      <c r="DZ6" s="398" t="n"/>
      <c r="EA6" s="398" t="n"/>
      <c r="EB6" s="398" t="n"/>
      <c r="EC6" s="398" t="n"/>
      <c r="ED6" s="398" t="n"/>
      <c r="EE6" s="398" t="n"/>
      <c r="EF6" s="398" t="n"/>
      <c r="EG6" s="398" t="n"/>
      <c r="EH6" s="398" t="n"/>
      <c r="EI6" s="398" t="n"/>
      <c r="EJ6" s="399" t="n"/>
    </row>
    <row r="7" ht="27.75" customHeight="1" s="568">
      <c r="A7" s="576" t="n"/>
      <c r="B7" s="410" t="inlineStr">
        <is>
          <t>0</t>
        </is>
      </c>
      <c r="C7" s="405" t="inlineStr">
        <is>
          <t>COD</t>
        </is>
      </c>
      <c r="D7" s="405" t="inlineStr">
        <is>
          <t>TIPO</t>
        </is>
      </c>
      <c r="E7" s="406" t="inlineStr">
        <is>
          <t>1</t>
        </is>
      </c>
      <c r="F7" s="406" t="inlineStr">
        <is>
          <t>2</t>
        </is>
      </c>
      <c r="G7" s="406" t="inlineStr">
        <is>
          <t>22</t>
        </is>
      </c>
      <c r="H7" s="406" t="inlineStr">
        <is>
          <t>3</t>
        </is>
      </c>
      <c r="I7" s="406" t="inlineStr">
        <is>
          <t>PTS</t>
        </is>
      </c>
      <c r="J7" s="406" t="inlineStr">
        <is>
          <t>12</t>
        </is>
      </c>
      <c r="K7" s="406" t="inlineStr">
        <is>
          <t>Columna2</t>
        </is>
      </c>
      <c r="L7" s="406" t="inlineStr">
        <is>
          <t>Columna23</t>
        </is>
      </c>
      <c r="M7" s="406" t="inlineStr">
        <is>
          <t>Columna28</t>
        </is>
      </c>
      <c r="N7" s="406" t="inlineStr">
        <is>
          <t>Columna3</t>
        </is>
      </c>
      <c r="O7" s="406" t="inlineStr">
        <is>
          <t>Columna4</t>
        </is>
      </c>
      <c r="P7" s="406" t="inlineStr">
        <is>
          <t>Columna5</t>
        </is>
      </c>
      <c r="Q7" s="406" t="inlineStr">
        <is>
          <t>Columna53</t>
        </is>
      </c>
      <c r="R7" s="406" t="inlineStr">
        <is>
          <t>Columna52</t>
        </is>
      </c>
      <c r="S7" s="406" t="inlineStr">
        <is>
          <t>Columna6</t>
        </is>
      </c>
      <c r="T7" s="406" t="inlineStr">
        <is>
          <t>Columna7</t>
        </is>
      </c>
      <c r="U7" s="406" t="inlineStr">
        <is>
          <t>Columna8</t>
        </is>
      </c>
      <c r="V7" s="406" t="inlineStr">
        <is>
          <t>Columna83</t>
        </is>
      </c>
      <c r="W7" s="406" t="inlineStr">
        <is>
          <t>Columna82</t>
        </is>
      </c>
      <c r="X7" s="406" t="inlineStr">
        <is>
          <t>Columna9</t>
        </is>
      </c>
      <c r="Y7" s="406" t="inlineStr">
        <is>
          <t>Columna10</t>
        </is>
      </c>
      <c r="Z7" s="406" t="inlineStr">
        <is>
          <t>Columna11</t>
        </is>
      </c>
      <c r="AA7" s="406" t="inlineStr">
        <is>
          <t>Columna113</t>
        </is>
      </c>
      <c r="AB7" s="406" t="inlineStr">
        <is>
          <t>Columna112</t>
        </is>
      </c>
      <c r="AC7" s="406" t="inlineStr">
        <is>
          <t>Columna12</t>
        </is>
      </c>
      <c r="AD7" s="406" t="inlineStr">
        <is>
          <t>1RA</t>
        </is>
      </c>
      <c r="AE7" s="406" t="inlineStr">
        <is>
          <t>2DA</t>
        </is>
      </c>
      <c r="AF7" s="406" t="inlineStr">
        <is>
          <t>2DA2</t>
        </is>
      </c>
      <c r="AG7" s="406" t="inlineStr">
        <is>
          <t>3RA</t>
        </is>
      </c>
      <c r="AH7" s="406" t="inlineStr">
        <is>
          <t>Columna15</t>
        </is>
      </c>
      <c r="AI7" s="406" t="inlineStr">
        <is>
          <t>Columna16</t>
        </is>
      </c>
      <c r="AJ7" s="406" t="inlineStr">
        <is>
          <t>Columna17</t>
        </is>
      </c>
      <c r="AK7" s="406" t="inlineStr">
        <is>
          <t>Columna173</t>
        </is>
      </c>
      <c r="AL7" s="406" t="inlineStr">
        <is>
          <t>Columna172</t>
        </is>
      </c>
      <c r="AM7" s="406" t="inlineStr">
        <is>
          <t>Columna18</t>
        </is>
      </c>
      <c r="AN7" s="406" t="inlineStr">
        <is>
          <t>123</t>
        </is>
      </c>
      <c r="AO7" s="406" t="inlineStr">
        <is>
          <t>555</t>
        </is>
      </c>
      <c r="AP7" s="406" t="inlineStr">
        <is>
          <t>556</t>
        </is>
      </c>
      <c r="AQ7" s="406" t="inlineStr">
        <is>
          <t>111</t>
        </is>
      </c>
      <c r="AR7" s="406" t="inlineStr">
        <is>
          <t>Columna21</t>
        </is>
      </c>
      <c r="AS7" s="407" t="inlineStr">
        <is>
          <t>AAAA</t>
        </is>
      </c>
      <c r="AT7" s="407" t="inlineStr">
        <is>
          <t>BBBB</t>
        </is>
      </c>
      <c r="AU7" s="407" t="inlineStr">
        <is>
          <t>Columna13</t>
        </is>
      </c>
      <c r="AV7" s="407" t="inlineStr">
        <is>
          <t>CCCC</t>
        </is>
      </c>
      <c r="AW7" s="407" t="inlineStr">
        <is>
          <t>Columna24</t>
        </is>
      </c>
      <c r="AX7" s="404" t="inlineStr">
        <is>
          <t>Columna25</t>
        </is>
      </c>
      <c r="AY7" s="408" t="inlineStr">
        <is>
          <t>Columna26</t>
        </is>
      </c>
      <c r="AZ7" s="409" t="inlineStr">
        <is>
          <t>Columna263</t>
        </is>
      </c>
      <c r="BA7" s="409" t="inlineStr">
        <is>
          <t>Columna262</t>
        </is>
      </c>
      <c r="BB7" s="410" t="inlineStr">
        <is>
          <t>Columna27</t>
        </is>
      </c>
      <c r="BC7" s="409" t="inlineStr">
        <is>
          <t>Columna272</t>
        </is>
      </c>
      <c r="BD7" s="409" t="inlineStr">
        <is>
          <t>Columna273</t>
        </is>
      </c>
      <c r="BE7" s="409" t="inlineStr">
        <is>
          <t>Columna2732</t>
        </is>
      </c>
      <c r="BF7" s="409" t="inlineStr">
        <is>
          <t>Columna274</t>
        </is>
      </c>
      <c r="BG7" s="409" t="inlineStr">
        <is>
          <t>Columna275</t>
        </is>
      </c>
      <c r="BH7" s="409" t="inlineStr">
        <is>
          <t>Columna276</t>
        </is>
      </c>
      <c r="BI7" s="409" t="inlineStr">
        <is>
          <t>Columna277</t>
        </is>
      </c>
      <c r="BJ7" s="409" t="inlineStr">
        <is>
          <t>Columna2772</t>
        </is>
      </c>
      <c r="BK7" s="409" t="inlineStr">
        <is>
          <t>Columna278</t>
        </is>
      </c>
      <c r="BL7" s="409" t="inlineStr">
        <is>
          <t>Columna279</t>
        </is>
      </c>
      <c r="BM7" s="409" t="inlineStr">
        <is>
          <t>Columna280</t>
        </is>
      </c>
      <c r="BN7" s="409" t="inlineStr">
        <is>
          <t>Columna281</t>
        </is>
      </c>
      <c r="BO7" s="409" t="inlineStr">
        <is>
          <t>Columna2812</t>
        </is>
      </c>
      <c r="BP7" s="409" t="inlineStr">
        <is>
          <t>Columna282</t>
        </is>
      </c>
      <c r="BQ7" s="409" t="inlineStr">
        <is>
          <t>Columna283</t>
        </is>
      </c>
      <c r="BR7" s="409" t="inlineStr">
        <is>
          <t>Columna2802</t>
        </is>
      </c>
      <c r="BS7" s="409" t="inlineStr">
        <is>
          <t>Columna2813</t>
        </is>
      </c>
      <c r="BT7" s="409" t="inlineStr">
        <is>
          <t>Columna28124</t>
        </is>
      </c>
      <c r="BU7" s="409" t="inlineStr">
        <is>
          <t>Columna2825</t>
        </is>
      </c>
      <c r="BV7" s="409" t="inlineStr">
        <is>
          <t>Columna28310</t>
        </is>
      </c>
      <c r="BW7" s="409" t="inlineStr">
        <is>
          <t>Columna2803</t>
        </is>
      </c>
      <c r="BX7" s="409" t="inlineStr">
        <is>
          <t>Columna2814</t>
        </is>
      </c>
      <c r="BY7" s="409" t="inlineStr">
        <is>
          <t>Columna28125</t>
        </is>
      </c>
      <c r="BZ7" s="409" t="inlineStr">
        <is>
          <t>Columna2826</t>
        </is>
      </c>
      <c r="CA7" s="409" t="inlineStr">
        <is>
          <t>Columna2837</t>
        </is>
      </c>
      <c r="CB7" s="409" t="inlineStr">
        <is>
          <t>Columna2804</t>
        </is>
      </c>
      <c r="CC7" s="409" t="inlineStr">
        <is>
          <t>Columna2815</t>
        </is>
      </c>
      <c r="CD7" s="409" t="inlineStr">
        <is>
          <t>Columna28126</t>
        </is>
      </c>
      <c r="CE7" s="409" t="inlineStr">
        <is>
          <t>Columna2827</t>
        </is>
      </c>
      <c r="CF7" s="409" t="inlineStr">
        <is>
          <t>Columna2838</t>
        </is>
      </c>
      <c r="CG7" s="411" t="inlineStr">
        <is>
          <t>Columna14</t>
        </is>
      </c>
      <c r="CH7" s="411" t="inlineStr">
        <is>
          <t>Columna19</t>
        </is>
      </c>
      <c r="CI7" s="412" t="inlineStr">
        <is>
          <t>Columna20</t>
        </is>
      </c>
      <c r="CJ7" s="411" t="inlineStr">
        <is>
          <t>Columna29</t>
        </is>
      </c>
      <c r="CK7" s="411" t="inlineStr">
        <is>
          <t>Columna30</t>
        </is>
      </c>
      <c r="CL7" s="412" t="inlineStr">
        <is>
          <t>Columna31</t>
        </is>
      </c>
      <c r="CM7" s="413" t="inlineStr">
        <is>
          <t>Columna32</t>
        </is>
      </c>
      <c r="CN7" s="411" t="inlineStr">
        <is>
          <t>Columna34</t>
        </is>
      </c>
      <c r="CO7" s="412" t="inlineStr">
        <is>
          <t>Columna35</t>
        </is>
      </c>
      <c r="CP7" s="413" t="inlineStr">
        <is>
          <t>Columna36</t>
        </is>
      </c>
      <c r="CQ7" s="411" t="inlineStr">
        <is>
          <t>Columna37</t>
        </is>
      </c>
      <c r="CR7" s="411" t="inlineStr">
        <is>
          <t>Columna38</t>
        </is>
      </c>
      <c r="CS7" s="414" t="inlineStr">
        <is>
          <t>Columna1</t>
        </is>
      </c>
      <c r="CT7" s="414" t="inlineStr">
        <is>
          <t>Columna22</t>
        </is>
      </c>
      <c r="CU7" s="414" t="inlineStr">
        <is>
          <t>Columna33</t>
        </is>
      </c>
      <c r="CV7" s="408" t="inlineStr">
        <is>
          <t>Columna44</t>
        </is>
      </c>
      <c r="CW7" s="576" t="n"/>
      <c r="CY7" t="inlineStr">
        <is>
          <t>CARRERA</t>
        </is>
      </c>
      <c r="CZ7" t="inlineStr">
        <is>
          <t>DIVIDENDO</t>
        </is>
      </c>
      <c r="DB7" s="401" t="inlineStr">
        <is>
          <t>CODIGO</t>
        </is>
      </c>
      <c r="DC7" s="402" t="n">
        <v>1</v>
      </c>
      <c r="DD7" s="401" t="n">
        <v>2</v>
      </c>
      <c r="DE7" s="401" t="n">
        <v>3</v>
      </c>
      <c r="DF7" s="401" t="n">
        <v>4</v>
      </c>
      <c r="DG7" s="401" t="n">
        <v>5</v>
      </c>
      <c r="DH7" s="401" t="n">
        <v>6</v>
      </c>
      <c r="DI7" s="401" t="n">
        <v>7</v>
      </c>
      <c r="DJ7" s="401" t="n">
        <v>8</v>
      </c>
      <c r="DK7" s="401" t="n">
        <v>9</v>
      </c>
      <c r="DL7" s="401" t="n">
        <v>10</v>
      </c>
      <c r="DM7" s="401" t="n">
        <v>11</v>
      </c>
      <c r="DN7" s="401" t="n">
        <v>12</v>
      </c>
      <c r="DO7" s="401" t="n">
        <v>13</v>
      </c>
      <c r="DP7" s="401" t="n">
        <v>14</v>
      </c>
      <c r="DQ7" s="401" t="n">
        <v>15</v>
      </c>
      <c r="DR7" s="401" t="n">
        <v>16</v>
      </c>
      <c r="DT7" s="401" t="inlineStr">
        <is>
          <t>CODIGO</t>
        </is>
      </c>
      <c r="DU7" s="402" t="n">
        <v>1</v>
      </c>
      <c r="DV7" s="401" t="n">
        <v>2</v>
      </c>
      <c r="DW7" s="401" t="n">
        <v>3</v>
      </c>
      <c r="DX7" s="401" t="n">
        <v>4</v>
      </c>
      <c r="DY7" s="401" t="n">
        <v>5</v>
      </c>
      <c r="DZ7" s="401" t="n">
        <v>6</v>
      </c>
      <c r="EA7" s="401" t="n">
        <v>7</v>
      </c>
      <c r="EB7" s="401" t="n">
        <v>8</v>
      </c>
      <c r="EC7" s="401" t="n">
        <v>9</v>
      </c>
      <c r="ED7" s="401" t="n">
        <v>10</v>
      </c>
      <c r="EE7" s="401" t="n">
        <v>11</v>
      </c>
      <c r="EF7" s="401" t="n">
        <v>12</v>
      </c>
      <c r="EG7" s="401" t="n">
        <v>13</v>
      </c>
      <c r="EH7" s="401" t="n">
        <v>14</v>
      </c>
      <c r="EI7" s="401" t="n">
        <v>15</v>
      </c>
      <c r="EJ7" s="401" t="n">
        <v>16</v>
      </c>
    </row>
    <row r="8" ht="20.1" customHeight="1" s="568">
      <c r="A8" s="576" t="n"/>
      <c r="B8" s="449">
        <f>IF(SEMANA2[[#This Row],[COD]]&lt;&gt;"",B7+1,"")</f>
        <v/>
      </c>
      <c r="C8" s="622" t="inlineStr">
        <is>
          <t>COD 01</t>
        </is>
      </c>
      <c r="D8" s="415">
        <f t="array" ref="D8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8" s="416" t="n">
        <v>9</v>
      </c>
      <c r="F8" s="418" t="n">
        <v>2</v>
      </c>
      <c r="G8" s="418" t="n">
        <v>6</v>
      </c>
      <c r="H8" s="418" t="n"/>
      <c r="I8" s="602">
        <f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f>
        <v/>
      </c>
      <c r="J8" s="416" t="n">
        <v>2</v>
      </c>
      <c r="K8" s="418" t="n">
        <v>1</v>
      </c>
      <c r="L8" s="418" t="n">
        <v>6</v>
      </c>
      <c r="M8" s="418" t="n"/>
      <c r="N8" s="602">
        <f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f>
        <v/>
      </c>
      <c r="O8" s="416" t="n">
        <v>1</v>
      </c>
      <c r="P8" s="418" t="n">
        <v>5</v>
      </c>
      <c r="Q8" s="418" t="n">
        <v>8</v>
      </c>
      <c r="R8" s="418" t="n"/>
      <c r="S8" s="602">
        <f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f>
        <v/>
      </c>
      <c r="T8" s="416" t="n">
        <v>3</v>
      </c>
      <c r="U8" s="418" t="n">
        <v>1</v>
      </c>
      <c r="V8" s="418" t="n">
        <v>4</v>
      </c>
      <c r="W8" s="418" t="n"/>
      <c r="X8" s="602">
        <f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f>
        <v/>
      </c>
      <c r="Y8" s="416" t="n">
        <v>2</v>
      </c>
      <c r="Z8" s="418" t="n">
        <v>7</v>
      </c>
      <c r="AA8" s="418" t="n">
        <v>1</v>
      </c>
      <c r="AB8" s="418" t="n"/>
      <c r="AC8" s="602">
        <f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f>
        <v/>
      </c>
      <c r="AD8" s="416" t="n">
        <v>5</v>
      </c>
      <c r="AE8" s="418" t="n">
        <v>4</v>
      </c>
      <c r="AF8" s="418" t="n">
        <v>7</v>
      </c>
      <c r="AG8" s="418" t="n"/>
      <c r="AH8" s="602">
        <f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f>
        <v/>
      </c>
      <c r="AI8" s="416" t="n">
        <v>7</v>
      </c>
      <c r="AJ8" s="418" t="n">
        <v>6</v>
      </c>
      <c r="AK8" s="418" t="n">
        <v>2</v>
      </c>
      <c r="AL8" s="418" t="inlineStr">
        <is>
          <t>F</t>
        </is>
      </c>
      <c r="AM8" s="602">
        <f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f>
        <v/>
      </c>
      <c r="AN8" s="416" t="n">
        <v>8</v>
      </c>
      <c r="AO8" s="418" t="n"/>
      <c r="AP8" s="418" t="n"/>
      <c r="AQ8" s="418" t="inlineStr">
        <is>
          <t>SF</t>
        </is>
      </c>
      <c r="AR8" s="602">
        <f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f>
        <v/>
      </c>
      <c r="AS8" s="416" t="n">
        <v>2</v>
      </c>
      <c r="AT8" s="418" t="n">
        <v>1</v>
      </c>
      <c r="AU8" s="418" t="n">
        <v>8</v>
      </c>
      <c r="AV8" s="418" t="n"/>
      <c r="AW8" s="602">
        <f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f>
        <v/>
      </c>
      <c r="AX8" s="416" t="n">
        <v>10</v>
      </c>
      <c r="AY8" s="418" t="n">
        <v>2</v>
      </c>
      <c r="AZ8" s="418" t="n">
        <v>1</v>
      </c>
      <c r="BA8" s="418" t="n"/>
      <c r="BB8" s="602">
        <f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f>
        <v/>
      </c>
      <c r="BC8" s="416" t="n">
        <v>7</v>
      </c>
      <c r="BD8" s="418" t="n">
        <v>5</v>
      </c>
      <c r="BE8" s="418" t="n">
        <v>3</v>
      </c>
      <c r="BF8" s="418" t="n"/>
      <c r="BG8" s="602">
        <f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f>
        <v/>
      </c>
      <c r="BH8" s="416" t="n">
        <v>6</v>
      </c>
      <c r="BI8" s="418" t="n">
        <v>2</v>
      </c>
      <c r="BJ8" s="418" t="n">
        <v>1</v>
      </c>
      <c r="BK8" s="418" t="inlineStr">
        <is>
          <t>F</t>
        </is>
      </c>
      <c r="BL8" s="602">
        <f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f>
        <v/>
      </c>
      <c r="BM8" s="416" t="n">
        <v>3</v>
      </c>
      <c r="BN8" s="418" t="n">
        <v>4</v>
      </c>
      <c r="BO8" s="418" t="n">
        <v>5</v>
      </c>
      <c r="BP8" s="418" t="n"/>
      <c r="BQ8" s="602">
        <f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f>
        <v/>
      </c>
      <c r="BR8" s="416" t="n">
        <v>2</v>
      </c>
      <c r="BS8" s="418" t="n">
        <v>11</v>
      </c>
      <c r="BT8" s="418" t="n">
        <v>9</v>
      </c>
      <c r="BU8" s="418" t="n"/>
      <c r="BV8" s="602">
        <f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f>
        <v/>
      </c>
      <c r="BW8" s="416" t="n"/>
      <c r="BX8" s="418" t="n"/>
      <c r="BY8" s="418" t="n"/>
      <c r="BZ8" s="418" t="n"/>
      <c r="CA8" s="602">
        <f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f>
        <v/>
      </c>
      <c r="CB8" s="416" t="n"/>
      <c r="CC8" s="418" t="n"/>
      <c r="CD8" s="418" t="n"/>
      <c r="CE8" s="418" t="n"/>
      <c r="CF8" s="602">
        <f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f>
        <v/>
      </c>
      <c r="CG8" s="164">
        <f>IF(SEMANA2[[#This Row],[1]]="",0,$B$4)</f>
        <v/>
      </c>
      <c r="CH8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8" s="166">
        <f>IF(SEMANA2[[#This Row],[Columna14]]=0,0,(CH8/CG8))</f>
        <v/>
      </c>
      <c r="CJ8" s="165">
        <f>IF(SEMANA2[[#This Row],[1]]="",0,$B$4)</f>
        <v/>
      </c>
      <c r="CK8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8" s="166">
        <f>IF(SEMANA2[[#This Row],[Columna14]]=0,0,(CK8/CJ8))</f>
        <v/>
      </c>
      <c r="CM8" s="164">
        <f>IF(SEMANA2[[#This Row],[1]]="",0,$B$4)</f>
        <v/>
      </c>
      <c r="CN8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8" s="166">
        <f>IF(SEMANA2[[#This Row],[Columna14]]=0,0,(CN8/CM8))</f>
        <v/>
      </c>
      <c r="CP8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8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Row],[Columna25]],$AX$5,BA8,"SF")+COUNTIFS(SEMANA2[[#This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8" s="166">
        <f>IFERROR(IF(SEMANA2[[#This Row],[Columna14]]=0,0,(CQ8/CP8)),0)</f>
        <v/>
      </c>
      <c r="CS8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8" s="95">
        <f>_xlfn.XLOOKUP(SEMANA2[[#This Row],[COD]],BASE01[COD],BASE01[Columna33])</f>
        <v/>
      </c>
      <c r="CU8" s="604">
        <f>SUM(CS8,CT8)</f>
        <v/>
      </c>
      <c r="CV8" s="450">
        <f>IF(SEMANA2[[#This Row],[TIPO]]="PREMIO",$O$3,"0,00")</f>
        <v/>
      </c>
      <c r="CW8" s="576" t="n"/>
      <c r="CY8" s="393" t="n">
        <v>1</v>
      </c>
      <c r="CZ8" s="354">
        <f>F$6</f>
        <v/>
      </c>
      <c r="DB8" s="605">
        <f>SEMANA2[[#This Row],[COD]]</f>
        <v/>
      </c>
      <c r="DC8" s="395">
        <f t="array" ref="DC8">IFERROR(IF(AND(INDEX($E$8:$CE$57, MATCH($C8, $C$8:$C$57, 0), (COLUMNS($DC8:DC8)-1)*5 + 1) = INDEX($E$5:$CE$5, 1, (COLUMNS($DC8:DC8)-1)*5 + 1), INDEX($E$8:$CE$57, MATCH($C8, $C$8:$C$57, 0), (COLUMNS($DC8:DC8)-1)*5 + 4) = "F"), INDEX($CZ$8:$CZ$23, COLUMNS($DC8:DC8)), "0"), "")</f>
        <v/>
      </c>
      <c r="DD8" s="395">
        <f t="array" ref="DD8">IFERROR(IF(AND(INDEX($E$8:$CE$57, MATCH($C8, $C$8:$C$57, 0), (COLUMNS($DC8:DD8)-1)*5 + 1) = INDEX($E$5:$CE$5, 1, (COLUMNS($DC8:DD8)-1)*5 + 1), INDEX($E$8:$CE$57, MATCH($C8, $C$8:$C$57, 0), (COLUMNS($DC8:DD8)-1)*5 + 4) = "F"), INDEX($CZ$8:$CZ$23, COLUMNS($DC8:DD8)), "0"), "")</f>
        <v/>
      </c>
      <c r="DE8" s="395">
        <f t="array" ref="DE8">IFERROR(IF(AND(INDEX($E$8:$CE$57, MATCH($C8, $C$8:$C$57, 0), (COLUMNS($DC8:DE8)-1)*5 + 1) = INDEX($E$5:$CE$5, 1, (COLUMNS($DC8:DE8)-1)*5 + 1), INDEX($E$8:$CE$57, MATCH($C8, $C$8:$C$57, 0), (COLUMNS($DC8:DE8)-1)*5 + 4) = "F"), INDEX($CZ$8:$CZ$23, COLUMNS($DC8:DE8)), "0"), "")</f>
        <v/>
      </c>
      <c r="DF8" s="395">
        <f t="array" ref="DF8">IFERROR(IF(AND(INDEX($E$8:$CE$57, MATCH($C8, $C$8:$C$57, 0), (COLUMNS($DC8:DF8)-1)*5 + 1) = INDEX($E$5:$CE$5, 1, (COLUMNS($DC8:DF8)-1)*5 + 1), INDEX($E$8:$CE$57, MATCH($C8, $C$8:$C$57, 0), (COLUMNS($DC8:DF8)-1)*5 + 4) = "F"), INDEX($CZ$8:$CZ$23, COLUMNS($DC8:DF8)), "0"), "")</f>
        <v/>
      </c>
      <c r="DG8" s="395">
        <f t="array" ref="DG8">IFERROR(IF(AND(INDEX($E$8:$CE$57, MATCH($C8, $C$8:$C$57, 0), (COLUMNS($DC8:DG8)-1)*5 + 1) = INDEX($E$5:$CE$5, 1, (COLUMNS($DC8:DG8)-1)*5 + 1), INDEX($E$8:$CE$57, MATCH($C8, $C$8:$C$57, 0), (COLUMNS($DC8:DG8)-1)*5 + 4) = "F"), INDEX($CZ$8:$CZ$23, COLUMNS($DC8:DG8)), "0"), "")</f>
        <v/>
      </c>
      <c r="DH8" s="395">
        <f t="array" ref="DH8">IFERROR(IF(AND(INDEX($E$8:$CE$57, MATCH($C8, $C$8:$C$57, 0), (COLUMNS($DC8:DH8)-1)*5 + 1) = INDEX($E$5:$CE$5, 1, (COLUMNS($DC8:DH8)-1)*5 + 1), INDEX($E$8:$CE$57, MATCH($C8, $C$8:$C$57, 0), (COLUMNS($DC8:DH8)-1)*5 + 4) = "F"), INDEX($CZ$8:$CZ$23, COLUMNS($DC8:DH8)), "0"), "")</f>
        <v/>
      </c>
      <c r="DI8" s="395">
        <f t="array" ref="DI8">IFERROR(IF(AND(INDEX($E$8:$CE$57, MATCH($C8, $C$8:$C$57, 0), (COLUMNS($DC8:DI8)-1)*5 + 1) = INDEX($E$5:$CE$5, 1, (COLUMNS($DC8:DI8)-1)*5 + 1), INDEX($E$8:$CE$57, MATCH($C8, $C$8:$C$57, 0), (COLUMNS($DC8:DI8)-1)*5 + 4) = "F"), INDEX($CZ$8:$CZ$23, COLUMNS($DC8:DI8)), "0"), "")</f>
        <v/>
      </c>
      <c r="DJ8" s="395">
        <f t="array" ref="DJ8">IFERROR(IF(AND(INDEX($E$8:$CE$57, MATCH($C8, $C$8:$C$57, 0), (COLUMNS($DC8:DJ8)-1)*5 + 1) = INDEX($E$5:$CE$5, 1, (COLUMNS($DC8:DJ8)-1)*5 + 1), INDEX($E$8:$CE$57, MATCH($C8, $C$8:$C$57, 0), (COLUMNS($DC8:DJ8)-1)*5 + 4) = "F"), INDEX($CZ$8:$CZ$23, COLUMNS($DC8:DJ8)), "0"), "")</f>
        <v/>
      </c>
      <c r="DK8" s="395">
        <f t="array" ref="DK8">IFERROR(IF(AND(INDEX($E$8:$CE$57, MATCH($C8, $C$8:$C$57, 0), (COLUMNS($DC8:DK8)-1)*5 + 1) = INDEX($E$5:$CE$5, 1, (COLUMNS($DC8:DK8)-1)*5 + 1), INDEX($E$8:$CE$57, MATCH($C8, $C$8:$C$57, 0), (COLUMNS($DC8:DK8)-1)*5 + 4) = "F"), INDEX($CZ$8:$CZ$23, COLUMNS($DC8:DK8)), "0"), "")</f>
        <v/>
      </c>
      <c r="DL8" s="395">
        <f t="array" ref="DL8">IFERROR(IF(AND(INDEX($E$8:$CE$57, MATCH($C8, $C$8:$C$57, 0), (COLUMNS($DC8:DL8)-1)*5 + 1) = INDEX($E$5:$CE$5, 1, (COLUMNS($DC8:DL8)-1)*5 + 1), INDEX($E$8:$CE$57, MATCH($C8, $C$8:$C$57, 0), (COLUMNS($DC8:DL8)-1)*5 + 4) = "F"), INDEX($CZ$8:$CZ$23, COLUMNS($DC8:DL8)), "0"), "")</f>
        <v/>
      </c>
      <c r="DM8" s="395">
        <f t="array" ref="DM8">IFERROR(IF(AND(INDEX($E$8:$CE$57, MATCH($C8, $C$8:$C$57, 0), (COLUMNS($DC8:DM8)-1)*5 + 1) = INDEX($E$5:$CE$5, 1, (COLUMNS($DC8:DM8)-1)*5 + 1), INDEX($E$8:$CE$57, MATCH($C8, $C$8:$C$57, 0), (COLUMNS($DC8:DM8)-1)*5 + 4) = "F"), INDEX($CZ$8:$CZ$23, COLUMNS($DC8:DM8)), "0"), "")</f>
        <v/>
      </c>
      <c r="DN8" s="395">
        <f t="array" ref="DN8">IFERROR(IF(AND(INDEX($E$8:$CE$57, MATCH($C8, $C$8:$C$57, 0), (COLUMNS($DC8:DN8)-1)*5 + 1) = INDEX($E$5:$CE$5, 1, (COLUMNS($DC8:DN8)-1)*5 + 1), INDEX($E$8:$CE$57, MATCH($C8, $C$8:$C$57, 0), (COLUMNS($DC8:DN8)-1)*5 + 4) = "F"), INDEX($CZ$8:$CZ$23, COLUMNS($DC8:DN8)), "0"), "")</f>
        <v/>
      </c>
      <c r="DO8" s="395">
        <f t="array" ref="DO8">IFERROR(IF(AND(INDEX($E$8:$CE$57, MATCH($C8, $C$8:$C$57, 0), (COLUMNS($DC8:DO8)-1)*5 + 1) = INDEX($E$5:$CE$5, 1, (COLUMNS($DC8:DO8)-1)*5 + 1), INDEX($E$8:$CE$57, MATCH($C8, $C$8:$C$57, 0), (COLUMNS($DC8:DO8)-1)*5 + 4) = "F"), INDEX($CZ$8:$CZ$23, COLUMNS($DC8:DO8)), "0"), "")</f>
        <v/>
      </c>
      <c r="DP8" s="395">
        <f t="array" ref="DP8">IFERROR(IF(AND(INDEX($E$8:$CE$57, MATCH($C8, $C$8:$C$57, 0), (COLUMNS($DC8:DP8)-1)*5 + 1) = INDEX($E$5:$CE$5, 1, (COLUMNS($DC8:DP8)-1)*5 + 1), INDEX($E$8:$CE$57, MATCH($C8, $C$8:$C$57, 0), (COLUMNS($DC8:DP8)-1)*5 + 4) = "F"), INDEX($CZ$8:$CZ$23, COLUMNS($DC8:DP8)), "0"), "")</f>
        <v/>
      </c>
      <c r="DQ8" s="395">
        <f t="array" ref="DQ8">IFERROR(IF(AND(INDEX($E$8:$CE$57, MATCH($C8, $C$8:$C$57, 0), (COLUMNS($DC8:DQ8)-1)*5 + 1) = INDEX($E$5:$CE$5, 1, (COLUMNS($DC8:DQ8)-1)*5 + 1), INDEX($E$8:$CE$57, MATCH($C8, $C$8:$C$57, 0), (COLUMNS($DC8:DQ8)-1)*5 + 4) = "F"), INDEX($CZ$8:$CZ$23, COLUMNS($DC8:DQ8)), "0"), "")</f>
        <v/>
      </c>
      <c r="DR8" s="395">
        <f t="array" ref="DR8">IFERROR(IF(AND(INDEX($E$8:$CE$57, MATCH($C8, $C$8:$C$57, 0), (COLUMNS($DC8:DR8)-1)*5 + 1) = INDEX($E$5:$CE$5, 1, (COLUMNS($DC8:DR8)-1)*5 + 1), INDEX($E$8:$CE$57, MATCH($C8, $C$8:$C$57, 0), (COLUMNS($DC8:DR8)-1)*5 + 4) = "F"), INDEX($CZ$8:$CZ$23, COLUMNS($DC8:DR8)), "0"), "")</f>
        <v/>
      </c>
      <c r="DT8" s="605">
        <f>SEMANA2[[#This Row],[COD]]</f>
        <v/>
      </c>
      <c r="DU8" s="395">
        <f t="array" ref="DU8">IFERROR(IF(AND(INDEX($E$8:$CE$57, MATCH($C8, $C$8:$C$57, 0), (COLUMNS($DU8:DU8)-1)*5 + 1) = INDEX($E$5:$CE$5, 1, (COLUMNS($DU8:DU8)-1)*5 + 1), INDEX($E$8:$CE$57, MATCH($C8, $C$8:$C$57, 0), (COLUMNS($DU8:DU8)-1)*5 + 4) = "SF"), INDEX($CZ$8:$CZ$23, COLUMNS($DU8:DU8)), "0"), "")</f>
        <v/>
      </c>
      <c r="DV8" s="395">
        <f t="array" ref="DV8">IFERROR(IF(AND(INDEX($E$8:$CE$57, MATCH($C8, $C$8:$C$57, 0), (COLUMNS($DU8:DV8)-1)*5 + 1) = INDEX($E$5:$CE$5, 1, (COLUMNS($DU8:DV8)-1)*5 + 1), INDEX($E$8:$CE$57, MATCH($C8, $C$8:$C$57, 0), (COLUMNS($DU8:DV8)-1)*5 + 4) = "SF"), INDEX($CZ$8:$CZ$23, COLUMNS($DU8:DV8)), "0"), "")</f>
        <v/>
      </c>
      <c r="DW8" s="395">
        <f t="array" ref="DW8">IFERROR(IF(AND(INDEX($E$8:$CE$57, MATCH($C8, $C$8:$C$57, 0), (COLUMNS($DU8:DW8)-1)*5 + 1) = INDEX($E$5:$CE$5, 1, (COLUMNS($DU8:DW8)-1)*5 + 1), INDEX($E$8:$CE$57, MATCH($C8, $C$8:$C$57, 0), (COLUMNS($DU8:DW8)-1)*5 + 4) = "SF"), INDEX($CZ$8:$CZ$23, COLUMNS($DU8:DW8)), "0"), "")</f>
        <v/>
      </c>
      <c r="DX8" s="395">
        <f t="array" ref="DX8">IFERROR(IF(AND(INDEX($E$8:$CE$57, MATCH($C8, $C$8:$C$57, 0), (COLUMNS($DU8:DX8)-1)*5 + 1) = INDEX($E$5:$CE$5, 1, (COLUMNS($DU8:DX8)-1)*5 + 1), INDEX($E$8:$CE$57, MATCH($C8, $C$8:$C$57, 0), (COLUMNS($DU8:DX8)-1)*5 + 4) = "SF"), INDEX($CZ$8:$CZ$23, COLUMNS($DU8:DX8)), "0"), "")</f>
        <v/>
      </c>
      <c r="DY8" s="395">
        <f t="array" ref="DY8">IFERROR(IF(AND(INDEX($E$8:$CE$57, MATCH($C8, $C$8:$C$57, 0), (COLUMNS($DU8:DY8)-1)*5 + 1) = INDEX($E$5:$CE$5, 1, (COLUMNS($DU8:DY8)-1)*5 + 1), INDEX($E$8:$CE$57, MATCH($C8, $C$8:$C$57, 0), (COLUMNS($DU8:DY8)-1)*5 + 4) = "SF"), INDEX($CZ$8:$CZ$23, COLUMNS($DU8:DY8)), "0"), "")</f>
        <v/>
      </c>
      <c r="DZ8" s="395">
        <f t="array" ref="DZ8">IFERROR(IF(AND(INDEX($E$8:$CE$57, MATCH($C8, $C$8:$C$57, 0), (COLUMNS($DU8:DZ8)-1)*5 + 1) = INDEX($E$5:$CE$5, 1, (COLUMNS($DU8:DZ8)-1)*5 + 1), INDEX($E$8:$CE$57, MATCH($C8, $C$8:$C$57, 0), (COLUMNS($DU8:DZ8)-1)*5 + 4) = "SF"), INDEX($CZ$8:$CZ$23, COLUMNS($DU8:DZ8)), "0"), "")</f>
        <v/>
      </c>
      <c r="EA8" s="395">
        <f t="array" ref="EA8">IFERROR(IF(AND(INDEX($E$8:$CE$57, MATCH($C8, $C$8:$C$57, 0), (COLUMNS($DU8:EA8)-1)*5 + 1) = INDEX($E$5:$CE$5, 1, (COLUMNS($DU8:EA8)-1)*5 + 1), INDEX($E$8:$CE$57, MATCH($C8, $C$8:$C$57, 0), (COLUMNS($DU8:EA8)-1)*5 + 4) = "SF"), INDEX($CZ$8:$CZ$23, COLUMNS($DU8:EA8)), "0"), "")</f>
        <v/>
      </c>
      <c r="EB8" s="395">
        <f t="array" ref="EB8">IFERROR(IF(AND(INDEX($E$8:$CE$57, MATCH($C8, $C$8:$C$57, 0), (COLUMNS($DU8:EB8)-1)*5 + 1) = INDEX($E$5:$CE$5, 1, (COLUMNS($DU8:EB8)-1)*5 + 1), INDEX($E$8:$CE$57, MATCH($C8, $C$8:$C$57, 0), (COLUMNS($DU8:EB8)-1)*5 + 4) = "SF"), INDEX($CZ$8:$CZ$23, COLUMNS($DU8:EB8)), "0"), "")</f>
        <v/>
      </c>
      <c r="EC8" s="395">
        <f t="array" ref="EC8">IFERROR(IF(AND(INDEX($E$8:$CE$57, MATCH($C8, $C$8:$C$57, 0), (COLUMNS($DU8:EC8)-1)*5 + 1) = INDEX($E$5:$CE$5, 1, (COLUMNS($DU8:EC8)-1)*5 + 1), INDEX($E$8:$CE$57, MATCH($C8, $C$8:$C$57, 0), (COLUMNS($DU8:EC8)-1)*5 + 4) = "SF"), INDEX($CZ$8:$CZ$23, COLUMNS($DU8:EC8)), "0"), "")</f>
        <v/>
      </c>
      <c r="ED8" s="395">
        <f t="array" ref="ED8">IFERROR(IF(AND(INDEX($E$8:$CE$57, MATCH($C8, $C$8:$C$57, 0), (COLUMNS($DU8:ED8)-1)*5 + 1) = INDEX($E$5:$CE$5, 1, (COLUMNS($DU8:ED8)-1)*5 + 1), INDEX($E$8:$CE$57, MATCH($C8, $C$8:$C$57, 0), (COLUMNS($DU8:ED8)-1)*5 + 4) = "SF"), INDEX($CZ$8:$CZ$23, COLUMNS($DU8:ED8)), "0"), "")</f>
        <v/>
      </c>
      <c r="EE8" s="395">
        <f t="array" ref="EE8">IFERROR(IF(AND(INDEX($E$8:$CE$57, MATCH($C8, $C$8:$C$57, 0), (COLUMNS($DU8:EE8)-1)*5 + 1) = INDEX($E$5:$CE$5, 1, (COLUMNS($DU8:EE8)-1)*5 + 1), INDEX($E$8:$CE$57, MATCH($C8, $C$8:$C$57, 0), (COLUMNS($DU8:EE8)-1)*5 + 4) = "SF"), INDEX($CZ$8:$CZ$23, COLUMNS($DU8:EE8)), "0"), "")</f>
        <v/>
      </c>
      <c r="EF8" s="395">
        <f t="array" ref="EF8">IFERROR(IF(AND(INDEX($E$8:$CE$57, MATCH($C8, $C$8:$C$57, 0), (COLUMNS($DU8:EF8)-1)*5 + 1) = INDEX($E$5:$CE$5, 1, (COLUMNS($DU8:EF8)-1)*5 + 1), INDEX($E$8:$CE$57, MATCH($C8, $C$8:$C$57, 0), (COLUMNS($DU8:EF8)-1)*5 + 4) = "SF"), INDEX($CZ$8:$CZ$23, COLUMNS($DU8:EF8)), "0"), "")</f>
        <v/>
      </c>
      <c r="EG8" s="395">
        <f t="array" ref="EG8">IFERROR(IF(AND(INDEX($E$8:$CE$57, MATCH($C8, $C$8:$C$57, 0), (COLUMNS($DU8:EG8)-1)*5 + 1) = INDEX($E$5:$CE$5, 1, (COLUMNS($DU8:EG8)-1)*5 + 1), INDEX($E$8:$CE$57, MATCH($C8, $C$8:$C$57, 0), (COLUMNS($DU8:EG8)-1)*5 + 4) = "SF"), INDEX($CZ$8:$CZ$23, COLUMNS($DU8:EG8)), "0"), "")</f>
        <v/>
      </c>
      <c r="EH8" s="395">
        <f t="array" ref="EH8">IFERROR(IF(AND(INDEX($E$8:$CE$57, MATCH($C8, $C$8:$C$57, 0), (COLUMNS($DU8:EH8)-1)*5 + 1) = INDEX($E$5:$CE$5, 1, (COLUMNS($DU8:EH8)-1)*5 + 1), INDEX($E$8:$CE$57, MATCH($C8, $C$8:$C$57, 0), (COLUMNS($DU8:EH8)-1)*5 + 4) = "SF"), INDEX($CZ$8:$CZ$23, COLUMNS($DU8:EH8)), "0"), "")</f>
        <v/>
      </c>
      <c r="EI8" s="395">
        <f t="array" ref="EI8">IFERROR(IF(AND(INDEX($E$8:$CE$57, MATCH($C8, $C$8:$C$57, 0), (COLUMNS($DU8:EI8)-1)*5 + 1) = INDEX($E$5:$CE$5, 1, (COLUMNS($DU8:EI8)-1)*5 + 1), INDEX($E$8:$CE$57, MATCH($C8, $C$8:$C$57, 0), (COLUMNS($DU8:EI8)-1)*5 + 4) = "SF"), INDEX($CZ$8:$CZ$23, COLUMNS($DU8:EI8)), "0"), "")</f>
        <v/>
      </c>
      <c r="EJ8" s="395">
        <f t="array" ref="EJ8">IFERROR(IF(AND(INDEX($E$8:$CE$57, MATCH($C8, $C$8:$C$57, 0), (COLUMNS($DU8:EJ8)-1)*5 + 1) = INDEX($E$5:$CE$5, 1, (COLUMNS($DU8:EJ8)-1)*5 + 1), INDEX($E$8:$CE$57, MATCH($C8, $C$8:$C$57, 0), (COLUMNS($DU8:EJ8)-1)*5 + 4) = "SF"), INDEX($CZ$8:$CZ$23, COLUMNS($DU8:EJ8)), "0"), "")</f>
        <v/>
      </c>
    </row>
    <row r="9" ht="20.1" customHeight="1" s="568">
      <c r="A9" s="576" t="n"/>
      <c r="B9" s="449">
        <f>IF(SEMANA2[[#This Row],[COD]]&lt;&gt;"",B8+1,"")</f>
        <v/>
      </c>
      <c r="C9" s="622" t="inlineStr">
        <is>
          <t>COD 02</t>
        </is>
      </c>
      <c r="D9" s="415">
        <f t="array" ref="D9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9" s="419" t="n">
        <v>9</v>
      </c>
      <c r="F9" s="421" t="n">
        <v>2</v>
      </c>
      <c r="G9" s="420" t="n">
        <v>3</v>
      </c>
      <c r="H9" s="416" t="n"/>
      <c r="I9" s="602">
        <f>SUM(IF(E9=E$5,4,0),IF(E9&amp;F9=E$5&amp;F$5,1,0),
IF(AND(E9=E$5,F$6&gt;=$D$115),1,0),
IF(AND(F9=E$5,F$6&gt;=$D$115),1,0),
IF(AND(G9=E$5,F$6&gt;=$D$115),1,0),
IF(E9&amp;H9=I$5,1,0),
IF(F9=E$5,2,0),
IF(G9=E$5,1,0),
IF(OR(E9&amp;F9&amp;G9=E$5&amp;F$5&amp;G$5,E9&amp;F9&amp;G9=E$5&amp;G$5&amp;F$5,E9&amp;F9&amp;G9=F$5&amp;E$5&amp;G$5,E9&amp;F9&amp;G9=F$5&amp;G$5&amp;E$5,E9&amp;F9&amp;G9=G$5&amp;E$5&amp;F$5,E9&amp;F9&amp;G9=G$5&amp;F$5&amp;E$5),2,0),IF(AND(E9=E$5,F$6&gt;=$D$129),1,0),IF(AND(F9=E$5,F$6&gt;=$D$129),1,0),IF(AND(G9=E$5,F$6&gt;=$D$129),1,0),IF(E9&amp;H9=H$5,4,0),IF(AND(E9=E$5,F$6&lt;=$D$104),-0.5,0),IF(AND(F9=E$5,F$6&lt;=$D$104),-0.5,0),IF(AND(G9=E$5,F$6&lt;=$D$104),-0.5,0))</f>
        <v/>
      </c>
      <c r="J9" s="419" t="n">
        <v>1</v>
      </c>
      <c r="K9" s="421" t="n">
        <v>2</v>
      </c>
      <c r="L9" s="420" t="n">
        <v>4</v>
      </c>
      <c r="M9" s="416" t="inlineStr">
        <is>
          <t>F</t>
        </is>
      </c>
      <c r="N9" s="602">
        <f>SUM(IF(J9=J$5,4,0),IF(J9&amp;K9=J$5&amp;K$5,1,0),
IF(AND(J9=J$5,K$6&gt;=$D$115),1,0),
IF(AND(K9=J$5,K$6&gt;=$D$115),1,0),
IF(AND(L9=J$5,K$6&gt;=$D$115),1,0),
IF(J9&amp;M9=N$5,1,0),
IF(K9=J$5,2,0),
IF(L9=J$5,1,0),
IF(OR(J9&amp;K9&amp;L9=J$5&amp;K$5&amp;L$5,J9&amp;K9&amp;L9=J$5&amp;L$5&amp;K$5,J9&amp;K9&amp;L9=K$5&amp;J$5&amp;L$5,J9&amp;K9&amp;L9=K$5&amp;L$5&amp;J$5,J9&amp;K9&amp;L9=L$5&amp;J$5&amp;K$5,J9&amp;K9&amp;L9=L$5&amp;K$5&amp;J$5),2,0),IF(AND(J9=J$5,K$6&gt;=$D$129),1,0),IF(AND(K9=J$5,K$6&gt;=$D$129),1,0),IF(AND(L9=J$5,K$6&gt;=$D$129),1,0),IF(J9&amp;M9=M$5,4,0),IF(AND(J9=J$5,K$6&lt;=$D$104),-0.5,0),IF(AND(K9=J$5,K$6&lt;=$D$104),-0.5,0),IF(AND(L9=J$5,K$6&lt;=$D$104),-0.5,0))</f>
        <v/>
      </c>
      <c r="O9" s="419" t="n">
        <v>5</v>
      </c>
      <c r="P9" s="421" t="n">
        <v>1</v>
      </c>
      <c r="Q9" s="420" t="n">
        <v>8</v>
      </c>
      <c r="R9" s="416" t="n"/>
      <c r="S9" s="602">
        <f>SUM(IF(O9=O$5,4,0),IF(O9&amp;P9=O$5&amp;P$5,1,0),
IF(AND(O9=O$5,P$6&gt;=$D$115),1,0),
IF(AND(P9=O$5,P$6&gt;=$D$115),1,0),
IF(AND(Q9=O$5,P$6&gt;=$D$115),1,0),
IF(O9&amp;R9=S$5,1,0),
IF(P9=O$5,2,0),
IF(Q9=O$5,1,0),
IF(OR(O9&amp;P9&amp;Q9=O$5&amp;P$5&amp;Q$5,O9&amp;P9&amp;Q9=O$5&amp;Q$5&amp;P$5,O9&amp;P9&amp;Q9=P$5&amp;O$5&amp;Q$5,O9&amp;P9&amp;Q9=P$5&amp;Q$5&amp;O$5,O9&amp;P9&amp;Q9=Q$5&amp;O$5&amp;P$5,O9&amp;P9&amp;Q9=Q$5&amp;P$5&amp;O$5),2,0),IF(AND(O9=O$5,P$6&gt;=$D$129),1,0),IF(AND(P9=O$5,P$6&gt;=$D$129),1,0),IF(AND(Q9=O$5,P$6&gt;=$D$129),1,0),IF(O9&amp;R9=R$5,4,0),IF(AND(O9=O$5,P$6&lt;=$D$104),-0.5,0),IF(AND(P9=O$5,P$6&lt;=$D$104),-0.5,0),IF(AND(Q9=O$5,P$6&lt;=$D$104),-0.5,0))</f>
        <v/>
      </c>
      <c r="T9" s="419" t="n">
        <v>3</v>
      </c>
      <c r="U9" s="421" t="n">
        <v>4</v>
      </c>
      <c r="V9" s="420" t="n">
        <v>5</v>
      </c>
      <c r="W9" s="416" t="n"/>
      <c r="X9" s="602">
        <f>SUM(IF(T9=T$5,4,0),IF(T9&amp;U9=T$5&amp;U$5,1,0),
IF(AND(T9=T$5,U$6&gt;=$D$115),1,0),
IF(AND(U9=T$5,U$6&gt;=$D$115),1,0),
IF(AND(V9=T$5,U$6&gt;=$D$115),1,0),
IF(T9&amp;W9=X$5,1,0),
IF(U9=T$5,2,0),
IF(V9=T$5,1,0),
IF(OR(T9&amp;U9&amp;V9=T$5&amp;U$5&amp;V$5,T9&amp;U9&amp;V9=T$5&amp;V$5&amp;U$5,T9&amp;U9&amp;V9=U$5&amp;T$5&amp;V$5,T9&amp;U9&amp;V9=U$5&amp;V$5&amp;T$5,T9&amp;U9&amp;V9=V$5&amp;T$5&amp;U$5,T9&amp;U9&amp;V9=V$5&amp;U$5&amp;T$5),2,0),IF(AND(T9=T$5,U$6&gt;=$D$129),1,0),IF(AND(U9=T$5,U$6&gt;=$D$129),1,0),IF(AND(V9=T$5,U$6&gt;=$D$129),1,0),IF(T9&amp;W9=W$5,4,0),IF(AND(T9=T$5,U$6&lt;=$D$104),-0.5,0),IF(AND(U9=T$5,U$6&lt;=$D$104),-0.5,0),IF(AND(V9=T$5,U$6&lt;=$D$104),-0.5,0))</f>
        <v/>
      </c>
      <c r="Y9" s="419" t="n">
        <v>2</v>
      </c>
      <c r="Z9" s="421" t="n">
        <v>1</v>
      </c>
      <c r="AA9" s="420" t="n">
        <v>5</v>
      </c>
      <c r="AB9" s="416" t="n"/>
      <c r="AC9" s="602">
        <f>SUM(IF(Y9=Y$5,4,0),IF(Y9&amp;Z9=Y$5&amp;Z$5,1,0),
IF(AND(Y9=Y$5,Z$6&gt;=$D$115),1,0),
IF(AND(Z9=Y$5,Z$6&gt;=$D$115),1,0),
IF(AND(AA9=Y$5,Z$6&gt;=$D$115),1,0),
IF(Y9&amp;AB9=AC$5,1,0),
IF(Z9=Y$5,2,0),
IF(AA9=Y$5,1,0),
IF(OR(Y9&amp;Z9&amp;AA9=Y$5&amp;Z$5&amp;AA$5,Y9&amp;Z9&amp;AA9=Y$5&amp;AA$5&amp;Z$5,Y9&amp;Z9&amp;AA9=Z$5&amp;Y$5&amp;AA$5,Y9&amp;Z9&amp;AA9=Z$5&amp;AA$5&amp;Y$5,Y9&amp;Z9&amp;AA9=AA$5&amp;Y$5&amp;Z$5,Y9&amp;Z9&amp;AA9=AA$5&amp;Z$5&amp;Y$5),2,0),IF(AND(Y9=Y$5,Z$6&gt;=$D$129),1,0),IF(AND(Z9=Y$5,Z$6&gt;=$D$129),1,0),IF(AND(AA9=Y$5,Z$6&gt;=$D$129),1,0),IF(Y9&amp;AB9=AB$5,4,0),IF(AND(Y9=Y$5,Z$6&lt;=$D$104),-0.5,0),IF(AND(Z9=Y$5,Z$6&lt;=$D$104),-0.5,0),IF(AND(AA9=Y$5,Z$6&lt;=$D$104),-0.5,0))</f>
        <v/>
      </c>
      <c r="AD9" s="419" t="n">
        <v>2</v>
      </c>
      <c r="AE9" s="421" t="n">
        <v>7</v>
      </c>
      <c r="AF9" s="420" t="n">
        <v>3</v>
      </c>
      <c r="AG9" s="416" t="n"/>
      <c r="AH9" s="602">
        <f>SUM(IF(AD9=AD$5,4,0),IF(AD9&amp;AE9=AD$5&amp;AE$5,1,0),
IF(AND(AD9=AD$5,AE$6&gt;=$D$115),1,0),
IF(AND(AE9=AD$5,AE$6&gt;=$D$115),1,0),
IF(AND(AF9=AD$5,AE$6&gt;=$D$115),1,0),
IF(AD9&amp;AG9=AH$5,1,0),
IF(AE9=AD$5,2,0),
IF(AF9=AD$5,1,0),
IF(OR(AD9&amp;AE9&amp;AF9=AD$5&amp;AE$5&amp;AF$5,AD9&amp;AE9&amp;AF9=AD$5&amp;AF$5&amp;AE$5,AD9&amp;AE9&amp;AF9=AE$5&amp;AD$5&amp;AF$5,AD9&amp;AE9&amp;AF9=AE$5&amp;AF$5&amp;AD$5,AD9&amp;AE9&amp;AF9=AF$5&amp;AD$5&amp;AE$5,AD9&amp;AE9&amp;AF9=AF$5&amp;AE$5&amp;AD$5),2,0),IF(AND(AD9=AD$5,AE$6&gt;=$D$129),1,0),IF(AND(AE9=AD$5,AE$6&gt;=$D$129),1,0),IF(AND(AF9=AD$5,AE$6&gt;=$D$129),1,0),IF(AD9&amp;AG9=AG$5,4,0),IF(AND(AD9=AD$5,AE$6&lt;=$D$104),-0.5,0),IF(AND(AE9=AD$5,AE$6&lt;=$D$104),-0.5,0),IF(AND(AF9=AD$5,AE$6&lt;=$D$104),-0.5,0))</f>
        <v/>
      </c>
      <c r="AI9" s="419" t="n">
        <v>7</v>
      </c>
      <c r="AJ9" s="421" t="n">
        <v>6</v>
      </c>
      <c r="AK9" s="420" t="n">
        <v>9</v>
      </c>
      <c r="AL9" s="416" t="n"/>
      <c r="AM9" s="602">
        <f>SUM(IF(AI9=AI$5,4,0),IF(AI9&amp;AJ9=AI$5&amp;AJ$5,1,0),
IF(AND(AI9=AI$5,AJ$6&gt;=$D$115),1,0),
IF(AND(AJ9=AI$5,AJ$6&gt;=$D$115),1,0),
IF(AND(AK9=AI$5,AJ$6&gt;=$D$115),1,0),
IF(AI9&amp;AL9=AM$5,1,0),
IF(AJ9=AI$5,2,0),
IF(AK9=AI$5,1,0),
IF(OR(AI9&amp;AJ9&amp;AK9=AI$5&amp;AJ$5&amp;AK$5,AI9&amp;AJ9&amp;AK9=AI$5&amp;AK$5&amp;AJ$5,AI9&amp;AJ9&amp;AK9=AJ$5&amp;AI$5&amp;AK$5,AI9&amp;AJ9&amp;AK9=AJ$5&amp;AK$5&amp;AI$5,AI9&amp;AJ9&amp;AK9=AK$5&amp;AI$5&amp;AJ$5,AI9&amp;AJ9&amp;AK9=AK$5&amp;AJ$5&amp;AI$5),2,0),IF(AND(AI9=AI$5,AJ$6&gt;=$D$129),1,0),IF(AND(AJ9=AI$5,AJ$6&gt;=$D$129),1,0),IF(AND(AK9=AI$5,AJ$6&gt;=$D$129),1,0),IF(AI9&amp;AL9=AL$5,4,0),IF(AND(AI9=AI$5,AJ$6&lt;=$D$104),-0.5,0),IF(AND(AJ9=AI$5,AJ$6&lt;=$D$104),-0.5,0),IF(AND(AK9=AI$5,AJ$6&lt;=$D$104),-0.5,0))</f>
        <v/>
      </c>
      <c r="AN9" s="419" t="n">
        <v>8</v>
      </c>
      <c r="AO9" s="421" t="n"/>
      <c r="AP9" s="420" t="n"/>
      <c r="AQ9" s="416" t="inlineStr">
        <is>
          <t>SF</t>
        </is>
      </c>
      <c r="AR9" s="602">
        <f>SUM(IF(AN9=AN$5,4,0),IF(AN9&amp;AO9=AN$5&amp;AO$5,1,0),
IF(AND(AN9=AN$5,AO$6&gt;=$D$115),1,0),
IF(AND(AO9=AN$5,AO$6&gt;=$D$115),1,0),
IF(AND(AP9=AN$5,AO$6&gt;=$D$115),1,0),
IF(AN9&amp;AQ9=AR$5,1,0),
IF(AO9=AN$5,2,0),
IF(AP9=AN$5,1,0),
IF(OR(AN9&amp;AO9&amp;AP9=AN$5&amp;AO$5&amp;AP$5,AN9&amp;AO9&amp;AP9=AN$5&amp;AP$5&amp;AO$5,AN9&amp;AO9&amp;AP9=AO$5&amp;AN$5&amp;AP$5,AN9&amp;AO9&amp;AP9=AO$5&amp;AP$5&amp;AN$5,AN9&amp;AO9&amp;AP9=AP$5&amp;AN$5&amp;AO$5,AN9&amp;AO9&amp;AP9=AP$5&amp;AO$5&amp;AN$5),2,0),IF(AND(AN9=AN$5,AO$6&gt;=$D$129),1,0),IF(AND(AO9=AN$5,AO$6&gt;=$D$129),1,0),IF(AND(AP9=AN$5,AO$6&gt;=$D$129),1,0),IF(AN9&amp;AQ9=AQ$5,4,0),IF(AND(AN9=AN$5,AO$6&lt;=$D$104),-0.5,0),IF(AND(AO9=AN$5,AO$6&lt;=$D$104),-0.5,0),IF(AND(AP9=AN$5,AO$6&lt;=$D$104),-0.5,0))</f>
        <v/>
      </c>
      <c r="AS9" s="419" t="n">
        <v>2</v>
      </c>
      <c r="AT9" s="421" t="n">
        <v>10</v>
      </c>
      <c r="AU9" s="420" t="n">
        <v>11</v>
      </c>
      <c r="AV9" s="416" t="n"/>
      <c r="AW9" s="602">
        <f>SUM(IF(AS9=AS$5,4,0),IF(AS9&amp;AT9=AS$5&amp;AT$5,1,0),
IF(AND(AS9=AS$5,AT$6&gt;=$D$115),1,0),
IF(AND(AT9=AS$5,AT$6&gt;=$D$115),1,0),
IF(AND(AU9=AS$5,AT$6&gt;=$D$115),1,0),
IF(AS9&amp;AV9=AW$5,1,0),
IF(AT9=AS$5,2,0),
IF(AU9=AS$5,1,0),
IF(OR(AS9&amp;AT9&amp;AU9=AS$5&amp;AT$5&amp;AU$5,AS9&amp;AT9&amp;AU9=AS$5&amp;AU$5&amp;AT$5,AS9&amp;AT9&amp;AU9=AT$5&amp;AS$5&amp;AU$5,AS9&amp;AT9&amp;AU9=AT$5&amp;AU$5&amp;AS$5,AS9&amp;AT9&amp;AU9=AU$5&amp;AS$5&amp;AT$5,AS9&amp;AT9&amp;AU9=AU$5&amp;AT$5&amp;AS$5),2,0),IF(AND(AS9=AS$5,AT$6&gt;=$D$129),1,0),IF(AND(AT9=AS$5,AT$6&gt;=$D$129),1,0),IF(AND(AU9=AS$5,AT$6&gt;=$D$129),1,0),IF(AS9&amp;AV9=AV$5,4,0),IF(AND(AS9=AS$5,AT$6&lt;=$D$104),-0.5,0),IF(AND(AT9=AS$5,AT$6&lt;=$D$104),-0.5,0),IF(AND(AU9=AS$5,AT$6&lt;=$D$104),-0.5,0))</f>
        <v/>
      </c>
      <c r="AX9" s="419" t="n">
        <v>10</v>
      </c>
      <c r="AY9" s="421" t="n">
        <v>2</v>
      </c>
      <c r="AZ9" s="420" t="n">
        <v>1</v>
      </c>
      <c r="BA9" s="416" t="n"/>
      <c r="BB9" s="602">
        <f>SUM(IF(AX9=AX$5,4,0),IF(AX9&amp;AY9=AX$5&amp;AY$5,1,0),
IF(AND(AX9=AX$5,AY$6&gt;=$D$115),1,0),
IF(AND(AY9=AX$5,AY$6&gt;=$D$115),1,0),
IF(AND(AZ9=AX$5,AY$6&gt;=$D$115),1,0),
IF(AX9&amp;BA9=BB$5,1,0),
IF(AY9=AX$5,2,0),
IF(AZ9=AX$5,1,0),
IF(OR(AX9&amp;AY9&amp;AZ9=AX$5&amp;AY$5&amp;AZ$5,AX9&amp;AY9&amp;AZ9=AX$5&amp;AZ$5&amp;AY$5,AX9&amp;AY9&amp;AZ9=AY$5&amp;AX$5&amp;AZ$5,AX9&amp;AY9&amp;AZ9=AY$5&amp;AZ$5&amp;AX$5,AX9&amp;AY9&amp;AZ9=AZ$5&amp;AX$5&amp;AY$5,AX9&amp;AY9&amp;AZ9=AZ$5&amp;AY$5&amp;AX$5),2,0),IF(AND(AX9=AX$5,AY$6&gt;=$D$129),1,0),IF(AND(AY9=AX$5,AY$6&gt;=$D$129),1,0),IF(AND(AZ9=AX$5,AY$6&gt;=$D$129),1,0),IF(AX9&amp;BA9=BA$5,4,0),IF(AND(AX9=AX$5,AY$6&lt;=$D$104),-0.5,0),IF(AND(AY9=AX$5,AY$6&lt;=$D$104),-0.5,0),IF(AND(AZ9=AX$5,AY$6&lt;=$D$104),-0.5,0))</f>
        <v/>
      </c>
      <c r="BC9" s="419" t="n">
        <v>7</v>
      </c>
      <c r="BD9" s="421" t="n">
        <v>6</v>
      </c>
      <c r="BE9" s="420" t="n">
        <v>2</v>
      </c>
      <c r="BF9" s="416" t="inlineStr">
        <is>
          <t>F</t>
        </is>
      </c>
      <c r="BG9" s="602">
        <f>SUM(IF(BC9=BC$5,4,0),IF(BC9&amp;BD9=BC$5&amp;BD$5,1,0),
IF(AND(BC9=BC$5,BD$6&gt;=$D$115),1,0),
IF(AND(BD9=BC$5,BD$6&gt;=$D$115),1,0),
IF(AND(BE9=BC$5,BD$6&gt;=$D$115),1,0),
IF(BC9&amp;BF9=BG$5,1,0),
IF(BD9=BC$5,2,0),
IF(BE9=BC$5,1,0),
IF(OR(BC9&amp;BD9&amp;BE9=BC$5&amp;BD$5&amp;BE$5,BC9&amp;BD9&amp;BE9=BC$5&amp;BE$5&amp;BD$5,BC9&amp;BD9&amp;BE9=BD$5&amp;BC$5&amp;BE$5,BC9&amp;BD9&amp;BE9=BD$5&amp;BE$5&amp;BC$5,BC9&amp;BD9&amp;BE9=BE$5&amp;BC$5&amp;BD$5,BC9&amp;BD9&amp;BE9=BE$5&amp;BD$5&amp;BC$5),2,0),IF(AND(BC9=BC$5,BD$6&gt;=$D$129),1,0),IF(AND(BD9=BC$5,BD$6&gt;=$D$129),1,0),IF(AND(BE9=BC$5,BD$6&gt;=$D$129),1,0),IF(BC9&amp;BF9=BF$5,4,0),IF(AND(BC9=BC$5,BD$6&lt;=$D$104),-0.5,0),IF(AND(BD9=BC$5,BD$6&lt;=$D$104),-0.5,0),IF(AND(BE9=BC$5,BD$6&lt;=$D$104),-0.5,0))</f>
        <v/>
      </c>
      <c r="BH9" s="419" t="n">
        <v>6</v>
      </c>
      <c r="BI9" s="421" t="n">
        <v>2</v>
      </c>
      <c r="BJ9" s="420" t="n">
        <v>1</v>
      </c>
      <c r="BK9" s="416" t="n"/>
      <c r="BL9" s="602">
        <f>SUM(IF(BH9=BH$5,4,0),IF(BH9&amp;BI9=BH$5&amp;BI$5,1,0),
IF(AND(BH9=BH$5,BI$6&gt;=$D$115),1,0),
IF(AND(BI9=BH$5,BI$6&gt;=$D$115),1,0),
IF(AND(BJ9=BH$5,BI$6&gt;=$D$115),1,0),
IF(BH9&amp;BK9=BL$5,1,0),
IF(BI9=BH$5,2,0),
IF(BJ9=BH$5,1,0),
IF(OR(BH9&amp;BI9&amp;BJ9=BH$5&amp;BI$5&amp;BJ$5,BH9&amp;BI9&amp;BJ9=BH$5&amp;BJ$5&amp;BI$5,BH9&amp;BI9&amp;BJ9=BI$5&amp;BH$5&amp;BJ$5,BH9&amp;BI9&amp;BJ9=BI$5&amp;BJ$5&amp;BH$5,BH9&amp;BI9&amp;BJ9=BJ$5&amp;BH$5&amp;BI$5,BH9&amp;BI9&amp;BJ9=BJ$5&amp;BI$5&amp;BH$5),2,0),IF(AND(BH9=BH$5,BI$6&gt;=$D$129),1,0),IF(AND(BI9=BH$5,BI$6&gt;=$D$129),1,0),IF(AND(BJ9=BH$5,BI$6&gt;=$D$129),1,0),IF(BH9&amp;BK9=BK$5,4,0),IF(AND(BH9=BH$5,BI$6&lt;=$D$104),-0.5,0),IF(AND(BI9=BH$5,BI$6&lt;=$D$104),-0.5,0),IF(AND(BJ9=BH$5,BI$6&lt;=$D$104),-0.5,0))</f>
        <v/>
      </c>
      <c r="BM9" s="419" t="n">
        <v>1</v>
      </c>
      <c r="BN9" s="421" t="n">
        <v>4</v>
      </c>
      <c r="BO9" s="420" t="n">
        <v>9</v>
      </c>
      <c r="BP9" s="416" t="n"/>
      <c r="BQ9" s="602">
        <f>SUM(IF(BM9=BM$5,4,0),IF(BM9&amp;BN9=BM$5&amp;BN$5,1,0),
IF(AND(BM9=BM$5,BN$6&gt;=$D$115),1,0),
IF(AND(BN9=BM$5,BN$6&gt;=$D$115),1,0),
IF(AND(BO9=BM$5,BN$6&gt;=$D$115),1,0),
IF(BM9&amp;BP9=BQ$5,1,0),
IF(BN9=BM$5,2,0),
IF(BO9=BM$5,1,0),
IF(OR(BM9&amp;BN9&amp;BO9=BM$5&amp;BN$5&amp;BO$5,BM9&amp;BN9&amp;BO9=BM$5&amp;BO$5&amp;BN$5,BM9&amp;BN9&amp;BO9=BN$5&amp;BM$5&amp;BO$5,BM9&amp;BN9&amp;BO9=BN$5&amp;BO$5&amp;BM$5,BM9&amp;BN9&amp;BO9=BO$5&amp;BM$5&amp;BN$5,BM9&amp;BN9&amp;BO9=BO$5&amp;BN$5&amp;BM$5),2,0),IF(AND(BM9=BM$5,BN$6&gt;=$D$129),1,0),IF(AND(BN9=BM$5,BN$6&gt;=$D$129),1,0),IF(AND(BO9=BM$5,BN$6&gt;=$D$129),1,0),IF(BM9&amp;BP9=BP$5,4,0),IF(AND(BM9=BM$5,BN$6&lt;=$D$104),-0.5,0),IF(AND(BN9=BM$5,BN$6&lt;=$D$104),-0.5,0),IF(AND(BO9=BM$5,BN$6&lt;=$D$104),-0.5,0))</f>
        <v/>
      </c>
      <c r="BR9" s="419" t="n">
        <v>11</v>
      </c>
      <c r="BS9" s="421" t="n">
        <v>1</v>
      </c>
      <c r="BT9" s="420" t="n">
        <v>2</v>
      </c>
      <c r="BU9" s="416" t="n"/>
      <c r="BV9" s="602">
        <f>SUM(IF(BR9=BR$5,4,0),IF(BR9&amp;BS9=BR$5&amp;BS$5,1,0),
IF(AND(BR9=BR$5,BS$6&gt;=$D$115),1,0),
IF(AND(BS9=BR$5,BS$6&gt;=$D$115),1,0),
IF(AND(BT9=BR$5,BS$6&gt;=$D$115),1,0),
IF(BR9&amp;BU9=BV$5,1,0),
IF(BS9=BR$5,2,0),
IF(BT9=BR$5,1,0),
IF(OR(BR9&amp;BS9&amp;BT9=BR$5&amp;BS$5&amp;BT$5,BR9&amp;BS9&amp;BT9=BR$5&amp;BT$5&amp;BS$5,BR9&amp;BS9&amp;BT9=BS$5&amp;BR$5&amp;BT$5,BR9&amp;BS9&amp;BT9=BS$5&amp;BT$5&amp;BR$5,BR9&amp;BS9&amp;BT9=BT$5&amp;BR$5&amp;BS$5,BR9&amp;BS9&amp;BT9=BT$5&amp;BS$5&amp;BR$5),2,0),IF(AND(BR9=BR$5,BS$6&gt;=$D$129),1,0),IF(AND(BS9=BR$5,BS$6&gt;=$D$129),1,0),IF(AND(BT9=BR$5,BS$6&gt;=$D$129),1,0),IF(BR9&amp;BU9=BU$5,4,0),IF(AND(BR9=BR$5,BS$6&lt;=$D$104),-0.5,0),IF(AND(BS9=BR$5,BS$6&lt;=$D$104),-0.5,0),IF(AND(BT9=BR$5,BS$6&lt;=$D$104),-0.5,0))</f>
        <v/>
      </c>
      <c r="BW9" s="419" t="n"/>
      <c r="BX9" s="421" t="n"/>
      <c r="BY9" s="420" t="n"/>
      <c r="BZ9" s="416" t="n"/>
      <c r="CA9" s="602">
        <f>SUM(IF(BW9=BW$5,4,0),IF(BW9&amp;BX9=BW$5&amp;BX$5,1,0),
IF(AND(BW9=BW$5,BX$6&gt;=$D$115),1,0),
IF(AND(BX9=BW$5,BX$6&gt;=$D$115),1,0),
IF(AND(BY9=BW$5,BX$6&gt;=$D$115),1,0),
IF(BW9&amp;BZ9=CA$5,1,0),
IF(BX9=BW$5,2,0),
IF(BY9=BW$5,1,0),
IF(OR(BW9&amp;BX9&amp;BY9=BW$5&amp;BX$5&amp;BY$5,BW9&amp;BX9&amp;BY9=BW$5&amp;BY$5&amp;BX$5,BW9&amp;BX9&amp;BY9=BX$5&amp;BW$5&amp;BY$5,BW9&amp;BX9&amp;BY9=BX$5&amp;BY$5&amp;BW$5,BW9&amp;BX9&amp;BY9=BY$5&amp;BW$5&amp;BX$5,BW9&amp;BX9&amp;BY9=BY$5&amp;BX$5&amp;BW$5),2,0),IF(AND(BW9=BW$5,BX$6&gt;=$D$129),1,0),IF(AND(BX9=BW$5,BX$6&gt;=$D$129),1,0),IF(AND(BY9=BW$5,BX$6&gt;=$D$129),1,0),IF(BW9&amp;BZ9=BZ$5,4,0),IF(AND(BW9=BW$5,BX$6&lt;=$D$104),-0.5,0),IF(AND(BX9=BW$5,BX$6&lt;=$D$104),-0.5,0),IF(AND(BY9=BW$5,BX$6&lt;=$D$104),-0.5,0))</f>
        <v/>
      </c>
      <c r="CB9" s="419" t="n"/>
      <c r="CC9" s="421" t="n"/>
      <c r="CD9" s="420" t="n"/>
      <c r="CE9" s="416" t="n"/>
      <c r="CF9" s="602">
        <f>SUM(IF(CB9=CB$5,4,0),IF(CB9&amp;CC9=CB$5&amp;CC$5,1,0),
IF(AND(CB9=CB$5,CC$6&gt;=$D$115),1,0),
IF(AND(CC9=CB$5,CC$6&gt;=$D$115),1,0),
IF(AND(CD9=CB$5,CC$6&gt;=$D$115),1,0),
IF(CB9&amp;CE9=CF$5,1,0),
IF(CC9=CB$5,2,0),
IF(CD9=CB$5,1,0),
IF(OR(CB9&amp;CC9&amp;CD9=CB$5&amp;CC$5&amp;CD$5,CB9&amp;CC9&amp;CD9=CB$5&amp;CD$5&amp;CC$5,CB9&amp;CC9&amp;CD9=CC$5&amp;CB$5&amp;CD$5,CB9&amp;CC9&amp;CD9=CC$5&amp;CD$5&amp;CB$5,CB9&amp;CC9&amp;CD9=CD$5&amp;CB$5&amp;CC$5,CB9&amp;CC9&amp;CD9=CD$5&amp;CC$5&amp;CB$5),2,0),IF(AND(CB9=CB$5,CC$6&gt;=$D$129),1,0),IF(AND(CC9=CB$5,CC$6&gt;=$D$129),1,0),IF(AND(CD9=CB$5,CC$6&gt;=$D$129),1,0),IF(CB9&amp;CE9=CE$5,4,0),IF(AND(CB9=CB$5,CC$6&lt;=$D$104),-0.5,0),IF(AND(CC9=CB$5,CC$6&lt;=$D$104),-0.5,0),IF(AND(CD9=CB$5,CC$6&lt;=$D$104),-0.5,0))</f>
        <v/>
      </c>
      <c r="CG9" s="164">
        <f>IF(SEMANA2[[#This Row],[1]]="",0,$B$4)</f>
        <v/>
      </c>
      <c r="CH9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9" s="166">
        <f>IF(SEMANA2[[#This Row],[Columna14]]=0,0,(CH9/CG9))</f>
        <v/>
      </c>
      <c r="CJ9" s="165">
        <f>IF(SEMANA2[[#This Row],[1]]="",0,$B$4)</f>
        <v/>
      </c>
      <c r="CK9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9" s="166">
        <f>IF(SEMANA2[[#This Row],[Columna14]]=0,0,(CK9/CJ9))</f>
        <v/>
      </c>
      <c r="CM9" s="164">
        <f>IF(SEMANA2[[#This Row],[1]]="",0,$B$4)</f>
        <v/>
      </c>
      <c r="CN9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9" s="166">
        <f>IF(SEMANA2[[#This Row],[Columna14]]=0,0,(CN9/CM9))</f>
        <v/>
      </c>
      <c r="CP9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9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Row],[Columna25]],$AX$5,BA9,"SF")+COUNTIFS(SEMANA2[[#This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9" s="166">
        <f>IFERROR(IF(SEMANA2[[#This Row],[Columna14]]=0,0,(CQ9/CP9)),0)</f>
        <v/>
      </c>
      <c r="CS9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9" s="95">
        <f>_xlfn.XLOOKUP(SEMANA2[[#This Row],[COD]],BASE01[COD],BASE01[Columna33])</f>
        <v/>
      </c>
      <c r="CU9" s="604">
        <f>SUM(CS9,CT9)</f>
        <v/>
      </c>
      <c r="CV9" s="450">
        <f>IF(SEMANA2[[#This Row],[TIPO]]="PREMIO",$O$3,"0,00")</f>
        <v/>
      </c>
      <c r="CW9" s="576" t="n"/>
      <c r="CY9" s="393" t="n">
        <v>2</v>
      </c>
      <c r="CZ9" s="354">
        <f>K$6</f>
        <v/>
      </c>
      <c r="DB9" s="605">
        <f>SEMANA2[[#This Row],[COD]]</f>
        <v/>
      </c>
      <c r="DC9" s="395">
        <f t="array" ref="DC9">IFERROR(IF(AND(INDEX($E$8:$CE$57, MATCH($C9, $C$8:$C$57, 0), (COLUMNS($DC9:DC9)-1)*5 + 1) = INDEX($E$5:$CE$5, 1, (COLUMNS($DC9:DC9)-1)*5 + 1), INDEX($E$8:$CE$57, MATCH($C9, $C$8:$C$57, 0), (COLUMNS($DC9:DC9)-1)*5 + 4) = "F"), INDEX($CZ$8:$CZ$23, COLUMNS($DC9:DC9)), "0"), "")</f>
        <v/>
      </c>
      <c r="DD9" s="395">
        <f t="array" ref="DD9">IFERROR(IF(AND(INDEX($E$8:$CE$57, MATCH($C9, $C$8:$C$57, 0), (COLUMNS($DC9:DD9)-1)*5 + 1) = INDEX($E$5:$CE$5, 1, (COLUMNS($DC9:DD9)-1)*5 + 1), INDEX($E$8:$CE$57, MATCH($C9, $C$8:$C$57, 0), (COLUMNS($DC9:DD9)-1)*5 + 4) = "F"), INDEX($CZ$8:$CZ$23, COLUMNS($DC9:DD9)), "0"), "")</f>
        <v/>
      </c>
      <c r="DE9" s="395">
        <f t="array" ref="DE9">IFERROR(IF(AND(INDEX($E$8:$CE$57, MATCH($C9, $C$8:$C$57, 0), (COLUMNS($DC9:DE9)-1)*5 + 1) = INDEX($E$5:$CE$5, 1, (COLUMNS($DC9:DE9)-1)*5 + 1), INDEX($E$8:$CE$57, MATCH($C9, $C$8:$C$57, 0), (COLUMNS($DC9:DE9)-1)*5 + 4) = "F"), INDEX($CZ$8:$CZ$23, COLUMNS($DC9:DE9)), "0"), "")</f>
        <v/>
      </c>
      <c r="DF9" s="395">
        <f t="array" ref="DF9">IFERROR(IF(AND(INDEX($E$8:$CE$57, MATCH($C9, $C$8:$C$57, 0), (COLUMNS($DC9:DF9)-1)*5 + 1) = INDEX($E$5:$CE$5, 1, (COLUMNS($DC9:DF9)-1)*5 + 1), INDEX($E$8:$CE$57, MATCH($C9, $C$8:$C$57, 0), (COLUMNS($DC9:DF9)-1)*5 + 4) = "F"), INDEX($CZ$8:$CZ$23, COLUMNS($DC9:DF9)), "0"), "")</f>
        <v/>
      </c>
      <c r="DG9" s="395">
        <f t="array" ref="DG9">IFERROR(IF(AND(INDEX($E$8:$CE$57, MATCH($C9, $C$8:$C$57, 0), (COLUMNS($DC9:DG9)-1)*5 + 1) = INDEX($E$5:$CE$5, 1, (COLUMNS($DC9:DG9)-1)*5 + 1), INDEX($E$8:$CE$57, MATCH($C9, $C$8:$C$57, 0), (COLUMNS($DC9:DG9)-1)*5 + 4) = "F"), INDEX($CZ$8:$CZ$23, COLUMNS($DC9:DG9)), "0"), "")</f>
        <v/>
      </c>
      <c r="DH9" s="395">
        <f t="array" ref="DH9">IFERROR(IF(AND(INDEX($E$8:$CE$57, MATCH($C9, $C$8:$C$57, 0), (COLUMNS($DC9:DH9)-1)*5 + 1) = INDEX($E$5:$CE$5, 1, (COLUMNS($DC9:DH9)-1)*5 + 1), INDEX($E$8:$CE$57, MATCH($C9, $C$8:$C$57, 0), (COLUMNS($DC9:DH9)-1)*5 + 4) = "F"), INDEX($CZ$8:$CZ$23, COLUMNS($DC9:DH9)), "0"), "")</f>
        <v/>
      </c>
      <c r="DI9" s="395">
        <f t="array" ref="DI9">IFERROR(IF(AND(INDEX($E$8:$CE$57, MATCH($C9, $C$8:$C$57, 0), (COLUMNS($DC9:DI9)-1)*5 + 1) = INDEX($E$5:$CE$5, 1, (COLUMNS($DC9:DI9)-1)*5 + 1), INDEX($E$8:$CE$57, MATCH($C9, $C$8:$C$57, 0), (COLUMNS($DC9:DI9)-1)*5 + 4) = "F"), INDEX($CZ$8:$CZ$23, COLUMNS($DC9:DI9)), "0"), "")</f>
        <v/>
      </c>
      <c r="DJ9" s="395">
        <f t="array" ref="DJ9">IFERROR(IF(AND(INDEX($E$8:$CE$57, MATCH($C9, $C$8:$C$57, 0), (COLUMNS($DC9:DJ9)-1)*5 + 1) = INDEX($E$5:$CE$5, 1, (COLUMNS($DC9:DJ9)-1)*5 + 1), INDEX($E$8:$CE$57, MATCH($C9, $C$8:$C$57, 0), (COLUMNS($DC9:DJ9)-1)*5 + 4) = "F"), INDEX($CZ$8:$CZ$23, COLUMNS($DC9:DJ9)), "0"), "")</f>
        <v/>
      </c>
      <c r="DK9" s="395">
        <f t="array" ref="DK9">IFERROR(IF(AND(INDEX($E$8:$CE$57, MATCH($C9, $C$8:$C$57, 0), (COLUMNS($DC9:DK9)-1)*5 + 1) = INDEX($E$5:$CE$5, 1, (COLUMNS($DC9:DK9)-1)*5 + 1), INDEX($E$8:$CE$57, MATCH($C9, $C$8:$C$57, 0), (COLUMNS($DC9:DK9)-1)*5 + 4) = "F"), INDEX($CZ$8:$CZ$23, COLUMNS($DC9:DK9)), "0"), "")</f>
        <v/>
      </c>
      <c r="DL9" s="395">
        <f t="array" ref="DL9">IFERROR(IF(AND(INDEX($E$8:$CE$57, MATCH($C9, $C$8:$C$57, 0), (COLUMNS($DC9:DL9)-1)*5 + 1) = INDEX($E$5:$CE$5, 1, (COLUMNS($DC9:DL9)-1)*5 + 1), INDEX($E$8:$CE$57, MATCH($C9, $C$8:$C$57, 0), (COLUMNS($DC9:DL9)-1)*5 + 4) = "F"), INDEX($CZ$8:$CZ$23, COLUMNS($DC9:DL9)), "0"), "")</f>
        <v/>
      </c>
      <c r="DM9" s="395">
        <f t="array" ref="DM9">IFERROR(IF(AND(INDEX($E$8:$CE$57, MATCH($C9, $C$8:$C$57, 0), (COLUMNS($DC9:DM9)-1)*5 + 1) = INDEX($E$5:$CE$5, 1, (COLUMNS($DC9:DM9)-1)*5 + 1), INDEX($E$8:$CE$57, MATCH($C9, $C$8:$C$57, 0), (COLUMNS($DC9:DM9)-1)*5 + 4) = "F"), INDEX($CZ$8:$CZ$23, COLUMNS($DC9:DM9)), "0"), "")</f>
        <v/>
      </c>
      <c r="DN9" s="395">
        <f t="array" ref="DN9">IFERROR(IF(AND(INDEX($E$8:$CE$57, MATCH($C9, $C$8:$C$57, 0), (COLUMNS($DC9:DN9)-1)*5 + 1) = INDEX($E$5:$CE$5, 1, (COLUMNS($DC9:DN9)-1)*5 + 1), INDEX($E$8:$CE$57, MATCH($C9, $C$8:$C$57, 0), (COLUMNS($DC9:DN9)-1)*5 + 4) = "F"), INDEX($CZ$8:$CZ$23, COLUMNS($DC9:DN9)), "0"), "")</f>
        <v/>
      </c>
      <c r="DO9" s="395">
        <f t="array" ref="DO9">IFERROR(IF(AND(INDEX($E$8:$CE$57, MATCH($C9, $C$8:$C$57, 0), (COLUMNS($DC9:DO9)-1)*5 + 1) = INDEX($E$5:$CE$5, 1, (COLUMNS($DC9:DO9)-1)*5 + 1), INDEX($E$8:$CE$57, MATCH($C9, $C$8:$C$57, 0), (COLUMNS($DC9:DO9)-1)*5 + 4) = "F"), INDEX($CZ$8:$CZ$23, COLUMNS($DC9:DO9)), "0"), "")</f>
        <v/>
      </c>
      <c r="DP9" s="395">
        <f t="array" ref="DP9">IFERROR(IF(AND(INDEX($E$8:$CE$57, MATCH($C9, $C$8:$C$57, 0), (COLUMNS($DC9:DP9)-1)*5 + 1) = INDEX($E$5:$CE$5, 1, (COLUMNS($DC9:DP9)-1)*5 + 1), INDEX($E$8:$CE$57, MATCH($C9, $C$8:$C$57, 0), (COLUMNS($DC9:DP9)-1)*5 + 4) = "F"), INDEX($CZ$8:$CZ$23, COLUMNS($DC9:DP9)), "0"), "")</f>
        <v/>
      </c>
      <c r="DQ9" s="395">
        <f t="array" ref="DQ9">IFERROR(IF(AND(INDEX($E$8:$CE$57, MATCH($C9, $C$8:$C$57, 0), (COLUMNS($DC9:DQ9)-1)*5 + 1) = INDEX($E$5:$CE$5, 1, (COLUMNS($DC9:DQ9)-1)*5 + 1), INDEX($E$8:$CE$57, MATCH($C9, $C$8:$C$57, 0), (COLUMNS($DC9:DQ9)-1)*5 + 4) = "F"), INDEX($CZ$8:$CZ$23, COLUMNS($DC9:DQ9)), "0"), "")</f>
        <v/>
      </c>
      <c r="DR9" s="395">
        <f t="array" ref="DR9">IFERROR(IF(AND(INDEX($E$8:$CE$57, MATCH($C9, $C$8:$C$57, 0), (COLUMNS($DC9:DR9)-1)*5 + 1) = INDEX($E$5:$CE$5, 1, (COLUMNS($DC9:DR9)-1)*5 + 1), INDEX($E$8:$CE$57, MATCH($C9, $C$8:$C$57, 0), (COLUMNS($DC9:DR9)-1)*5 + 4) = "F"), INDEX($CZ$8:$CZ$23, COLUMNS($DC9:DR9)), "0"), "")</f>
        <v/>
      </c>
      <c r="DT9" s="605">
        <f>SEMANA2[[#This Row],[COD]]</f>
        <v/>
      </c>
      <c r="DU9" s="395">
        <f t="array" ref="DU9">IFERROR(IF(AND(INDEX($E$8:$CE$57, MATCH($C9, $C$8:$C$57, 0), (COLUMNS($DU9:DU9)-1)*5 + 1) = INDEX($E$5:$CE$5, 1, (COLUMNS($DU9:DU9)-1)*5 + 1), INDEX($E$8:$CE$57, MATCH($C9, $C$8:$C$57, 0), (COLUMNS($DU9:DU9)-1)*5 + 4) = "SF"), INDEX($CZ$8:$CZ$23, COLUMNS($DU9:DU9)), "0"), "")</f>
        <v/>
      </c>
      <c r="DV9" s="395">
        <f t="array" ref="DV9">IFERROR(IF(AND(INDEX($E$8:$CE$57, MATCH($C9, $C$8:$C$57, 0), (COLUMNS($DU9:DV9)-1)*5 + 1) = INDEX($E$5:$CE$5, 1, (COLUMNS($DU9:DV9)-1)*5 + 1), INDEX($E$8:$CE$57, MATCH($C9, $C$8:$C$57, 0), (COLUMNS($DU9:DV9)-1)*5 + 4) = "SF"), INDEX($CZ$8:$CZ$23, COLUMNS($DU9:DV9)), "0"), "")</f>
        <v/>
      </c>
      <c r="DW9" s="395">
        <f t="array" ref="DW9">IFERROR(IF(AND(INDEX($E$8:$CE$57, MATCH($C9, $C$8:$C$57, 0), (COLUMNS($DU9:DW9)-1)*5 + 1) = INDEX($E$5:$CE$5, 1, (COLUMNS($DU9:DW9)-1)*5 + 1), INDEX($E$8:$CE$57, MATCH($C9, $C$8:$C$57, 0), (COLUMNS($DU9:DW9)-1)*5 + 4) = "SF"), INDEX($CZ$8:$CZ$23, COLUMNS($DU9:DW9)), "0"), "")</f>
        <v/>
      </c>
      <c r="DX9" s="395">
        <f t="array" ref="DX9">IFERROR(IF(AND(INDEX($E$8:$CE$57, MATCH($C9, $C$8:$C$57, 0), (COLUMNS($DU9:DX9)-1)*5 + 1) = INDEX($E$5:$CE$5, 1, (COLUMNS($DU9:DX9)-1)*5 + 1), INDEX($E$8:$CE$57, MATCH($C9, $C$8:$C$57, 0), (COLUMNS($DU9:DX9)-1)*5 + 4) = "SF"), INDEX($CZ$8:$CZ$23, COLUMNS($DU9:DX9)), "0"), "")</f>
        <v/>
      </c>
      <c r="DY9" s="395">
        <f t="array" ref="DY9">IFERROR(IF(AND(INDEX($E$8:$CE$57, MATCH($C9, $C$8:$C$57, 0), (COLUMNS($DU9:DY9)-1)*5 + 1) = INDEX($E$5:$CE$5, 1, (COLUMNS($DU9:DY9)-1)*5 + 1), INDEX($E$8:$CE$57, MATCH($C9, $C$8:$C$57, 0), (COLUMNS($DU9:DY9)-1)*5 + 4) = "SF"), INDEX($CZ$8:$CZ$23, COLUMNS($DU9:DY9)), "0"), "")</f>
        <v/>
      </c>
      <c r="DZ9" s="395">
        <f t="array" ref="DZ9">IFERROR(IF(AND(INDEX($E$8:$CE$57, MATCH($C9, $C$8:$C$57, 0), (COLUMNS($DU9:DZ9)-1)*5 + 1) = INDEX($E$5:$CE$5, 1, (COLUMNS($DU9:DZ9)-1)*5 + 1), INDEX($E$8:$CE$57, MATCH($C9, $C$8:$C$57, 0), (COLUMNS($DU9:DZ9)-1)*5 + 4) = "SF"), INDEX($CZ$8:$CZ$23, COLUMNS($DU9:DZ9)), "0"), "")</f>
        <v/>
      </c>
      <c r="EA9" s="395">
        <f t="array" ref="EA9">IFERROR(IF(AND(INDEX($E$8:$CE$57, MATCH($C9, $C$8:$C$57, 0), (COLUMNS($DU9:EA9)-1)*5 + 1) = INDEX($E$5:$CE$5, 1, (COLUMNS($DU9:EA9)-1)*5 + 1), INDEX($E$8:$CE$57, MATCH($C9, $C$8:$C$57, 0), (COLUMNS($DU9:EA9)-1)*5 + 4) = "SF"), INDEX($CZ$8:$CZ$23, COLUMNS($DU9:EA9)), "0"), "")</f>
        <v/>
      </c>
      <c r="EB9" s="395">
        <f t="array" ref="EB9">IFERROR(IF(AND(INDEX($E$8:$CE$57, MATCH($C9, $C$8:$C$57, 0), (COLUMNS($DU9:EB9)-1)*5 + 1) = INDEX($E$5:$CE$5, 1, (COLUMNS($DU9:EB9)-1)*5 + 1), INDEX($E$8:$CE$57, MATCH($C9, $C$8:$C$57, 0), (COLUMNS($DU9:EB9)-1)*5 + 4) = "SF"), INDEX($CZ$8:$CZ$23, COLUMNS($DU9:EB9)), "0"), "")</f>
        <v/>
      </c>
      <c r="EC9" s="395">
        <f t="array" ref="EC9">IFERROR(IF(AND(INDEX($E$8:$CE$57, MATCH($C9, $C$8:$C$57, 0), (COLUMNS($DU9:EC9)-1)*5 + 1) = INDEX($E$5:$CE$5, 1, (COLUMNS($DU9:EC9)-1)*5 + 1), INDEX($E$8:$CE$57, MATCH($C9, $C$8:$C$57, 0), (COLUMNS($DU9:EC9)-1)*5 + 4) = "SF"), INDEX($CZ$8:$CZ$23, COLUMNS($DU9:EC9)), "0"), "")</f>
        <v/>
      </c>
      <c r="ED9" s="395">
        <f t="array" ref="ED9">IFERROR(IF(AND(INDEX($E$8:$CE$57, MATCH($C9, $C$8:$C$57, 0), (COLUMNS($DU9:ED9)-1)*5 + 1) = INDEX($E$5:$CE$5, 1, (COLUMNS($DU9:ED9)-1)*5 + 1), INDEX($E$8:$CE$57, MATCH($C9, $C$8:$C$57, 0), (COLUMNS($DU9:ED9)-1)*5 + 4) = "SF"), INDEX($CZ$8:$CZ$23, COLUMNS($DU9:ED9)), "0"), "")</f>
        <v/>
      </c>
      <c r="EE9" s="395">
        <f t="array" ref="EE9">IFERROR(IF(AND(INDEX($E$8:$CE$57, MATCH($C9, $C$8:$C$57, 0), (COLUMNS($DU9:EE9)-1)*5 + 1) = INDEX($E$5:$CE$5, 1, (COLUMNS($DU9:EE9)-1)*5 + 1), INDEX($E$8:$CE$57, MATCH($C9, $C$8:$C$57, 0), (COLUMNS($DU9:EE9)-1)*5 + 4) = "SF"), INDEX($CZ$8:$CZ$23, COLUMNS($DU9:EE9)), "0"), "")</f>
        <v/>
      </c>
      <c r="EF9" s="395">
        <f t="array" ref="EF9">IFERROR(IF(AND(INDEX($E$8:$CE$57, MATCH($C9, $C$8:$C$57, 0), (COLUMNS($DU9:EF9)-1)*5 + 1) = INDEX($E$5:$CE$5, 1, (COLUMNS($DU9:EF9)-1)*5 + 1), INDEX($E$8:$CE$57, MATCH($C9, $C$8:$C$57, 0), (COLUMNS($DU9:EF9)-1)*5 + 4) = "SF"), INDEX($CZ$8:$CZ$23, COLUMNS($DU9:EF9)), "0"), "")</f>
        <v/>
      </c>
      <c r="EG9" s="395">
        <f t="array" ref="EG9">IFERROR(IF(AND(INDEX($E$8:$CE$57, MATCH($C9, $C$8:$C$57, 0), (COLUMNS($DU9:EG9)-1)*5 + 1) = INDEX($E$5:$CE$5, 1, (COLUMNS($DU9:EG9)-1)*5 + 1), INDEX($E$8:$CE$57, MATCH($C9, $C$8:$C$57, 0), (COLUMNS($DU9:EG9)-1)*5 + 4) = "SF"), INDEX($CZ$8:$CZ$23, COLUMNS($DU9:EG9)), "0"), "")</f>
        <v/>
      </c>
      <c r="EH9" s="395">
        <f t="array" ref="EH9">IFERROR(IF(AND(INDEX($E$8:$CE$57, MATCH($C9, $C$8:$C$57, 0), (COLUMNS($DU9:EH9)-1)*5 + 1) = INDEX($E$5:$CE$5, 1, (COLUMNS($DU9:EH9)-1)*5 + 1), INDEX($E$8:$CE$57, MATCH($C9, $C$8:$C$57, 0), (COLUMNS($DU9:EH9)-1)*5 + 4) = "SF"), INDEX($CZ$8:$CZ$23, COLUMNS($DU9:EH9)), "0"), "")</f>
        <v/>
      </c>
      <c r="EI9" s="395">
        <f t="array" ref="EI9">IFERROR(IF(AND(INDEX($E$8:$CE$57, MATCH($C9, $C$8:$C$57, 0), (COLUMNS($DU9:EI9)-1)*5 + 1) = INDEX($E$5:$CE$5, 1, (COLUMNS($DU9:EI9)-1)*5 + 1), INDEX($E$8:$CE$57, MATCH($C9, $C$8:$C$57, 0), (COLUMNS($DU9:EI9)-1)*5 + 4) = "SF"), INDEX($CZ$8:$CZ$23, COLUMNS($DU9:EI9)), "0"), "")</f>
        <v/>
      </c>
      <c r="EJ9" s="395">
        <f t="array" ref="EJ9">IFERROR(IF(AND(INDEX($E$8:$CE$57, MATCH($C9, $C$8:$C$57, 0), (COLUMNS($DU9:EJ9)-1)*5 + 1) = INDEX($E$5:$CE$5, 1, (COLUMNS($DU9:EJ9)-1)*5 + 1), INDEX($E$8:$CE$57, MATCH($C9, $C$8:$C$57, 0), (COLUMNS($DU9:EJ9)-1)*5 + 4) = "SF"), INDEX($CZ$8:$CZ$23, COLUMNS($DU9:EJ9)), "0"), "")</f>
        <v/>
      </c>
    </row>
    <row r="10" ht="20.1" customHeight="1" s="568">
      <c r="A10" s="576" t="n"/>
      <c r="B10" s="449">
        <f>IF(SEMANA2[[#This Row],[COD]]&lt;&gt;"",B9+1,"")</f>
        <v/>
      </c>
      <c r="C10" s="622" t="inlineStr">
        <is>
          <t>COD 03</t>
        </is>
      </c>
      <c r="D10" s="415">
        <f t="array" ref="D10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0" s="416" t="n">
        <v>9</v>
      </c>
      <c r="F10" s="418" t="n">
        <v>2</v>
      </c>
      <c r="G10" s="418" t="n">
        <v>3</v>
      </c>
      <c r="H10" s="418" t="n"/>
      <c r="I10" s="602">
        <f>SUM(IF(E10=E$5,4,0),IF(E10&amp;F10=E$5&amp;F$5,1,0),
IF(AND(E10=E$5,F$6&gt;=$D$115),1,0),
IF(AND(F10=E$5,F$6&gt;=$D$115),1,0),
IF(AND(G10=E$5,F$6&gt;=$D$115),1,0),
IF(E10&amp;H10=I$5,1,0),
IF(F10=E$5,2,0),
IF(G10=E$5,1,0),
IF(OR(E10&amp;F10&amp;G10=E$5&amp;F$5&amp;G$5,E10&amp;F10&amp;G10=E$5&amp;G$5&amp;F$5,E10&amp;F10&amp;G10=F$5&amp;E$5&amp;G$5,E10&amp;F10&amp;G10=F$5&amp;G$5&amp;E$5,E10&amp;F10&amp;G10=G$5&amp;E$5&amp;F$5,E10&amp;F10&amp;G10=G$5&amp;F$5&amp;E$5),2,0),IF(AND(E10=E$5,F$6&gt;=$D$129),1,0),IF(AND(F10=E$5,F$6&gt;=$D$129),1,0),IF(AND(G10=E$5,F$6&gt;=$D$129),1,0),IF(E10&amp;H10=H$5,4,0),IF(AND(E10=E$5,F$6&lt;=$D$104),-0.5,0),IF(AND(F10=E$5,F$6&lt;=$D$104),-0.5,0),IF(AND(G10=E$5,F$6&lt;=$D$104),-0.5,0))</f>
        <v/>
      </c>
      <c r="J10" s="416" t="n">
        <v>1</v>
      </c>
      <c r="K10" s="418" t="n">
        <v>10</v>
      </c>
      <c r="L10" s="418" t="n">
        <v>2</v>
      </c>
      <c r="M10" s="418" t="n"/>
      <c r="N10" s="602">
        <f>SUM(IF(J10=J$5,4,0),IF(J10&amp;K10=J$5&amp;K$5,1,0),
IF(AND(J10=J$5,K$6&gt;=$D$115),1,0),
IF(AND(K10=J$5,K$6&gt;=$D$115),1,0),
IF(AND(L10=J$5,K$6&gt;=$D$115),1,0),
IF(J10&amp;M10=N$5,1,0),
IF(K10=J$5,2,0),
IF(L10=J$5,1,0),
IF(OR(J10&amp;K10&amp;L10=J$5&amp;K$5&amp;L$5,J10&amp;K10&amp;L10=J$5&amp;L$5&amp;K$5,J10&amp;K10&amp;L10=K$5&amp;J$5&amp;L$5,J10&amp;K10&amp;L10=K$5&amp;L$5&amp;J$5,J10&amp;K10&amp;L10=L$5&amp;J$5&amp;K$5,J10&amp;K10&amp;L10=L$5&amp;K$5&amp;J$5),2,0),IF(AND(J10=J$5,K$6&gt;=$D$129),1,0),IF(AND(K10=J$5,K$6&gt;=$D$129),1,0),IF(AND(L10=J$5,K$6&gt;=$D$129),1,0),IF(J10&amp;M10=M$5,4,0),IF(AND(J10=J$5,K$6&lt;=$D$104),-0.5,0),IF(AND(K10=J$5,K$6&lt;=$D$104),-0.5,0),IF(AND(L10=J$5,K$6&lt;=$D$104),-0.5,0))</f>
        <v/>
      </c>
      <c r="O10" s="416" t="n">
        <v>1</v>
      </c>
      <c r="P10" s="418" t="n">
        <v>8</v>
      </c>
      <c r="Q10" s="418" t="n">
        <v>5</v>
      </c>
      <c r="R10" s="418" t="n"/>
      <c r="S10" s="602">
        <f>SUM(IF(O10=O$5,4,0),IF(O10&amp;P10=O$5&amp;P$5,1,0),
IF(AND(O10=O$5,P$6&gt;=$D$115),1,0),
IF(AND(P10=O$5,P$6&gt;=$D$115),1,0),
IF(AND(Q10=O$5,P$6&gt;=$D$115),1,0),
IF(O10&amp;R10=S$5,1,0),
IF(P10=O$5,2,0),
IF(Q10=O$5,1,0),
IF(OR(O10&amp;P10&amp;Q10=O$5&amp;P$5&amp;Q$5,O10&amp;P10&amp;Q10=O$5&amp;Q$5&amp;P$5,O10&amp;P10&amp;Q10=P$5&amp;O$5&amp;Q$5,O10&amp;P10&amp;Q10=P$5&amp;Q$5&amp;O$5,O10&amp;P10&amp;Q10=Q$5&amp;O$5&amp;P$5,O10&amp;P10&amp;Q10=Q$5&amp;P$5&amp;O$5),2,0),IF(AND(O10=O$5,P$6&gt;=$D$129),1,0),IF(AND(P10=O$5,P$6&gt;=$D$129),1,0),IF(AND(Q10=O$5,P$6&gt;=$D$129),1,0),IF(O10&amp;R10=R$5,4,0),IF(AND(O10=O$5,P$6&lt;=$D$104),-0.5,0),IF(AND(P10=O$5,P$6&lt;=$D$104),-0.5,0),IF(AND(Q10=O$5,P$6&lt;=$D$104),-0.5,0))</f>
        <v/>
      </c>
      <c r="T10" s="416" t="n">
        <v>3</v>
      </c>
      <c r="U10" s="418" t="n">
        <v>4</v>
      </c>
      <c r="V10" s="418" t="n">
        <v>5</v>
      </c>
      <c r="W10" s="418" t="inlineStr">
        <is>
          <t>F</t>
        </is>
      </c>
      <c r="X10" s="602">
        <f>SUM(IF(T10=T$5,4,0),IF(T10&amp;U10=T$5&amp;U$5,1,0),
IF(AND(T10=T$5,U$6&gt;=$D$115),1,0),
IF(AND(U10=T$5,U$6&gt;=$D$115),1,0),
IF(AND(V10=T$5,U$6&gt;=$D$115),1,0),
IF(T10&amp;W10=X$5,1,0),
IF(U10=T$5,2,0),
IF(V10=T$5,1,0),
IF(OR(T10&amp;U10&amp;V10=T$5&amp;U$5&amp;V$5,T10&amp;U10&amp;V10=T$5&amp;V$5&amp;U$5,T10&amp;U10&amp;V10=U$5&amp;T$5&amp;V$5,T10&amp;U10&amp;V10=U$5&amp;V$5&amp;T$5,T10&amp;U10&amp;V10=V$5&amp;T$5&amp;U$5,T10&amp;U10&amp;V10=V$5&amp;U$5&amp;T$5),2,0),IF(AND(T10=T$5,U$6&gt;=$D$129),1,0),IF(AND(U10=T$5,U$6&gt;=$D$129),1,0),IF(AND(V10=T$5,U$6&gt;=$D$129),1,0),IF(T10&amp;W10=W$5,4,0),IF(AND(T10=T$5,U$6&lt;=$D$104),-0.5,0),IF(AND(U10=T$5,U$6&lt;=$D$104),-0.5,0),IF(AND(V10=T$5,U$6&lt;=$D$104),-0.5,0))</f>
        <v/>
      </c>
      <c r="Y10" s="416" t="n">
        <v>2</v>
      </c>
      <c r="Z10" s="418" t="n">
        <v>1</v>
      </c>
      <c r="AA10" s="418" t="n">
        <v>4</v>
      </c>
      <c r="AB10" s="418" t="n"/>
      <c r="AC10" s="602">
        <f>SUM(IF(Y10=Y$5,4,0),IF(Y10&amp;Z10=Y$5&amp;Z$5,1,0),
IF(AND(Y10=Y$5,Z$6&gt;=$D$115),1,0),
IF(AND(Z10=Y$5,Z$6&gt;=$D$115),1,0),
IF(AND(AA10=Y$5,Z$6&gt;=$D$115),1,0),
IF(Y10&amp;AB10=AC$5,1,0),
IF(Z10=Y$5,2,0),
IF(AA10=Y$5,1,0),
IF(OR(Y10&amp;Z10&amp;AA10=Y$5&amp;Z$5&amp;AA$5,Y10&amp;Z10&amp;AA10=Y$5&amp;AA$5&amp;Z$5,Y10&amp;Z10&amp;AA10=Z$5&amp;Y$5&amp;AA$5,Y10&amp;Z10&amp;AA10=Z$5&amp;AA$5&amp;Y$5,Y10&amp;Z10&amp;AA10=AA$5&amp;Y$5&amp;Z$5,Y10&amp;Z10&amp;AA10=AA$5&amp;Z$5&amp;Y$5),2,0),IF(AND(Y10=Y$5,Z$6&gt;=$D$129),1,0),IF(AND(Z10=Y$5,Z$6&gt;=$D$129),1,0),IF(AND(AA10=Y$5,Z$6&gt;=$D$129),1,0),IF(Y10&amp;AB10=AB$5,4,0),IF(AND(Y10=Y$5,Z$6&lt;=$D$104),-0.5,0),IF(AND(Z10=Y$5,Z$6&lt;=$D$104),-0.5,0),IF(AND(AA10=Y$5,Z$6&lt;=$D$104),-0.5,0))</f>
        <v/>
      </c>
      <c r="AD10" s="416" t="n">
        <v>4</v>
      </c>
      <c r="AE10" s="418" t="n">
        <v>7</v>
      </c>
      <c r="AF10" s="418" t="n">
        <v>5</v>
      </c>
      <c r="AG10" s="418" t="n"/>
      <c r="AH10" s="602">
        <f>SUM(IF(AD10=AD$5,4,0),IF(AD10&amp;AE10=AD$5&amp;AE$5,1,0),
IF(AND(AD10=AD$5,AE$6&gt;=$D$115),1,0),
IF(AND(AE10=AD$5,AE$6&gt;=$D$115),1,0),
IF(AND(AF10=AD$5,AE$6&gt;=$D$115),1,0),
IF(AD10&amp;AG10=AH$5,1,0),
IF(AE10=AD$5,2,0),
IF(AF10=AD$5,1,0),
IF(OR(AD10&amp;AE10&amp;AF10=AD$5&amp;AE$5&amp;AF$5,AD10&amp;AE10&amp;AF10=AD$5&amp;AF$5&amp;AE$5,AD10&amp;AE10&amp;AF10=AE$5&amp;AD$5&amp;AF$5,AD10&amp;AE10&amp;AF10=AE$5&amp;AF$5&amp;AD$5,AD10&amp;AE10&amp;AF10=AF$5&amp;AD$5&amp;AE$5,AD10&amp;AE10&amp;AF10=AF$5&amp;AE$5&amp;AD$5),2,0),IF(AND(AD10=AD$5,AE$6&gt;=$D$129),1,0),IF(AND(AE10=AD$5,AE$6&gt;=$D$129),1,0),IF(AND(AF10=AD$5,AE$6&gt;=$D$129),1,0),IF(AD10&amp;AG10=AG$5,4,0),IF(AND(AD10=AD$5,AE$6&lt;=$D$104),-0.5,0),IF(AND(AE10=AD$5,AE$6&lt;=$D$104),-0.5,0),IF(AND(AF10=AD$5,AE$6&lt;=$D$104),-0.5,0))</f>
        <v/>
      </c>
      <c r="AI10" s="416" t="n">
        <v>7</v>
      </c>
      <c r="AJ10" s="418" t="n">
        <v>6</v>
      </c>
      <c r="AK10" s="418" t="n">
        <v>3</v>
      </c>
      <c r="AL10" s="418" t="n"/>
      <c r="AM10" s="602">
        <f>SUM(IF(AI10=AI$5,4,0),IF(AI10&amp;AJ10=AI$5&amp;AJ$5,1,0),
IF(AND(AI10=AI$5,AJ$6&gt;=$D$115),1,0),
IF(AND(AJ10=AI$5,AJ$6&gt;=$D$115),1,0),
IF(AND(AK10=AI$5,AJ$6&gt;=$D$115),1,0),
IF(AI10&amp;AL10=AM$5,1,0),
IF(AJ10=AI$5,2,0),
IF(AK10=AI$5,1,0),
IF(OR(AI10&amp;AJ10&amp;AK10=AI$5&amp;AJ$5&amp;AK$5,AI10&amp;AJ10&amp;AK10=AI$5&amp;AK$5&amp;AJ$5,AI10&amp;AJ10&amp;AK10=AJ$5&amp;AI$5&amp;AK$5,AI10&amp;AJ10&amp;AK10=AJ$5&amp;AK$5&amp;AI$5,AI10&amp;AJ10&amp;AK10=AK$5&amp;AI$5&amp;AJ$5,AI10&amp;AJ10&amp;AK10=AK$5&amp;AJ$5&amp;AI$5),2,0),IF(AND(AI10=AI$5,AJ$6&gt;=$D$129),1,0),IF(AND(AJ10=AI$5,AJ$6&gt;=$D$129),1,0),IF(AND(AK10=AI$5,AJ$6&gt;=$D$129),1,0),IF(AI10&amp;AL10=AL$5,4,0),IF(AND(AI10=AI$5,AJ$6&lt;=$D$104),-0.5,0),IF(AND(AJ10=AI$5,AJ$6&lt;=$D$104),-0.5,0),IF(AND(AK10=AI$5,AJ$6&lt;=$D$104),-0.5,0))</f>
        <v/>
      </c>
      <c r="AN10" s="416" t="n">
        <v>8</v>
      </c>
      <c r="AO10" s="418" t="n"/>
      <c r="AP10" s="418" t="n"/>
      <c r="AQ10" s="418" t="inlineStr">
        <is>
          <t>SF</t>
        </is>
      </c>
      <c r="AR10" s="602">
        <f>SUM(IF(AN10=AN$5,4,0),IF(AN10&amp;AO10=AN$5&amp;AO$5,1,0),
IF(AND(AN10=AN$5,AO$6&gt;=$D$115),1,0),
IF(AND(AO10=AN$5,AO$6&gt;=$D$115),1,0),
IF(AND(AP10=AN$5,AO$6&gt;=$D$115),1,0),
IF(AN10&amp;AQ10=AR$5,1,0),
IF(AO10=AN$5,2,0),
IF(AP10=AN$5,1,0),
IF(OR(AN10&amp;AO10&amp;AP10=AN$5&amp;AO$5&amp;AP$5,AN10&amp;AO10&amp;AP10=AN$5&amp;AP$5&amp;AO$5,AN10&amp;AO10&amp;AP10=AO$5&amp;AN$5&amp;AP$5,AN10&amp;AO10&amp;AP10=AO$5&amp;AP$5&amp;AN$5,AN10&amp;AO10&amp;AP10=AP$5&amp;AN$5&amp;AO$5,AN10&amp;AO10&amp;AP10=AP$5&amp;AO$5&amp;AN$5),2,0),IF(AND(AN10=AN$5,AO$6&gt;=$D$129),1,0),IF(AND(AO10=AN$5,AO$6&gt;=$D$129),1,0),IF(AND(AP10=AN$5,AO$6&gt;=$D$129),1,0),IF(AN10&amp;AQ10=AQ$5,4,0),IF(AND(AN10=AN$5,AO$6&lt;=$D$104),-0.5,0),IF(AND(AO10=AN$5,AO$6&lt;=$D$104),-0.5,0),IF(AND(AP10=AN$5,AO$6&lt;=$D$104),-0.5,0))</f>
        <v/>
      </c>
      <c r="AS10" s="416" t="n">
        <v>5</v>
      </c>
      <c r="AT10" s="418" t="n">
        <v>2</v>
      </c>
      <c r="AU10" s="418" t="n">
        <v>10</v>
      </c>
      <c r="AV10" s="418" t="n"/>
      <c r="AW10" s="602">
        <f>SUM(IF(AS10=AS$5,4,0),IF(AS10&amp;AT10=AS$5&amp;AT$5,1,0),
IF(AND(AS10=AS$5,AT$6&gt;=$D$115),1,0),
IF(AND(AT10=AS$5,AT$6&gt;=$D$115),1,0),
IF(AND(AU10=AS$5,AT$6&gt;=$D$115),1,0),
IF(AS10&amp;AV10=AW$5,1,0),
IF(AT10=AS$5,2,0),
IF(AU10=AS$5,1,0),
IF(OR(AS10&amp;AT10&amp;AU10=AS$5&amp;AT$5&amp;AU$5,AS10&amp;AT10&amp;AU10=AS$5&amp;AU$5&amp;AT$5,AS10&amp;AT10&amp;AU10=AT$5&amp;AS$5&amp;AU$5,AS10&amp;AT10&amp;AU10=AT$5&amp;AU$5&amp;AS$5,AS10&amp;AT10&amp;AU10=AU$5&amp;AS$5&amp;AT$5,AS10&amp;AT10&amp;AU10=AU$5&amp;AT$5&amp;AS$5),2,0),IF(AND(AS10=AS$5,AT$6&gt;=$D$129),1,0),IF(AND(AT10=AS$5,AT$6&gt;=$D$129),1,0),IF(AND(AU10=AS$5,AT$6&gt;=$D$129),1,0),IF(AS10&amp;AV10=AV$5,4,0),IF(AND(AS10=AS$5,AT$6&lt;=$D$104),-0.5,0),IF(AND(AT10=AS$5,AT$6&lt;=$D$104),-0.5,0),IF(AND(AU10=AS$5,AT$6&lt;=$D$104),-0.5,0))</f>
        <v/>
      </c>
      <c r="AX10" s="416" t="n">
        <v>2</v>
      </c>
      <c r="AY10" s="418" t="n">
        <v>6</v>
      </c>
      <c r="AZ10" s="418" t="n">
        <v>10</v>
      </c>
      <c r="BA10" s="418" t="n"/>
      <c r="BB10" s="602">
        <f>SUM(IF(AX10=AX$5,4,0),IF(AX10&amp;AY10=AX$5&amp;AY$5,1,0),
IF(AND(AX10=AX$5,AY$6&gt;=$D$115),1,0),
IF(AND(AY10=AX$5,AY$6&gt;=$D$115),1,0),
IF(AND(AZ10=AX$5,AY$6&gt;=$D$115),1,0),
IF(AX10&amp;BA10=BB$5,1,0),
IF(AY10=AX$5,2,0),
IF(AZ10=AX$5,1,0),
IF(OR(AX10&amp;AY10&amp;AZ10=AX$5&amp;AY$5&amp;AZ$5,AX10&amp;AY10&amp;AZ10=AX$5&amp;AZ$5&amp;AY$5,AX10&amp;AY10&amp;AZ10=AY$5&amp;AX$5&amp;AZ$5,AX10&amp;AY10&amp;AZ10=AY$5&amp;AZ$5&amp;AX$5,AX10&amp;AY10&amp;AZ10=AZ$5&amp;AX$5&amp;AY$5,AX10&amp;AY10&amp;AZ10=AZ$5&amp;AY$5&amp;AX$5),2,0),IF(AND(AX10=AX$5,AY$6&gt;=$D$129),1,0),IF(AND(AY10=AX$5,AY$6&gt;=$D$129),1,0),IF(AND(AZ10=AX$5,AY$6&gt;=$D$129),1,0),IF(AX10&amp;BA10=BA$5,4,0),IF(AND(AX10=AX$5,AY$6&lt;=$D$104),-0.5,0),IF(AND(AY10=AX$5,AY$6&lt;=$D$104),-0.5,0),IF(AND(AZ10=AX$5,AY$6&lt;=$D$104),-0.5,0))</f>
        <v/>
      </c>
      <c r="BC10" s="416" t="n">
        <v>7</v>
      </c>
      <c r="BD10" s="418" t="n">
        <v>5</v>
      </c>
      <c r="BE10" s="418" t="n">
        <v>3</v>
      </c>
      <c r="BF10" s="418" t="n"/>
      <c r="BG10" s="602">
        <f>SUM(IF(BC10=BC$5,4,0),IF(BC10&amp;BD10=BC$5&amp;BD$5,1,0),
IF(AND(BC10=BC$5,BD$6&gt;=$D$115),1,0),
IF(AND(BD10=BC$5,BD$6&gt;=$D$115),1,0),
IF(AND(BE10=BC$5,BD$6&gt;=$D$115),1,0),
IF(BC10&amp;BF10=BG$5,1,0),
IF(BD10=BC$5,2,0),
IF(BE10=BC$5,1,0),
IF(OR(BC10&amp;BD10&amp;BE10=BC$5&amp;BD$5&amp;BE$5,BC10&amp;BD10&amp;BE10=BC$5&amp;BE$5&amp;BD$5,BC10&amp;BD10&amp;BE10=BD$5&amp;BC$5&amp;BE$5,BC10&amp;BD10&amp;BE10=BD$5&amp;BE$5&amp;BC$5,BC10&amp;BD10&amp;BE10=BE$5&amp;BC$5&amp;BD$5,BC10&amp;BD10&amp;BE10=BE$5&amp;BD$5&amp;BC$5),2,0),IF(AND(BC10=BC$5,BD$6&gt;=$D$129),1,0),IF(AND(BD10=BC$5,BD$6&gt;=$D$129),1,0),IF(AND(BE10=BC$5,BD$6&gt;=$D$129),1,0),IF(BC10&amp;BF10=BF$5,4,0),IF(AND(BC10=BC$5,BD$6&lt;=$D$104),-0.5,0),IF(AND(BD10=BC$5,BD$6&lt;=$D$104),-0.5,0),IF(AND(BE10=BC$5,BD$6&lt;=$D$104),-0.5,0))</f>
        <v/>
      </c>
      <c r="BH10" s="416" t="n">
        <v>6</v>
      </c>
      <c r="BI10" s="418" t="n">
        <v>1</v>
      </c>
      <c r="BJ10" s="418" t="n">
        <v>5</v>
      </c>
      <c r="BK10" s="418" t="n"/>
      <c r="BL10" s="602">
        <f>SUM(IF(BH10=BH$5,4,0),IF(BH10&amp;BI10=BH$5&amp;BI$5,1,0),
IF(AND(BH10=BH$5,BI$6&gt;=$D$115),1,0),
IF(AND(BI10=BH$5,BI$6&gt;=$D$115),1,0),
IF(AND(BJ10=BH$5,BI$6&gt;=$D$115),1,0),
IF(BH10&amp;BK10=BL$5,1,0),
IF(BI10=BH$5,2,0),
IF(BJ10=BH$5,1,0),
IF(OR(BH10&amp;BI10&amp;BJ10=BH$5&amp;BI$5&amp;BJ$5,BH10&amp;BI10&amp;BJ10=BH$5&amp;BJ$5&amp;BI$5,BH10&amp;BI10&amp;BJ10=BI$5&amp;BH$5&amp;BJ$5,BH10&amp;BI10&amp;BJ10=BI$5&amp;BJ$5&amp;BH$5,BH10&amp;BI10&amp;BJ10=BJ$5&amp;BH$5&amp;BI$5,BH10&amp;BI10&amp;BJ10=BJ$5&amp;BI$5&amp;BH$5),2,0),IF(AND(BH10=BH$5,BI$6&gt;=$D$129),1,0),IF(AND(BI10=BH$5,BI$6&gt;=$D$129),1,0),IF(AND(BJ10=BH$5,BI$6&gt;=$D$129),1,0),IF(BH10&amp;BK10=BK$5,4,0),IF(AND(BH10=BH$5,BI$6&lt;=$D$104),-0.5,0),IF(AND(BI10=BH$5,BI$6&lt;=$D$104),-0.5,0),IF(AND(BJ10=BH$5,BI$6&lt;=$D$104),-0.5,0))</f>
        <v/>
      </c>
      <c r="BM10" s="416" t="n">
        <v>3</v>
      </c>
      <c r="BN10" s="418" t="n">
        <v>9</v>
      </c>
      <c r="BO10" s="418" t="n">
        <v>4</v>
      </c>
      <c r="BP10" s="418" t="n"/>
      <c r="BQ10" s="602">
        <f>SUM(IF(BM10=BM$5,4,0),IF(BM10&amp;BN10=BM$5&amp;BN$5,1,0),
IF(AND(BM10=BM$5,BN$6&gt;=$D$115),1,0),
IF(AND(BN10=BM$5,BN$6&gt;=$D$115),1,0),
IF(AND(BO10=BM$5,BN$6&gt;=$D$115),1,0),
IF(BM10&amp;BP10=BQ$5,1,0),
IF(BN10=BM$5,2,0),
IF(BO10=BM$5,1,0),
IF(OR(BM10&amp;BN10&amp;BO10=BM$5&amp;BN$5&amp;BO$5,BM10&amp;BN10&amp;BO10=BM$5&amp;BO$5&amp;BN$5,BM10&amp;BN10&amp;BO10=BN$5&amp;BM$5&amp;BO$5,BM10&amp;BN10&amp;BO10=BN$5&amp;BO$5&amp;BM$5,BM10&amp;BN10&amp;BO10=BO$5&amp;BM$5&amp;BN$5,BM10&amp;BN10&amp;BO10=BO$5&amp;BN$5&amp;BM$5),2,0),IF(AND(BM10=BM$5,BN$6&gt;=$D$129),1,0),IF(AND(BN10=BM$5,BN$6&gt;=$D$129),1,0),IF(AND(BO10=BM$5,BN$6&gt;=$D$129),1,0),IF(BM10&amp;BP10=BP$5,4,0),IF(AND(BM10=BM$5,BN$6&lt;=$D$104),-0.5,0),IF(AND(BN10=BM$5,BN$6&lt;=$D$104),-0.5,0),IF(AND(BO10=BM$5,BN$6&lt;=$D$104),-0.5,0))</f>
        <v/>
      </c>
      <c r="BR10" s="416" t="n">
        <v>11</v>
      </c>
      <c r="BS10" s="418" t="n">
        <v>2</v>
      </c>
      <c r="BT10" s="418" t="n">
        <v>5</v>
      </c>
      <c r="BU10" s="418" t="inlineStr">
        <is>
          <t>F</t>
        </is>
      </c>
      <c r="BV10" s="602">
        <f>SUM(IF(BR10=BR$5,4,0),IF(BR10&amp;BS10=BR$5&amp;BS$5,1,0),
IF(AND(BR10=BR$5,BS$6&gt;=$D$115),1,0),
IF(AND(BS10=BR$5,BS$6&gt;=$D$115),1,0),
IF(AND(BT10=BR$5,BS$6&gt;=$D$115),1,0),
IF(BR10&amp;BU10=BV$5,1,0),
IF(BS10=BR$5,2,0),
IF(BT10=BR$5,1,0),
IF(OR(BR10&amp;BS10&amp;BT10=BR$5&amp;BS$5&amp;BT$5,BR10&amp;BS10&amp;BT10=BR$5&amp;BT$5&amp;BS$5,BR10&amp;BS10&amp;BT10=BS$5&amp;BR$5&amp;BT$5,BR10&amp;BS10&amp;BT10=BS$5&amp;BT$5&amp;BR$5,BR10&amp;BS10&amp;BT10=BT$5&amp;BR$5&amp;BS$5,BR10&amp;BS10&amp;BT10=BT$5&amp;BS$5&amp;BR$5),2,0),IF(AND(BR10=BR$5,BS$6&gt;=$D$129),1,0),IF(AND(BS10=BR$5,BS$6&gt;=$D$129),1,0),IF(AND(BT10=BR$5,BS$6&gt;=$D$129),1,0),IF(BR10&amp;BU10=BU$5,4,0),IF(AND(BR10=BR$5,BS$6&lt;=$D$104),-0.5,0),IF(AND(BS10=BR$5,BS$6&lt;=$D$104),-0.5,0),IF(AND(BT10=BR$5,BS$6&lt;=$D$104),-0.5,0))</f>
        <v/>
      </c>
      <c r="BW10" s="416" t="n"/>
      <c r="BX10" s="418" t="n"/>
      <c r="BY10" s="418" t="n"/>
      <c r="BZ10" s="418" t="n"/>
      <c r="CA10" s="602">
        <f>SUM(IF(BW10=BW$5,4,0),IF(BW10&amp;BX10=BW$5&amp;BX$5,1,0),
IF(AND(BW10=BW$5,BX$6&gt;=$D$115),1,0),
IF(AND(BX10=BW$5,BX$6&gt;=$D$115),1,0),
IF(AND(BY10=BW$5,BX$6&gt;=$D$115),1,0),
IF(BW10&amp;BZ10=CA$5,1,0),
IF(BX10=BW$5,2,0),
IF(BY10=BW$5,1,0),
IF(OR(BW10&amp;BX10&amp;BY10=BW$5&amp;BX$5&amp;BY$5,BW10&amp;BX10&amp;BY10=BW$5&amp;BY$5&amp;BX$5,BW10&amp;BX10&amp;BY10=BX$5&amp;BW$5&amp;BY$5,BW10&amp;BX10&amp;BY10=BX$5&amp;BY$5&amp;BW$5,BW10&amp;BX10&amp;BY10=BY$5&amp;BW$5&amp;BX$5,BW10&amp;BX10&amp;BY10=BY$5&amp;BX$5&amp;BW$5),2,0),IF(AND(BW10=BW$5,BX$6&gt;=$D$129),1,0),IF(AND(BX10=BW$5,BX$6&gt;=$D$129),1,0),IF(AND(BY10=BW$5,BX$6&gt;=$D$129),1,0),IF(BW10&amp;BZ10=BZ$5,4,0),IF(AND(BW10=BW$5,BX$6&lt;=$D$104),-0.5,0),IF(AND(BX10=BW$5,BX$6&lt;=$D$104),-0.5,0),IF(AND(BY10=BW$5,BX$6&lt;=$D$104),-0.5,0))</f>
        <v/>
      </c>
      <c r="CB10" s="416" t="n"/>
      <c r="CC10" s="418" t="n"/>
      <c r="CD10" s="418" t="n"/>
      <c r="CE10" s="418" t="n"/>
      <c r="CF10" s="602">
        <f>SUM(IF(CB10=CB$5,4,0),IF(CB10&amp;CC10=CB$5&amp;CC$5,1,0),
IF(AND(CB10=CB$5,CC$6&gt;=$D$115),1,0),
IF(AND(CC10=CB$5,CC$6&gt;=$D$115),1,0),
IF(AND(CD10=CB$5,CC$6&gt;=$D$115),1,0),
IF(CB10&amp;CE10=CF$5,1,0),
IF(CC10=CB$5,2,0),
IF(CD10=CB$5,1,0),
IF(OR(CB10&amp;CC10&amp;CD10=CB$5&amp;CC$5&amp;CD$5,CB10&amp;CC10&amp;CD10=CB$5&amp;CD$5&amp;CC$5,CB10&amp;CC10&amp;CD10=CC$5&amp;CB$5&amp;CD$5,CB10&amp;CC10&amp;CD10=CC$5&amp;CD$5&amp;CB$5,CB10&amp;CC10&amp;CD10=CD$5&amp;CB$5&amp;CC$5,CB10&amp;CC10&amp;CD10=CD$5&amp;CC$5&amp;CB$5),2,0),IF(AND(CB10=CB$5,CC$6&gt;=$D$129),1,0),IF(AND(CC10=CB$5,CC$6&gt;=$D$129),1,0),IF(AND(CD10=CB$5,CC$6&gt;=$D$129),1,0),IF(CB10&amp;CE10=CE$5,4,0),IF(AND(CB10=CB$5,CC$6&lt;=$D$104),-0.5,0),IF(AND(CC10=CB$5,CC$6&lt;=$D$104),-0.5,0),IF(AND(CD10=CB$5,CC$6&lt;=$D$104),-0.5,0))</f>
        <v/>
      </c>
      <c r="CG10" s="164">
        <f>IF(SEMANA2[[#This Row],[1]]="",0,$B$4)</f>
        <v/>
      </c>
      <c r="CH10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0" s="166">
        <f>IF(SEMANA2[[#This Row],[Columna14]]=0,0,(CH10/CG10))</f>
        <v/>
      </c>
      <c r="CJ10" s="165">
        <f>IF(SEMANA2[[#This Row],[1]]="",0,$B$4)</f>
        <v/>
      </c>
      <c r="CK10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0" s="166">
        <f>IF(SEMANA2[[#This Row],[Columna14]]=0,0,(CK10/CJ10))</f>
        <v/>
      </c>
      <c r="CM10" s="164">
        <f>IF(SEMANA2[[#This Row],[1]]="",0,$B$4)</f>
        <v/>
      </c>
      <c r="CN10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0" s="166">
        <f>IF(SEMANA2[[#This Row],[Columna14]]=0,0,(CN10/CM10))</f>
        <v/>
      </c>
      <c r="CP10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0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Row],[Columna25]],$AX$5,BA10,"SF")+COUNTIFS(SEMANA2[[#This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0" s="166">
        <f>IFERROR(IF(SEMANA2[[#This Row],[Columna14]]=0,0,(CQ10/CP10)),0)</f>
        <v/>
      </c>
      <c r="CS10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0" s="95">
        <f>_xlfn.XLOOKUP(SEMANA2[[#This Row],[COD]],BASE01[COD],BASE01[Columna33])</f>
        <v/>
      </c>
      <c r="CU10" s="604">
        <f>SUM(CS10,CT10)</f>
        <v/>
      </c>
      <c r="CV10" s="450">
        <f>IF(SEMANA2[[#This Row],[TIPO]]="PREMIO",$O$3,"0,00")</f>
        <v/>
      </c>
      <c r="CW10" s="576" t="n"/>
      <c r="CY10" s="393" t="n">
        <v>3</v>
      </c>
      <c r="CZ10" s="354">
        <f>P$6</f>
        <v/>
      </c>
      <c r="DB10" s="605">
        <f>SEMANA2[[#This Row],[COD]]</f>
        <v/>
      </c>
      <c r="DC10" s="395">
        <f t="array" ref="DC10">IFERROR(IF(AND(INDEX($E$8:$CE$57, MATCH($C10, $C$8:$C$57, 0), (COLUMNS($DC10:DC10)-1)*5 + 1) = INDEX($E$5:$CE$5, 1, (COLUMNS($DC10:DC10)-1)*5 + 1), INDEX($E$8:$CE$57, MATCH($C10, $C$8:$C$57, 0), (COLUMNS($DC10:DC10)-1)*5 + 4) = "F"), INDEX($CZ$8:$CZ$23, COLUMNS($DC10:DC10)), "0"), "")</f>
        <v/>
      </c>
      <c r="DD10" s="395">
        <f t="array" ref="DD10">IFERROR(IF(AND(INDEX($E$8:$CE$57, MATCH($C10, $C$8:$C$57, 0), (COLUMNS($DC10:DD10)-1)*5 + 1) = INDEX($E$5:$CE$5, 1, (COLUMNS($DC10:DD10)-1)*5 + 1), INDEX($E$8:$CE$57, MATCH($C10, $C$8:$C$57, 0), (COLUMNS($DC10:DD10)-1)*5 + 4) = "F"), INDEX($CZ$8:$CZ$23, COLUMNS($DC10:DD10)), "0"), "")</f>
        <v/>
      </c>
      <c r="DE10" s="395">
        <f t="array" ref="DE10">IFERROR(IF(AND(INDEX($E$8:$CE$57, MATCH($C10, $C$8:$C$57, 0), (COLUMNS($DC10:DE10)-1)*5 + 1) = INDEX($E$5:$CE$5, 1, (COLUMNS($DC10:DE10)-1)*5 + 1), INDEX($E$8:$CE$57, MATCH($C10, $C$8:$C$57, 0), (COLUMNS($DC10:DE10)-1)*5 + 4) = "F"), INDEX($CZ$8:$CZ$23, COLUMNS($DC10:DE10)), "0"), "")</f>
        <v/>
      </c>
      <c r="DF10" s="395">
        <f t="array" ref="DF10">IFERROR(IF(AND(INDEX($E$8:$CE$57, MATCH($C10, $C$8:$C$57, 0), (COLUMNS($DC10:DF10)-1)*5 + 1) = INDEX($E$5:$CE$5, 1, (COLUMNS($DC10:DF10)-1)*5 + 1), INDEX($E$8:$CE$57, MATCH($C10, $C$8:$C$57, 0), (COLUMNS($DC10:DF10)-1)*5 + 4) = "F"), INDEX($CZ$8:$CZ$23, COLUMNS($DC10:DF10)), "0"), "")</f>
        <v/>
      </c>
      <c r="DG10" s="395">
        <f t="array" ref="DG10">IFERROR(IF(AND(INDEX($E$8:$CE$57, MATCH($C10, $C$8:$C$57, 0), (COLUMNS($DC10:DG10)-1)*5 + 1) = INDEX($E$5:$CE$5, 1, (COLUMNS($DC10:DG10)-1)*5 + 1), INDEX($E$8:$CE$57, MATCH($C10, $C$8:$C$57, 0), (COLUMNS($DC10:DG10)-1)*5 + 4) = "F"), INDEX($CZ$8:$CZ$23, COLUMNS($DC10:DG10)), "0"), "")</f>
        <v/>
      </c>
      <c r="DH10" s="395">
        <f t="array" ref="DH10">IFERROR(IF(AND(INDEX($E$8:$CE$57, MATCH($C10, $C$8:$C$57, 0), (COLUMNS($DC10:DH10)-1)*5 + 1) = INDEX($E$5:$CE$5, 1, (COLUMNS($DC10:DH10)-1)*5 + 1), INDEX($E$8:$CE$57, MATCH($C10, $C$8:$C$57, 0), (COLUMNS($DC10:DH10)-1)*5 + 4) = "F"), INDEX($CZ$8:$CZ$23, COLUMNS($DC10:DH10)), "0"), "")</f>
        <v/>
      </c>
      <c r="DI10" s="395">
        <f t="array" ref="DI10">IFERROR(IF(AND(INDEX($E$8:$CE$57, MATCH($C10, $C$8:$C$57, 0), (COLUMNS($DC10:DI10)-1)*5 + 1) = INDEX($E$5:$CE$5, 1, (COLUMNS($DC10:DI10)-1)*5 + 1), INDEX($E$8:$CE$57, MATCH($C10, $C$8:$C$57, 0), (COLUMNS($DC10:DI10)-1)*5 + 4) = "F"), INDEX($CZ$8:$CZ$23, COLUMNS($DC10:DI10)), "0"), "")</f>
        <v/>
      </c>
      <c r="DJ10" s="395">
        <f t="array" ref="DJ10">IFERROR(IF(AND(INDEX($E$8:$CE$57, MATCH($C10, $C$8:$C$57, 0), (COLUMNS($DC10:DJ10)-1)*5 + 1) = INDEX($E$5:$CE$5, 1, (COLUMNS($DC10:DJ10)-1)*5 + 1), INDEX($E$8:$CE$57, MATCH($C10, $C$8:$C$57, 0), (COLUMNS($DC10:DJ10)-1)*5 + 4) = "F"), INDEX($CZ$8:$CZ$23, COLUMNS($DC10:DJ10)), "0"), "")</f>
        <v/>
      </c>
      <c r="DK10" s="395">
        <f t="array" ref="DK10">IFERROR(IF(AND(INDEX($E$8:$CE$57, MATCH($C10, $C$8:$C$57, 0), (COLUMNS($DC10:DK10)-1)*5 + 1) = INDEX($E$5:$CE$5, 1, (COLUMNS($DC10:DK10)-1)*5 + 1), INDEX($E$8:$CE$57, MATCH($C10, $C$8:$C$57, 0), (COLUMNS($DC10:DK10)-1)*5 + 4) = "F"), INDEX($CZ$8:$CZ$23, COLUMNS($DC10:DK10)), "0"), "")</f>
        <v/>
      </c>
      <c r="DL10" s="395">
        <f t="array" ref="DL10">IFERROR(IF(AND(INDEX($E$8:$CE$57, MATCH($C10, $C$8:$C$57, 0), (COLUMNS($DC10:DL10)-1)*5 + 1) = INDEX($E$5:$CE$5, 1, (COLUMNS($DC10:DL10)-1)*5 + 1), INDEX($E$8:$CE$57, MATCH($C10, $C$8:$C$57, 0), (COLUMNS($DC10:DL10)-1)*5 + 4) = "F"), INDEX($CZ$8:$CZ$23, COLUMNS($DC10:DL10)), "0"), "")</f>
        <v/>
      </c>
      <c r="DM10" s="395">
        <f t="array" ref="DM10">IFERROR(IF(AND(INDEX($E$8:$CE$57, MATCH($C10, $C$8:$C$57, 0), (COLUMNS($DC10:DM10)-1)*5 + 1) = INDEX($E$5:$CE$5, 1, (COLUMNS($DC10:DM10)-1)*5 + 1), INDEX($E$8:$CE$57, MATCH($C10, $C$8:$C$57, 0), (COLUMNS($DC10:DM10)-1)*5 + 4) = "F"), INDEX($CZ$8:$CZ$23, COLUMNS($DC10:DM10)), "0"), "")</f>
        <v/>
      </c>
      <c r="DN10" s="395">
        <f t="array" ref="DN10">IFERROR(IF(AND(INDEX($E$8:$CE$57, MATCH($C10, $C$8:$C$57, 0), (COLUMNS($DC10:DN10)-1)*5 + 1) = INDEX($E$5:$CE$5, 1, (COLUMNS($DC10:DN10)-1)*5 + 1), INDEX($E$8:$CE$57, MATCH($C10, $C$8:$C$57, 0), (COLUMNS($DC10:DN10)-1)*5 + 4) = "F"), INDEX($CZ$8:$CZ$23, COLUMNS($DC10:DN10)), "0"), "")</f>
        <v/>
      </c>
      <c r="DO10" s="395">
        <f t="array" ref="DO10">IFERROR(IF(AND(INDEX($E$8:$CE$57, MATCH($C10, $C$8:$C$57, 0), (COLUMNS($DC10:DO10)-1)*5 + 1) = INDEX($E$5:$CE$5, 1, (COLUMNS($DC10:DO10)-1)*5 + 1), INDEX($E$8:$CE$57, MATCH($C10, $C$8:$C$57, 0), (COLUMNS($DC10:DO10)-1)*5 + 4) = "F"), INDEX($CZ$8:$CZ$23, COLUMNS($DC10:DO10)), "0"), "")</f>
        <v/>
      </c>
      <c r="DP10" s="395">
        <f t="array" ref="DP10">IFERROR(IF(AND(INDEX($E$8:$CE$57, MATCH($C10, $C$8:$C$57, 0), (COLUMNS($DC10:DP10)-1)*5 + 1) = INDEX($E$5:$CE$5, 1, (COLUMNS($DC10:DP10)-1)*5 + 1), INDEX($E$8:$CE$57, MATCH($C10, $C$8:$C$57, 0), (COLUMNS($DC10:DP10)-1)*5 + 4) = "F"), INDEX($CZ$8:$CZ$23, COLUMNS($DC10:DP10)), "0"), "")</f>
        <v/>
      </c>
      <c r="DQ10" s="395">
        <f t="array" ref="DQ10">IFERROR(IF(AND(INDEX($E$8:$CE$57, MATCH($C10, $C$8:$C$57, 0), (COLUMNS($DC10:DQ10)-1)*5 + 1) = INDEX($E$5:$CE$5, 1, (COLUMNS($DC10:DQ10)-1)*5 + 1), INDEX($E$8:$CE$57, MATCH($C10, $C$8:$C$57, 0), (COLUMNS($DC10:DQ10)-1)*5 + 4) = "F"), INDEX($CZ$8:$CZ$23, COLUMNS($DC10:DQ10)), "0"), "")</f>
        <v/>
      </c>
      <c r="DR10" s="395">
        <f t="array" ref="DR10">IFERROR(IF(AND(INDEX($E$8:$CE$57, MATCH($C10, $C$8:$C$57, 0), (COLUMNS($DC10:DR10)-1)*5 + 1) = INDEX($E$5:$CE$5, 1, (COLUMNS($DC10:DR10)-1)*5 + 1), INDEX($E$8:$CE$57, MATCH($C10, $C$8:$C$57, 0), (COLUMNS($DC10:DR10)-1)*5 + 4) = "F"), INDEX($CZ$8:$CZ$23, COLUMNS($DC10:DR10)), "0"), "")</f>
        <v/>
      </c>
      <c r="DT10" s="605">
        <f>SEMANA2[[#This Row],[COD]]</f>
        <v/>
      </c>
      <c r="DU10" s="395">
        <f t="array" ref="DU10">IFERROR(IF(AND(INDEX($E$8:$CE$57, MATCH($C10, $C$8:$C$57, 0), (COLUMNS($DU10:DU10)-1)*5 + 1) = INDEX($E$5:$CE$5, 1, (COLUMNS($DU10:DU10)-1)*5 + 1), INDEX($E$8:$CE$57, MATCH($C10, $C$8:$C$57, 0), (COLUMNS($DU10:DU10)-1)*5 + 4) = "SF"), INDEX($CZ$8:$CZ$23, COLUMNS($DU10:DU10)), "0"), "")</f>
        <v/>
      </c>
      <c r="DV10" s="395">
        <f t="array" ref="DV10">IFERROR(IF(AND(INDEX($E$8:$CE$57, MATCH($C10, $C$8:$C$57, 0), (COLUMNS($DU10:DV10)-1)*5 + 1) = INDEX($E$5:$CE$5, 1, (COLUMNS($DU10:DV10)-1)*5 + 1), INDEX($E$8:$CE$57, MATCH($C10, $C$8:$C$57, 0), (COLUMNS($DU10:DV10)-1)*5 + 4) = "SF"), INDEX($CZ$8:$CZ$23, COLUMNS($DU10:DV10)), "0"), "")</f>
        <v/>
      </c>
      <c r="DW10" s="395">
        <f t="array" ref="DW10">IFERROR(IF(AND(INDEX($E$8:$CE$57, MATCH($C10, $C$8:$C$57, 0), (COLUMNS($DU10:DW10)-1)*5 + 1) = INDEX($E$5:$CE$5, 1, (COLUMNS($DU10:DW10)-1)*5 + 1), INDEX($E$8:$CE$57, MATCH($C10, $C$8:$C$57, 0), (COLUMNS($DU10:DW10)-1)*5 + 4) = "SF"), INDEX($CZ$8:$CZ$23, COLUMNS($DU10:DW10)), "0"), "")</f>
        <v/>
      </c>
      <c r="DX10" s="395">
        <f t="array" ref="DX10">IFERROR(IF(AND(INDEX($E$8:$CE$57, MATCH($C10, $C$8:$C$57, 0), (COLUMNS($DU10:DX10)-1)*5 + 1) = INDEX($E$5:$CE$5, 1, (COLUMNS($DU10:DX10)-1)*5 + 1), INDEX($E$8:$CE$57, MATCH($C10, $C$8:$C$57, 0), (COLUMNS($DU10:DX10)-1)*5 + 4) = "SF"), INDEX($CZ$8:$CZ$23, COLUMNS($DU10:DX10)), "0"), "")</f>
        <v/>
      </c>
      <c r="DY10" s="395">
        <f t="array" ref="DY10">IFERROR(IF(AND(INDEX($E$8:$CE$57, MATCH($C10, $C$8:$C$57, 0), (COLUMNS($DU10:DY10)-1)*5 + 1) = INDEX($E$5:$CE$5, 1, (COLUMNS($DU10:DY10)-1)*5 + 1), INDEX($E$8:$CE$57, MATCH($C10, $C$8:$C$57, 0), (COLUMNS($DU10:DY10)-1)*5 + 4) = "SF"), INDEX($CZ$8:$CZ$23, COLUMNS($DU10:DY10)), "0"), "")</f>
        <v/>
      </c>
      <c r="DZ10" s="395">
        <f t="array" ref="DZ10">IFERROR(IF(AND(INDEX($E$8:$CE$57, MATCH($C10, $C$8:$C$57, 0), (COLUMNS($DU10:DZ10)-1)*5 + 1) = INDEX($E$5:$CE$5, 1, (COLUMNS($DU10:DZ10)-1)*5 + 1), INDEX($E$8:$CE$57, MATCH($C10, $C$8:$C$57, 0), (COLUMNS($DU10:DZ10)-1)*5 + 4) = "SF"), INDEX($CZ$8:$CZ$23, COLUMNS($DU10:DZ10)), "0"), "")</f>
        <v/>
      </c>
      <c r="EA10" s="395">
        <f t="array" ref="EA10">IFERROR(IF(AND(INDEX($E$8:$CE$57, MATCH($C10, $C$8:$C$57, 0), (COLUMNS($DU10:EA10)-1)*5 + 1) = INDEX($E$5:$CE$5, 1, (COLUMNS($DU10:EA10)-1)*5 + 1), INDEX($E$8:$CE$57, MATCH($C10, $C$8:$C$57, 0), (COLUMNS($DU10:EA10)-1)*5 + 4) = "SF"), INDEX($CZ$8:$CZ$23, COLUMNS($DU10:EA10)), "0"), "")</f>
        <v/>
      </c>
      <c r="EB10" s="395">
        <f t="array" ref="EB10">IFERROR(IF(AND(INDEX($E$8:$CE$57, MATCH($C10, $C$8:$C$57, 0), (COLUMNS($DU10:EB10)-1)*5 + 1) = INDEX($E$5:$CE$5, 1, (COLUMNS($DU10:EB10)-1)*5 + 1), INDEX($E$8:$CE$57, MATCH($C10, $C$8:$C$57, 0), (COLUMNS($DU10:EB10)-1)*5 + 4) = "SF"), INDEX($CZ$8:$CZ$23, COLUMNS($DU10:EB10)), "0"), "")</f>
        <v/>
      </c>
      <c r="EC10" s="395">
        <f t="array" ref="EC10">IFERROR(IF(AND(INDEX($E$8:$CE$57, MATCH($C10, $C$8:$C$57, 0), (COLUMNS($DU10:EC10)-1)*5 + 1) = INDEX($E$5:$CE$5, 1, (COLUMNS($DU10:EC10)-1)*5 + 1), INDEX($E$8:$CE$57, MATCH($C10, $C$8:$C$57, 0), (COLUMNS($DU10:EC10)-1)*5 + 4) = "SF"), INDEX($CZ$8:$CZ$23, COLUMNS($DU10:EC10)), "0"), "")</f>
        <v/>
      </c>
      <c r="ED10" s="395">
        <f t="array" ref="ED10">IFERROR(IF(AND(INDEX($E$8:$CE$57, MATCH($C10, $C$8:$C$57, 0), (COLUMNS($DU10:ED10)-1)*5 + 1) = INDEX($E$5:$CE$5, 1, (COLUMNS($DU10:ED10)-1)*5 + 1), INDEX($E$8:$CE$57, MATCH($C10, $C$8:$C$57, 0), (COLUMNS($DU10:ED10)-1)*5 + 4) = "SF"), INDEX($CZ$8:$CZ$23, COLUMNS($DU10:ED10)), "0"), "")</f>
        <v/>
      </c>
      <c r="EE10" s="395">
        <f t="array" ref="EE10">IFERROR(IF(AND(INDEX($E$8:$CE$57, MATCH($C10, $C$8:$C$57, 0), (COLUMNS($DU10:EE10)-1)*5 + 1) = INDEX($E$5:$CE$5, 1, (COLUMNS($DU10:EE10)-1)*5 + 1), INDEX($E$8:$CE$57, MATCH($C10, $C$8:$C$57, 0), (COLUMNS($DU10:EE10)-1)*5 + 4) = "SF"), INDEX($CZ$8:$CZ$23, COLUMNS($DU10:EE10)), "0"), "")</f>
        <v/>
      </c>
      <c r="EF10" s="395">
        <f t="array" ref="EF10">IFERROR(IF(AND(INDEX($E$8:$CE$57, MATCH($C10, $C$8:$C$57, 0), (COLUMNS($DU10:EF10)-1)*5 + 1) = INDEX($E$5:$CE$5, 1, (COLUMNS($DU10:EF10)-1)*5 + 1), INDEX($E$8:$CE$57, MATCH($C10, $C$8:$C$57, 0), (COLUMNS($DU10:EF10)-1)*5 + 4) = "SF"), INDEX($CZ$8:$CZ$23, COLUMNS($DU10:EF10)), "0"), "")</f>
        <v/>
      </c>
      <c r="EG10" s="395">
        <f t="array" ref="EG10">IFERROR(IF(AND(INDEX($E$8:$CE$57, MATCH($C10, $C$8:$C$57, 0), (COLUMNS($DU10:EG10)-1)*5 + 1) = INDEX($E$5:$CE$5, 1, (COLUMNS($DU10:EG10)-1)*5 + 1), INDEX($E$8:$CE$57, MATCH($C10, $C$8:$C$57, 0), (COLUMNS($DU10:EG10)-1)*5 + 4) = "SF"), INDEX($CZ$8:$CZ$23, COLUMNS($DU10:EG10)), "0"), "")</f>
        <v/>
      </c>
      <c r="EH10" s="395">
        <f t="array" ref="EH10">IFERROR(IF(AND(INDEX($E$8:$CE$57, MATCH($C10, $C$8:$C$57, 0), (COLUMNS($DU10:EH10)-1)*5 + 1) = INDEX($E$5:$CE$5, 1, (COLUMNS($DU10:EH10)-1)*5 + 1), INDEX($E$8:$CE$57, MATCH($C10, $C$8:$C$57, 0), (COLUMNS($DU10:EH10)-1)*5 + 4) = "SF"), INDEX($CZ$8:$CZ$23, COLUMNS($DU10:EH10)), "0"), "")</f>
        <v/>
      </c>
      <c r="EI10" s="395">
        <f t="array" ref="EI10">IFERROR(IF(AND(INDEX($E$8:$CE$57, MATCH($C10, $C$8:$C$57, 0), (COLUMNS($DU10:EI10)-1)*5 + 1) = INDEX($E$5:$CE$5, 1, (COLUMNS($DU10:EI10)-1)*5 + 1), INDEX($E$8:$CE$57, MATCH($C10, $C$8:$C$57, 0), (COLUMNS($DU10:EI10)-1)*5 + 4) = "SF"), INDEX($CZ$8:$CZ$23, COLUMNS($DU10:EI10)), "0"), "")</f>
        <v/>
      </c>
      <c r="EJ10" s="395">
        <f t="array" ref="EJ10">IFERROR(IF(AND(INDEX($E$8:$CE$57, MATCH($C10, $C$8:$C$57, 0), (COLUMNS($DU10:EJ10)-1)*5 + 1) = INDEX($E$5:$CE$5, 1, (COLUMNS($DU10:EJ10)-1)*5 + 1), INDEX($E$8:$CE$57, MATCH($C10, $C$8:$C$57, 0), (COLUMNS($DU10:EJ10)-1)*5 + 4) = "SF"), INDEX($CZ$8:$CZ$23, COLUMNS($DU10:EJ10)), "0"), "")</f>
        <v/>
      </c>
    </row>
    <row r="11" ht="20.1" customHeight="1" s="568">
      <c r="A11" s="576" t="n"/>
      <c r="B11" s="449">
        <f>IF(SEMANA2[[#This Row],[COD]]&lt;&gt;"",B10+1,"")</f>
        <v/>
      </c>
      <c r="C11" s="622" t="inlineStr">
        <is>
          <t>COD 04</t>
        </is>
      </c>
      <c r="D11" s="415">
        <f t="array" ref="D1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1" s="416" t="n">
        <v>6</v>
      </c>
      <c r="F11" s="417" t="n">
        <v>9</v>
      </c>
      <c r="G11" s="417" t="n">
        <v>4</v>
      </c>
      <c r="H11" s="417" t="n"/>
      <c r="I11" s="602">
        <f>SUM(IF(E11=E$5,4,0),IF(E11&amp;F11=E$5&amp;F$5,1,0),
IF(AND(E11=E$5,F$6&gt;=$D$115),1,0),
IF(AND(F11=E$5,F$6&gt;=$D$115),1,0),
IF(AND(G11=E$5,F$6&gt;=$D$115),1,0),
IF(E11&amp;H11=I$5,1,0),
IF(F11=E$5,2,0),
IF(G11=E$5,1,0),
IF(OR(E11&amp;F11&amp;G11=E$5&amp;F$5&amp;G$5,E11&amp;F11&amp;G11=E$5&amp;G$5&amp;F$5,E11&amp;F11&amp;G11=F$5&amp;E$5&amp;G$5,E11&amp;F11&amp;G11=F$5&amp;G$5&amp;E$5,E11&amp;F11&amp;G11=G$5&amp;E$5&amp;F$5,E11&amp;F11&amp;G11=G$5&amp;F$5&amp;E$5),2,0),IF(AND(E11=E$5,F$6&gt;=$D$129),1,0),IF(AND(F11=E$5,F$6&gt;=$D$129),1,0),IF(AND(G11=E$5,F$6&gt;=$D$129),1,0),IF(E11&amp;H11=H$5,4,0),IF(AND(E11=E$5,F$6&lt;=$D$104),-0.5,0),IF(AND(F11=E$5,F$6&lt;=$D$104),-0.5,0),IF(AND(G11=E$5,F$6&lt;=$D$104),-0.5,0))</f>
        <v/>
      </c>
      <c r="J11" s="416" t="n">
        <v>7</v>
      </c>
      <c r="K11" s="417" t="n">
        <v>1</v>
      </c>
      <c r="L11" s="417" t="n">
        <v>6</v>
      </c>
      <c r="M11" s="417" t="inlineStr">
        <is>
          <t>F</t>
        </is>
      </c>
      <c r="N11" s="602">
        <f>SUM(IF(J11=J$5,4,0),IF(J11&amp;K11=J$5&amp;K$5,1,0),
IF(AND(J11=J$5,K$6&gt;=$D$115),1,0),
IF(AND(K11=J$5,K$6&gt;=$D$115),1,0),
IF(AND(L11=J$5,K$6&gt;=$D$115),1,0),
IF(J11&amp;M11=N$5,1,0),
IF(K11=J$5,2,0),
IF(L11=J$5,1,0),
IF(OR(J11&amp;K11&amp;L11=J$5&amp;K$5&amp;L$5,J11&amp;K11&amp;L11=J$5&amp;L$5&amp;K$5,J11&amp;K11&amp;L11=K$5&amp;J$5&amp;L$5,J11&amp;K11&amp;L11=K$5&amp;L$5&amp;J$5,J11&amp;K11&amp;L11=L$5&amp;J$5&amp;K$5,J11&amp;K11&amp;L11=L$5&amp;K$5&amp;J$5),2,0),IF(AND(J11=J$5,K$6&gt;=$D$129),1,0),IF(AND(K11=J$5,K$6&gt;=$D$129),1,0),IF(AND(L11=J$5,K$6&gt;=$D$129),1,0),IF(J11&amp;M11=M$5,4,0),IF(AND(J11=J$5,K$6&lt;=$D$104),-0.5,0),IF(AND(K11=J$5,K$6&lt;=$D$104),-0.5,0),IF(AND(L11=J$5,K$6&lt;=$D$104),-0.5,0))</f>
        <v/>
      </c>
      <c r="O11" s="416" t="n">
        <v>5</v>
      </c>
      <c r="P11" s="417" t="n">
        <v>1</v>
      </c>
      <c r="Q11" s="417" t="n">
        <v>3</v>
      </c>
      <c r="R11" s="417" t="n"/>
      <c r="S11" s="602">
        <f>SUM(IF(O11=O$5,4,0),IF(O11&amp;P11=O$5&amp;P$5,1,0),
IF(AND(O11=O$5,P$6&gt;=$D$115),1,0),
IF(AND(P11=O$5,P$6&gt;=$D$115),1,0),
IF(AND(Q11=O$5,P$6&gt;=$D$115),1,0),
IF(O11&amp;R11=S$5,1,0),
IF(P11=O$5,2,0),
IF(Q11=O$5,1,0),
IF(OR(O11&amp;P11&amp;Q11=O$5&amp;P$5&amp;Q$5,O11&amp;P11&amp;Q11=O$5&amp;Q$5&amp;P$5,O11&amp;P11&amp;Q11=P$5&amp;O$5&amp;Q$5,O11&amp;P11&amp;Q11=P$5&amp;Q$5&amp;O$5,O11&amp;P11&amp;Q11=Q$5&amp;O$5&amp;P$5,O11&amp;P11&amp;Q11=Q$5&amp;P$5&amp;O$5),2,0),IF(AND(O11=O$5,P$6&gt;=$D$129),1,0),IF(AND(P11=O$5,P$6&gt;=$D$129),1,0),IF(AND(Q11=O$5,P$6&gt;=$D$129),1,0),IF(O11&amp;R11=R$5,4,0),IF(AND(O11=O$5,P$6&lt;=$D$104),-0.5,0),IF(AND(P11=O$5,P$6&lt;=$D$104),-0.5,0),IF(AND(Q11=O$5,P$6&lt;=$D$104),-0.5,0))</f>
        <v/>
      </c>
      <c r="T11" s="416" t="n">
        <v>3</v>
      </c>
      <c r="U11" s="417" t="n">
        <v>5</v>
      </c>
      <c r="V11" s="417" t="n">
        <v>1</v>
      </c>
      <c r="W11" s="417" t="n"/>
      <c r="X11" s="602">
        <f>SUM(IF(T11=T$5,4,0),IF(T11&amp;U11=T$5&amp;U$5,1,0),
IF(AND(T11=T$5,U$6&gt;=$D$115),1,0),
IF(AND(U11=T$5,U$6&gt;=$D$115),1,0),
IF(AND(V11=T$5,U$6&gt;=$D$115),1,0),
IF(T11&amp;W11=X$5,1,0),
IF(U11=T$5,2,0),
IF(V11=T$5,1,0),
IF(OR(T11&amp;U11&amp;V11=T$5&amp;U$5&amp;V$5,T11&amp;U11&amp;V11=T$5&amp;V$5&amp;U$5,T11&amp;U11&amp;V11=U$5&amp;T$5&amp;V$5,T11&amp;U11&amp;V11=U$5&amp;V$5&amp;T$5,T11&amp;U11&amp;V11=V$5&amp;T$5&amp;U$5,T11&amp;U11&amp;V11=V$5&amp;U$5&amp;T$5),2,0),IF(AND(T11=T$5,U$6&gt;=$D$129),1,0),IF(AND(U11=T$5,U$6&gt;=$D$129),1,0),IF(AND(V11=T$5,U$6&gt;=$D$129),1,0),IF(T11&amp;W11=W$5,4,0),IF(AND(T11=T$5,U$6&lt;=$D$104),-0.5,0),IF(AND(U11=T$5,U$6&lt;=$D$104),-0.5,0),IF(AND(V11=T$5,U$6&lt;=$D$104),-0.5,0))</f>
        <v/>
      </c>
      <c r="Y11" s="416" t="n">
        <v>5</v>
      </c>
      <c r="Z11" s="417" t="n">
        <v>7</v>
      </c>
      <c r="AA11" s="417" t="n">
        <v>2</v>
      </c>
      <c r="AB11" s="417" t="n"/>
      <c r="AC11" s="602">
        <f>SUM(IF(Y11=Y$5,4,0),IF(Y11&amp;Z11=Y$5&amp;Z$5,1,0),
IF(AND(Y11=Y$5,Z$6&gt;=$D$115),1,0),
IF(AND(Z11=Y$5,Z$6&gt;=$D$115),1,0),
IF(AND(AA11=Y$5,Z$6&gt;=$D$115),1,0),
IF(Y11&amp;AB11=AC$5,1,0),
IF(Z11=Y$5,2,0),
IF(AA11=Y$5,1,0),
IF(OR(Y11&amp;Z11&amp;AA11=Y$5&amp;Z$5&amp;AA$5,Y11&amp;Z11&amp;AA11=Y$5&amp;AA$5&amp;Z$5,Y11&amp;Z11&amp;AA11=Z$5&amp;Y$5&amp;AA$5,Y11&amp;Z11&amp;AA11=Z$5&amp;AA$5&amp;Y$5,Y11&amp;Z11&amp;AA11=AA$5&amp;Y$5&amp;Z$5,Y11&amp;Z11&amp;AA11=AA$5&amp;Z$5&amp;Y$5),2,0),IF(AND(Y11=Y$5,Z$6&gt;=$D$129),1,0),IF(AND(Z11=Y$5,Z$6&gt;=$D$129),1,0),IF(AND(AA11=Y$5,Z$6&gt;=$D$129),1,0),IF(Y11&amp;AB11=AB$5,4,0),IF(AND(Y11=Y$5,Z$6&lt;=$D$104),-0.5,0),IF(AND(Z11=Y$5,Z$6&lt;=$D$104),-0.5,0),IF(AND(AA11=Y$5,Z$6&lt;=$D$104),-0.5,0))</f>
        <v/>
      </c>
      <c r="AD11" s="416" t="n">
        <v>5</v>
      </c>
      <c r="AE11" s="417" t="n">
        <v>10</v>
      </c>
      <c r="AF11" s="417" t="n">
        <v>7</v>
      </c>
      <c r="AG11" s="417" t="n"/>
      <c r="AH11" s="602">
        <f>SUM(IF(AD11=AD$5,4,0),IF(AD11&amp;AE11=AD$5&amp;AE$5,1,0),
IF(AND(AD11=AD$5,AE$6&gt;=$D$115),1,0),
IF(AND(AE11=AD$5,AE$6&gt;=$D$115),1,0),
IF(AND(AF11=AD$5,AE$6&gt;=$D$115),1,0),
IF(AD11&amp;AG11=AH$5,1,0),
IF(AE11=AD$5,2,0),
IF(AF11=AD$5,1,0),
IF(OR(AD11&amp;AE11&amp;AF11=AD$5&amp;AE$5&amp;AF$5,AD11&amp;AE11&amp;AF11=AD$5&amp;AF$5&amp;AE$5,AD11&amp;AE11&amp;AF11=AE$5&amp;AD$5&amp;AF$5,AD11&amp;AE11&amp;AF11=AE$5&amp;AF$5&amp;AD$5,AD11&amp;AE11&amp;AF11=AF$5&amp;AD$5&amp;AE$5,AD11&amp;AE11&amp;AF11=AF$5&amp;AE$5&amp;AD$5),2,0),IF(AND(AD11=AD$5,AE$6&gt;=$D$129),1,0),IF(AND(AE11=AD$5,AE$6&gt;=$D$129),1,0),IF(AND(AF11=AD$5,AE$6&gt;=$D$129),1,0),IF(AD11&amp;AG11=AG$5,4,0),IF(AND(AD11=AD$5,AE$6&lt;=$D$104),-0.5,0),IF(AND(AE11=AD$5,AE$6&lt;=$D$104),-0.5,0),IF(AND(AF11=AD$5,AE$6&lt;=$D$104),-0.5,0))</f>
        <v/>
      </c>
      <c r="AI11" s="416" t="n">
        <v>6</v>
      </c>
      <c r="AJ11" s="417" t="n">
        <v>7</v>
      </c>
      <c r="AK11" s="417" t="n">
        <v>8</v>
      </c>
      <c r="AL11" s="417" t="n"/>
      <c r="AM11" s="602">
        <f>SUM(IF(AI11=AI$5,4,0),IF(AI11&amp;AJ11=AI$5&amp;AJ$5,1,0),
IF(AND(AI11=AI$5,AJ$6&gt;=$D$115),1,0),
IF(AND(AJ11=AI$5,AJ$6&gt;=$D$115),1,0),
IF(AND(AK11=AI$5,AJ$6&gt;=$D$115),1,0),
IF(AI11&amp;AL11=AM$5,1,0),
IF(AJ11=AI$5,2,0),
IF(AK11=AI$5,1,0),
IF(OR(AI11&amp;AJ11&amp;AK11=AI$5&amp;AJ$5&amp;AK$5,AI11&amp;AJ11&amp;AK11=AI$5&amp;AK$5&amp;AJ$5,AI11&amp;AJ11&amp;AK11=AJ$5&amp;AI$5&amp;AK$5,AI11&amp;AJ11&amp;AK11=AJ$5&amp;AK$5&amp;AI$5,AI11&amp;AJ11&amp;AK11=AK$5&amp;AI$5&amp;AJ$5,AI11&amp;AJ11&amp;AK11=AK$5&amp;AJ$5&amp;AI$5),2,0),IF(AND(AI11=AI$5,AJ$6&gt;=$D$129),1,0),IF(AND(AJ11=AI$5,AJ$6&gt;=$D$129),1,0),IF(AND(AK11=AI$5,AJ$6&gt;=$D$129),1,0),IF(AI11&amp;AL11=AL$5,4,0),IF(AND(AI11=AI$5,AJ$6&lt;=$D$104),-0.5,0),IF(AND(AJ11=AI$5,AJ$6&lt;=$D$104),-0.5,0),IF(AND(AK11=AI$5,AJ$6&lt;=$D$104),-0.5,0))</f>
        <v/>
      </c>
      <c r="AN11" s="416" t="n">
        <v>8</v>
      </c>
      <c r="AO11" s="417" t="n">
        <v>1</v>
      </c>
      <c r="AP11" s="417" t="n">
        <v>2</v>
      </c>
      <c r="AQ11" s="417" t="n"/>
      <c r="AR11" s="602">
        <f>SUM(IF(AN11=AN$5,4,0),IF(AN11&amp;AO11=AN$5&amp;AO$5,1,0),
IF(AND(AN11=AN$5,AO$6&gt;=$D$115),1,0),
IF(AND(AO11=AN$5,AO$6&gt;=$D$115),1,0),
IF(AND(AP11=AN$5,AO$6&gt;=$D$115),1,0),
IF(AN11&amp;AQ11=AR$5,1,0),
IF(AO11=AN$5,2,0),
IF(AP11=AN$5,1,0),
IF(OR(AN11&amp;AO11&amp;AP11=AN$5&amp;AO$5&amp;AP$5,AN11&amp;AO11&amp;AP11=AN$5&amp;AP$5&amp;AO$5,AN11&amp;AO11&amp;AP11=AO$5&amp;AN$5&amp;AP$5,AN11&amp;AO11&amp;AP11=AO$5&amp;AP$5&amp;AN$5,AN11&amp;AO11&amp;AP11=AP$5&amp;AN$5&amp;AO$5,AN11&amp;AO11&amp;AP11=AP$5&amp;AO$5&amp;AN$5),2,0),IF(AND(AN11=AN$5,AO$6&gt;=$D$129),1,0),IF(AND(AO11=AN$5,AO$6&gt;=$D$129),1,0),IF(AND(AP11=AN$5,AO$6&gt;=$D$129),1,0),IF(AN11&amp;AQ11=AQ$5,4,0),IF(AND(AN11=AN$5,AO$6&lt;=$D$104),-0.5,0),IF(AND(AO11=AN$5,AO$6&lt;=$D$104),-0.5,0),IF(AND(AP11=AN$5,AO$6&lt;=$D$104),-0.5,0))</f>
        <v/>
      </c>
      <c r="AS11" s="416" t="n">
        <v>10</v>
      </c>
      <c r="AT11" s="417" t="n">
        <v>10</v>
      </c>
      <c r="AU11" s="417" t="n">
        <v>1</v>
      </c>
      <c r="AV11" s="417" t="n"/>
      <c r="AW11" s="602">
        <f>SUM(IF(AS11=AS$5,4,0),IF(AS11&amp;AT11=AS$5&amp;AT$5,1,0),
IF(AND(AS11=AS$5,AT$6&gt;=$D$115),1,0),
IF(AND(AT11=AS$5,AT$6&gt;=$D$115),1,0),
IF(AND(AU11=AS$5,AT$6&gt;=$D$115),1,0),
IF(AS11&amp;AV11=AW$5,1,0),
IF(AT11=AS$5,2,0),
IF(AU11=AS$5,1,0),
IF(OR(AS11&amp;AT11&amp;AU11=AS$5&amp;AT$5&amp;AU$5,AS11&amp;AT11&amp;AU11=AS$5&amp;AU$5&amp;AT$5,AS11&amp;AT11&amp;AU11=AT$5&amp;AS$5&amp;AU$5,AS11&amp;AT11&amp;AU11=AT$5&amp;AU$5&amp;AS$5,AS11&amp;AT11&amp;AU11=AU$5&amp;AS$5&amp;AT$5,AS11&amp;AT11&amp;AU11=AU$5&amp;AT$5&amp;AS$5),2,0),IF(AND(AS11=AS$5,AT$6&gt;=$D$129),1,0),IF(AND(AT11=AS$5,AT$6&gt;=$D$129),1,0),IF(AND(AU11=AS$5,AT$6&gt;=$D$129),1,0),IF(AS11&amp;AV11=AV$5,4,0),IF(AND(AS11=AS$5,AT$6&lt;=$D$104),-0.5,0),IF(AND(AT11=AS$5,AT$6&lt;=$D$104),-0.5,0),IF(AND(AU11=AS$5,AT$6&lt;=$D$104),-0.5,0))</f>
        <v/>
      </c>
      <c r="AX11" s="416" t="n">
        <v>1</v>
      </c>
      <c r="AY11" s="417" t="n">
        <v>6</v>
      </c>
      <c r="AZ11" s="417" t="n">
        <v>10</v>
      </c>
      <c r="BA11" s="417" t="n"/>
      <c r="BB11" s="602">
        <f>SUM(IF(AX11=AX$5,4,0),IF(AX11&amp;AY11=AX$5&amp;AY$5,1,0),
IF(AND(AX11=AX$5,AY$6&gt;=$D$115),1,0),
IF(AND(AY11=AX$5,AY$6&gt;=$D$115),1,0),
IF(AND(AZ11=AX$5,AY$6&gt;=$D$115),1,0),
IF(AX11&amp;BA11=BB$5,1,0),
IF(AY11=AX$5,2,0),
IF(AZ11=AX$5,1,0),
IF(OR(AX11&amp;AY11&amp;AZ11=AX$5&amp;AY$5&amp;AZ$5,AX11&amp;AY11&amp;AZ11=AX$5&amp;AZ$5&amp;AY$5,AX11&amp;AY11&amp;AZ11=AY$5&amp;AX$5&amp;AZ$5,AX11&amp;AY11&amp;AZ11=AY$5&amp;AZ$5&amp;AX$5,AX11&amp;AY11&amp;AZ11=AZ$5&amp;AX$5&amp;AY$5,AX11&amp;AY11&amp;AZ11=AZ$5&amp;AY$5&amp;AX$5),2,0),IF(AND(AX11=AX$5,AY$6&gt;=$D$129),1,0),IF(AND(AY11=AX$5,AY$6&gt;=$D$129),1,0),IF(AND(AZ11=AX$5,AY$6&gt;=$D$129),1,0),IF(AX11&amp;BA11=BA$5,4,0),IF(AND(AX11=AX$5,AY$6&lt;=$D$104),-0.5,0),IF(AND(AY11=AX$5,AY$6&lt;=$D$104),-0.5,0),IF(AND(AZ11=AX$5,AY$6&lt;=$D$104),-0.5,0))</f>
        <v/>
      </c>
      <c r="BC11" s="416" t="n">
        <v>7</v>
      </c>
      <c r="BD11" s="417" t="n"/>
      <c r="BE11" s="417" t="n"/>
      <c r="BF11" s="417" t="inlineStr">
        <is>
          <t>SF</t>
        </is>
      </c>
      <c r="BG11" s="602">
        <f>SUM(IF(BC11=BC$5,4,0),IF(BC11&amp;BD11=BC$5&amp;BD$5,1,0),
IF(AND(BC11=BC$5,BD$6&gt;=$D$115),1,0),
IF(AND(BD11=BC$5,BD$6&gt;=$D$115),1,0),
IF(AND(BE11=BC$5,BD$6&gt;=$D$115),1,0),
IF(BC11&amp;BF11=BG$5,1,0),
IF(BD11=BC$5,2,0),
IF(BE11=BC$5,1,0),
IF(OR(BC11&amp;BD11&amp;BE11=BC$5&amp;BD$5&amp;BE$5,BC11&amp;BD11&amp;BE11=BC$5&amp;BE$5&amp;BD$5,BC11&amp;BD11&amp;BE11=BD$5&amp;BC$5&amp;BE$5,BC11&amp;BD11&amp;BE11=BD$5&amp;BE$5&amp;BC$5,BC11&amp;BD11&amp;BE11=BE$5&amp;BC$5&amp;BD$5,BC11&amp;BD11&amp;BE11=BE$5&amp;BD$5&amp;BC$5),2,0),IF(AND(BC11=BC$5,BD$6&gt;=$D$129),1,0),IF(AND(BD11=BC$5,BD$6&gt;=$D$129),1,0),IF(AND(BE11=BC$5,BD$6&gt;=$D$129),1,0),IF(BC11&amp;BF11=BF$5,4,0),IF(AND(BC11=BC$5,BD$6&lt;=$D$104),-0.5,0),IF(AND(BD11=BC$5,BD$6&lt;=$D$104),-0.5,0),IF(AND(BE11=BC$5,BD$6&lt;=$D$104),-0.5,0))</f>
        <v/>
      </c>
      <c r="BH11" s="416" t="n">
        <v>6</v>
      </c>
      <c r="BI11" s="417" t="n">
        <v>1</v>
      </c>
      <c r="BJ11" s="417" t="n">
        <v>2</v>
      </c>
      <c r="BK11" s="417" t="n"/>
      <c r="BL11" s="602">
        <f>SUM(IF(BH11=BH$5,4,0),IF(BH11&amp;BI11=BH$5&amp;BI$5,1,0),
IF(AND(BH11=BH$5,BI$6&gt;=$D$115),1,0),
IF(AND(BI11=BH$5,BI$6&gt;=$D$115),1,0),
IF(AND(BJ11=BH$5,BI$6&gt;=$D$115),1,0),
IF(BH11&amp;BK11=BL$5,1,0),
IF(BI11=BH$5,2,0),
IF(BJ11=BH$5,1,0),
IF(OR(BH11&amp;BI11&amp;BJ11=BH$5&amp;BI$5&amp;BJ$5,BH11&amp;BI11&amp;BJ11=BH$5&amp;BJ$5&amp;BI$5,BH11&amp;BI11&amp;BJ11=BI$5&amp;BH$5&amp;BJ$5,BH11&amp;BI11&amp;BJ11=BI$5&amp;BJ$5&amp;BH$5,BH11&amp;BI11&amp;BJ11=BJ$5&amp;BH$5&amp;BI$5,BH11&amp;BI11&amp;BJ11=BJ$5&amp;BI$5&amp;BH$5),2,0),IF(AND(BH11=BH$5,BI$6&gt;=$D$129),1,0),IF(AND(BI11=BH$5,BI$6&gt;=$D$129),1,0),IF(AND(BJ11=BH$5,BI$6&gt;=$D$129),1,0),IF(BH11&amp;BK11=BK$5,4,0),IF(AND(BH11=BH$5,BI$6&lt;=$D$104),-0.5,0),IF(AND(BI11=BH$5,BI$6&lt;=$D$104),-0.5,0),IF(AND(BJ11=BH$5,BI$6&lt;=$D$104),-0.5,0))</f>
        <v/>
      </c>
      <c r="BM11" s="416" t="n">
        <v>4</v>
      </c>
      <c r="BN11" s="417" t="n">
        <v>1</v>
      </c>
      <c r="BO11" s="417" t="n">
        <v>9</v>
      </c>
      <c r="BP11" s="417" t="inlineStr">
        <is>
          <t>F</t>
        </is>
      </c>
      <c r="BQ11" s="602">
        <f>SUM(IF(BM11=BM$5,4,0),IF(BM11&amp;BN11=BM$5&amp;BN$5,1,0),
IF(AND(BM11=BM$5,BN$6&gt;=$D$115),1,0),
IF(AND(BN11=BM$5,BN$6&gt;=$D$115),1,0),
IF(AND(BO11=BM$5,BN$6&gt;=$D$115),1,0),
IF(BM11&amp;BP11=BQ$5,1,0),
IF(BN11=BM$5,2,0),
IF(BO11=BM$5,1,0),
IF(OR(BM11&amp;BN11&amp;BO11=BM$5&amp;BN$5&amp;BO$5,BM11&amp;BN11&amp;BO11=BM$5&amp;BO$5&amp;BN$5,BM11&amp;BN11&amp;BO11=BN$5&amp;BM$5&amp;BO$5,BM11&amp;BN11&amp;BO11=BN$5&amp;BO$5&amp;BM$5,BM11&amp;BN11&amp;BO11=BO$5&amp;BM$5&amp;BN$5,BM11&amp;BN11&amp;BO11=BO$5&amp;BN$5&amp;BM$5),2,0),IF(AND(BM11=BM$5,BN$6&gt;=$D$129),1,0),IF(AND(BN11=BM$5,BN$6&gt;=$D$129),1,0),IF(AND(BO11=BM$5,BN$6&gt;=$D$129),1,0),IF(BM11&amp;BP11=BP$5,4,0),IF(AND(BM11=BM$5,BN$6&lt;=$D$104),-0.5,0),IF(AND(BN11=BM$5,BN$6&lt;=$D$104),-0.5,0),IF(AND(BO11=BM$5,BN$6&lt;=$D$104),-0.5,0))</f>
        <v/>
      </c>
      <c r="BR11" s="416" t="n">
        <v>5</v>
      </c>
      <c r="BS11" s="417" t="n">
        <v>2</v>
      </c>
      <c r="BT11" s="417" t="n">
        <v>1</v>
      </c>
      <c r="BU11" s="417" t="n"/>
      <c r="BV11" s="602">
        <f>SUM(IF(BR11=BR$5,4,0),IF(BR11&amp;BS11=BR$5&amp;BS$5,1,0),
IF(AND(BR11=BR$5,BS$6&gt;=$D$115),1,0),
IF(AND(BS11=BR$5,BS$6&gt;=$D$115),1,0),
IF(AND(BT11=BR$5,BS$6&gt;=$D$115),1,0),
IF(BR11&amp;BU11=BV$5,1,0),
IF(BS11=BR$5,2,0),
IF(BT11=BR$5,1,0),
IF(OR(BR11&amp;BS11&amp;BT11=BR$5&amp;BS$5&amp;BT$5,BR11&amp;BS11&amp;BT11=BR$5&amp;BT$5&amp;BS$5,BR11&amp;BS11&amp;BT11=BS$5&amp;BR$5&amp;BT$5,BR11&amp;BS11&amp;BT11=BS$5&amp;BT$5&amp;BR$5,BR11&amp;BS11&amp;BT11=BT$5&amp;BR$5&amp;BS$5,BR11&amp;BS11&amp;BT11=BT$5&amp;BS$5&amp;BR$5),2,0),IF(AND(BR11=BR$5,BS$6&gt;=$D$129),1,0),IF(AND(BS11=BR$5,BS$6&gt;=$D$129),1,0),IF(AND(BT11=BR$5,BS$6&gt;=$D$129),1,0),IF(BR11&amp;BU11=BU$5,4,0),IF(AND(BR11=BR$5,BS$6&lt;=$D$104),-0.5,0),IF(AND(BS11=BR$5,BS$6&lt;=$D$104),-0.5,0),IF(AND(BT11=BR$5,BS$6&lt;=$D$104),-0.5,0))</f>
        <v/>
      </c>
      <c r="BW11" s="416" t="n"/>
      <c r="BX11" s="417" t="n"/>
      <c r="BY11" s="417" t="n"/>
      <c r="BZ11" s="417" t="n"/>
      <c r="CA11" s="602">
        <f>SUM(IF(BW11=BW$5,4,0),IF(BW11&amp;BX11=BW$5&amp;BX$5,1,0),
IF(AND(BW11=BW$5,BX$6&gt;=$D$115),1,0),
IF(AND(BX11=BW$5,BX$6&gt;=$D$115),1,0),
IF(AND(BY11=BW$5,BX$6&gt;=$D$115),1,0),
IF(BW11&amp;BZ11=CA$5,1,0),
IF(BX11=BW$5,2,0),
IF(BY11=BW$5,1,0),
IF(OR(BW11&amp;BX11&amp;BY11=BW$5&amp;BX$5&amp;BY$5,BW11&amp;BX11&amp;BY11=BW$5&amp;BY$5&amp;BX$5,BW11&amp;BX11&amp;BY11=BX$5&amp;BW$5&amp;BY$5,BW11&amp;BX11&amp;BY11=BX$5&amp;BY$5&amp;BW$5,BW11&amp;BX11&amp;BY11=BY$5&amp;BW$5&amp;BX$5,BW11&amp;BX11&amp;BY11=BY$5&amp;BX$5&amp;BW$5),2,0),IF(AND(BW11=BW$5,BX$6&gt;=$D$129),1,0),IF(AND(BX11=BW$5,BX$6&gt;=$D$129),1,0),IF(AND(BY11=BW$5,BX$6&gt;=$D$129),1,0),IF(BW11&amp;BZ11=BZ$5,4,0),IF(AND(BW11=BW$5,BX$6&lt;=$D$104),-0.5,0),IF(AND(BX11=BW$5,BX$6&lt;=$D$104),-0.5,0),IF(AND(BY11=BW$5,BX$6&lt;=$D$104),-0.5,0))</f>
        <v/>
      </c>
      <c r="CB11" s="416" t="n"/>
      <c r="CC11" s="417" t="n"/>
      <c r="CD11" s="417" t="n"/>
      <c r="CE11" s="417" t="n"/>
      <c r="CF11" s="602">
        <f>SUM(IF(CB11=CB$5,4,0),IF(CB11&amp;CC11=CB$5&amp;CC$5,1,0),
IF(AND(CB11=CB$5,CC$6&gt;=$D$115),1,0),
IF(AND(CC11=CB$5,CC$6&gt;=$D$115),1,0),
IF(AND(CD11=CB$5,CC$6&gt;=$D$115),1,0),
IF(CB11&amp;CE11=CF$5,1,0),
IF(CC11=CB$5,2,0),
IF(CD11=CB$5,1,0),
IF(OR(CB11&amp;CC11&amp;CD11=CB$5&amp;CC$5&amp;CD$5,CB11&amp;CC11&amp;CD11=CB$5&amp;CD$5&amp;CC$5,CB11&amp;CC11&amp;CD11=CC$5&amp;CB$5&amp;CD$5,CB11&amp;CC11&amp;CD11=CC$5&amp;CD$5&amp;CB$5,CB11&amp;CC11&amp;CD11=CD$5&amp;CB$5&amp;CC$5,CB11&amp;CC11&amp;CD11=CD$5&amp;CC$5&amp;CB$5),2,0),IF(AND(CB11=CB$5,CC$6&gt;=$D$129),1,0),IF(AND(CC11=CB$5,CC$6&gt;=$D$129),1,0),IF(AND(CD11=CB$5,CC$6&gt;=$D$129),1,0),IF(CB11&amp;CE11=CE$5,4,0),IF(AND(CB11=CB$5,CC$6&lt;=$D$104),-0.5,0),IF(AND(CC11=CB$5,CC$6&lt;=$D$104),-0.5,0),IF(AND(CD11=CB$5,CC$6&lt;=$D$104),-0.5,0))</f>
        <v/>
      </c>
      <c r="CG11" s="164">
        <f>IF(SEMANA2[[#This Row],[1]]="",0,$B$4)</f>
        <v/>
      </c>
      <c r="CH11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1" s="166">
        <f>IF(SEMANA2[[#This Row],[Columna14]]=0,0,(CH11/CG11))</f>
        <v/>
      </c>
      <c r="CJ11" s="165">
        <f>IF(SEMANA2[[#This Row],[1]]="",0,$B$4)</f>
        <v/>
      </c>
      <c r="CK11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1" s="166">
        <f>IF(SEMANA2[[#This Row],[Columna14]]=0,0,(CK11/CJ11))</f>
        <v/>
      </c>
      <c r="CM11" s="164">
        <f>IF(SEMANA2[[#This Row],[1]]="",0,$B$4)</f>
        <v/>
      </c>
      <c r="CN11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1" s="166">
        <f>IF(SEMANA2[[#This Row],[Columna14]]=0,0,(CN11/CM11))</f>
        <v/>
      </c>
      <c r="CP11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1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Row],[Columna25]],$AX$5,BA11,"SF")+COUNTIFS(SEMANA2[[#This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1" s="166">
        <f>IFERROR(IF(SEMANA2[[#This Row],[Columna14]]=0,0,(CQ11/CP11)),0)</f>
        <v/>
      </c>
      <c r="CS11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1" s="95">
        <f>_xlfn.XLOOKUP(SEMANA2[[#This Row],[COD]],BASE01[COD],BASE01[Columna33])</f>
        <v/>
      </c>
      <c r="CU11" s="604">
        <f>SUM(CS11,CT11)</f>
        <v/>
      </c>
      <c r="CV11" s="450">
        <f>IF(SEMANA2[[#This Row],[TIPO]]="PREMIO",$O$3,"0,00")</f>
        <v/>
      </c>
      <c r="CW11" s="576" t="n"/>
      <c r="CY11" s="393" t="n">
        <v>4</v>
      </c>
      <c r="CZ11" s="354">
        <f>U$6</f>
        <v/>
      </c>
      <c r="DB11" s="605">
        <f>SEMANA2[[#This Row],[COD]]</f>
        <v/>
      </c>
      <c r="DC11" s="395">
        <f t="array" ref="DC11">IFERROR(IF(AND(INDEX($E$8:$CE$57, MATCH($C11, $C$8:$C$57, 0), (COLUMNS($DC11:DC11)-1)*5 + 1) = INDEX($E$5:$CE$5, 1, (COLUMNS($DC11:DC11)-1)*5 + 1), INDEX($E$8:$CE$57, MATCH($C11, $C$8:$C$57, 0), (COLUMNS($DC11:DC11)-1)*5 + 4) = "F"), INDEX($CZ$8:$CZ$23, COLUMNS($DC11:DC11)), "0"), "")</f>
        <v/>
      </c>
      <c r="DD11" s="395">
        <f t="array" ref="DD11">IFERROR(IF(AND(INDEX($E$8:$CE$57, MATCH($C11, $C$8:$C$57, 0), (COLUMNS($DC11:DD11)-1)*5 + 1) = INDEX($E$5:$CE$5, 1, (COLUMNS($DC11:DD11)-1)*5 + 1), INDEX($E$8:$CE$57, MATCH($C11, $C$8:$C$57, 0), (COLUMNS($DC11:DD11)-1)*5 + 4) = "F"), INDEX($CZ$8:$CZ$23, COLUMNS($DC11:DD11)), "0"), "")</f>
        <v/>
      </c>
      <c r="DE11" s="395">
        <f t="array" ref="DE11">IFERROR(IF(AND(INDEX($E$8:$CE$57, MATCH($C11, $C$8:$C$57, 0), (COLUMNS($DC11:DE11)-1)*5 + 1) = INDEX($E$5:$CE$5, 1, (COLUMNS($DC11:DE11)-1)*5 + 1), INDEX($E$8:$CE$57, MATCH($C11, $C$8:$C$57, 0), (COLUMNS($DC11:DE11)-1)*5 + 4) = "F"), INDEX($CZ$8:$CZ$23, COLUMNS($DC11:DE11)), "0"), "")</f>
        <v/>
      </c>
      <c r="DF11" s="395">
        <f t="array" ref="DF11">IFERROR(IF(AND(INDEX($E$8:$CE$57, MATCH($C11, $C$8:$C$57, 0), (COLUMNS($DC11:DF11)-1)*5 + 1) = INDEX($E$5:$CE$5, 1, (COLUMNS($DC11:DF11)-1)*5 + 1), INDEX($E$8:$CE$57, MATCH($C11, $C$8:$C$57, 0), (COLUMNS($DC11:DF11)-1)*5 + 4) = "F"), INDEX($CZ$8:$CZ$23, COLUMNS($DC11:DF11)), "0"), "")</f>
        <v/>
      </c>
      <c r="DG11" s="395">
        <f t="array" ref="DG11">IFERROR(IF(AND(INDEX($E$8:$CE$57, MATCH($C11, $C$8:$C$57, 0), (COLUMNS($DC11:DG11)-1)*5 + 1) = INDEX($E$5:$CE$5, 1, (COLUMNS($DC11:DG11)-1)*5 + 1), INDEX($E$8:$CE$57, MATCH($C11, $C$8:$C$57, 0), (COLUMNS($DC11:DG11)-1)*5 + 4) = "F"), INDEX($CZ$8:$CZ$23, COLUMNS($DC11:DG11)), "0"), "")</f>
        <v/>
      </c>
      <c r="DH11" s="395">
        <f t="array" ref="DH11">IFERROR(IF(AND(INDEX($E$8:$CE$57, MATCH($C11, $C$8:$C$57, 0), (COLUMNS($DC11:DH11)-1)*5 + 1) = INDEX($E$5:$CE$5, 1, (COLUMNS($DC11:DH11)-1)*5 + 1), INDEX($E$8:$CE$57, MATCH($C11, $C$8:$C$57, 0), (COLUMNS($DC11:DH11)-1)*5 + 4) = "F"), INDEX($CZ$8:$CZ$23, COLUMNS($DC11:DH11)), "0"), "")</f>
        <v/>
      </c>
      <c r="DI11" s="395">
        <f t="array" ref="DI11">IFERROR(IF(AND(INDEX($E$8:$CE$57, MATCH($C11, $C$8:$C$57, 0), (COLUMNS($DC11:DI11)-1)*5 + 1) = INDEX($E$5:$CE$5, 1, (COLUMNS($DC11:DI11)-1)*5 + 1), INDEX($E$8:$CE$57, MATCH($C11, $C$8:$C$57, 0), (COLUMNS($DC11:DI11)-1)*5 + 4) = "F"), INDEX($CZ$8:$CZ$23, COLUMNS($DC11:DI11)), "0"), "")</f>
        <v/>
      </c>
      <c r="DJ11" s="395">
        <f t="array" ref="DJ11">IFERROR(IF(AND(INDEX($E$8:$CE$57, MATCH($C11, $C$8:$C$57, 0), (COLUMNS($DC11:DJ11)-1)*5 + 1) = INDEX($E$5:$CE$5, 1, (COLUMNS($DC11:DJ11)-1)*5 + 1), INDEX($E$8:$CE$57, MATCH($C11, $C$8:$C$57, 0), (COLUMNS($DC11:DJ11)-1)*5 + 4) = "F"), INDEX($CZ$8:$CZ$23, COLUMNS($DC11:DJ11)), "0"), "")</f>
        <v/>
      </c>
      <c r="DK11" s="395">
        <f t="array" ref="DK11">IFERROR(IF(AND(INDEX($E$8:$CE$57, MATCH($C11, $C$8:$C$57, 0), (COLUMNS($DC11:DK11)-1)*5 + 1) = INDEX($E$5:$CE$5, 1, (COLUMNS($DC11:DK11)-1)*5 + 1), INDEX($E$8:$CE$57, MATCH($C11, $C$8:$C$57, 0), (COLUMNS($DC11:DK11)-1)*5 + 4) = "F"), INDEX($CZ$8:$CZ$23, COLUMNS($DC11:DK11)), "0"), "")</f>
        <v/>
      </c>
      <c r="DL11" s="395">
        <f t="array" ref="DL11">IFERROR(IF(AND(INDEX($E$8:$CE$57, MATCH($C11, $C$8:$C$57, 0), (COLUMNS($DC11:DL11)-1)*5 + 1) = INDEX($E$5:$CE$5, 1, (COLUMNS($DC11:DL11)-1)*5 + 1), INDEX($E$8:$CE$57, MATCH($C11, $C$8:$C$57, 0), (COLUMNS($DC11:DL11)-1)*5 + 4) = "F"), INDEX($CZ$8:$CZ$23, COLUMNS($DC11:DL11)), "0"), "")</f>
        <v/>
      </c>
      <c r="DM11" s="395">
        <f t="array" ref="DM11">IFERROR(IF(AND(INDEX($E$8:$CE$57, MATCH($C11, $C$8:$C$57, 0), (COLUMNS($DC11:DM11)-1)*5 + 1) = INDEX($E$5:$CE$5, 1, (COLUMNS($DC11:DM11)-1)*5 + 1), INDEX($E$8:$CE$57, MATCH($C11, $C$8:$C$57, 0), (COLUMNS($DC11:DM11)-1)*5 + 4) = "F"), INDEX($CZ$8:$CZ$23, COLUMNS($DC11:DM11)), "0"), "")</f>
        <v/>
      </c>
      <c r="DN11" s="395">
        <f t="array" ref="DN11">IFERROR(IF(AND(INDEX($E$8:$CE$57, MATCH($C11, $C$8:$C$57, 0), (COLUMNS($DC11:DN11)-1)*5 + 1) = INDEX($E$5:$CE$5, 1, (COLUMNS($DC11:DN11)-1)*5 + 1), INDEX($E$8:$CE$57, MATCH($C11, $C$8:$C$57, 0), (COLUMNS($DC11:DN11)-1)*5 + 4) = "F"), INDEX($CZ$8:$CZ$23, COLUMNS($DC11:DN11)), "0"), "")</f>
        <v/>
      </c>
      <c r="DO11" s="395">
        <f t="array" ref="DO11">IFERROR(IF(AND(INDEX($E$8:$CE$57, MATCH($C11, $C$8:$C$57, 0), (COLUMNS($DC11:DO11)-1)*5 + 1) = INDEX($E$5:$CE$5, 1, (COLUMNS($DC11:DO11)-1)*5 + 1), INDEX($E$8:$CE$57, MATCH($C11, $C$8:$C$57, 0), (COLUMNS($DC11:DO11)-1)*5 + 4) = "F"), INDEX($CZ$8:$CZ$23, COLUMNS($DC11:DO11)), "0"), "")</f>
        <v/>
      </c>
      <c r="DP11" s="395">
        <f t="array" ref="DP11">IFERROR(IF(AND(INDEX($E$8:$CE$57, MATCH($C11, $C$8:$C$57, 0), (COLUMNS($DC11:DP11)-1)*5 + 1) = INDEX($E$5:$CE$5, 1, (COLUMNS($DC11:DP11)-1)*5 + 1), INDEX($E$8:$CE$57, MATCH($C11, $C$8:$C$57, 0), (COLUMNS($DC11:DP11)-1)*5 + 4) = "F"), INDEX($CZ$8:$CZ$23, COLUMNS($DC11:DP11)), "0"), "")</f>
        <v/>
      </c>
      <c r="DQ11" s="395">
        <f t="array" ref="DQ11">IFERROR(IF(AND(INDEX($E$8:$CE$57, MATCH($C11, $C$8:$C$57, 0), (COLUMNS($DC11:DQ11)-1)*5 + 1) = INDEX($E$5:$CE$5, 1, (COLUMNS($DC11:DQ11)-1)*5 + 1), INDEX($E$8:$CE$57, MATCH($C11, $C$8:$C$57, 0), (COLUMNS($DC11:DQ11)-1)*5 + 4) = "F"), INDEX($CZ$8:$CZ$23, COLUMNS($DC11:DQ11)), "0"), "")</f>
        <v/>
      </c>
      <c r="DR11" s="395">
        <f t="array" ref="DR11">IFERROR(IF(AND(INDEX($E$8:$CE$57, MATCH($C11, $C$8:$C$57, 0), (COLUMNS($DC11:DR11)-1)*5 + 1) = INDEX($E$5:$CE$5, 1, (COLUMNS($DC11:DR11)-1)*5 + 1), INDEX($E$8:$CE$57, MATCH($C11, $C$8:$C$57, 0), (COLUMNS($DC11:DR11)-1)*5 + 4) = "F"), INDEX($CZ$8:$CZ$23, COLUMNS($DC11:DR11)), "0"), "")</f>
        <v/>
      </c>
      <c r="DT11" s="605">
        <f>SEMANA2[[#This Row],[COD]]</f>
        <v/>
      </c>
      <c r="DU11" s="395">
        <f t="array" ref="DU11">IFERROR(IF(AND(INDEX($E$8:$CE$57, MATCH($C11, $C$8:$C$57, 0), (COLUMNS($DU11:DU11)-1)*5 + 1) = INDEX($E$5:$CE$5, 1, (COLUMNS($DU11:DU11)-1)*5 + 1), INDEX($E$8:$CE$57, MATCH($C11, $C$8:$C$57, 0), (COLUMNS($DU11:DU11)-1)*5 + 4) = "SF"), INDEX($CZ$8:$CZ$23, COLUMNS($DU11:DU11)), "0"), "")</f>
        <v/>
      </c>
      <c r="DV11" s="395">
        <f t="array" ref="DV11">IFERROR(IF(AND(INDEX($E$8:$CE$57, MATCH($C11, $C$8:$C$57, 0), (COLUMNS($DU11:DV11)-1)*5 + 1) = INDEX($E$5:$CE$5, 1, (COLUMNS($DU11:DV11)-1)*5 + 1), INDEX($E$8:$CE$57, MATCH($C11, $C$8:$C$57, 0), (COLUMNS($DU11:DV11)-1)*5 + 4) = "SF"), INDEX($CZ$8:$CZ$23, COLUMNS($DU11:DV11)), "0"), "")</f>
        <v/>
      </c>
      <c r="DW11" s="395">
        <f t="array" ref="DW11">IFERROR(IF(AND(INDEX($E$8:$CE$57, MATCH($C11, $C$8:$C$57, 0), (COLUMNS($DU11:DW11)-1)*5 + 1) = INDEX($E$5:$CE$5, 1, (COLUMNS($DU11:DW11)-1)*5 + 1), INDEX($E$8:$CE$57, MATCH($C11, $C$8:$C$57, 0), (COLUMNS($DU11:DW11)-1)*5 + 4) = "SF"), INDEX($CZ$8:$CZ$23, COLUMNS($DU11:DW11)), "0"), "")</f>
        <v/>
      </c>
      <c r="DX11" s="395">
        <f t="array" ref="DX11">IFERROR(IF(AND(INDEX($E$8:$CE$57, MATCH($C11, $C$8:$C$57, 0), (COLUMNS($DU11:DX11)-1)*5 + 1) = INDEX($E$5:$CE$5, 1, (COLUMNS($DU11:DX11)-1)*5 + 1), INDEX($E$8:$CE$57, MATCH($C11, $C$8:$C$57, 0), (COLUMNS($DU11:DX11)-1)*5 + 4) = "SF"), INDEX($CZ$8:$CZ$23, COLUMNS($DU11:DX11)), "0"), "")</f>
        <v/>
      </c>
      <c r="DY11" s="395">
        <f t="array" ref="DY11">IFERROR(IF(AND(INDEX($E$8:$CE$57, MATCH($C11, $C$8:$C$57, 0), (COLUMNS($DU11:DY11)-1)*5 + 1) = INDEX($E$5:$CE$5, 1, (COLUMNS($DU11:DY11)-1)*5 + 1), INDEX($E$8:$CE$57, MATCH($C11, $C$8:$C$57, 0), (COLUMNS($DU11:DY11)-1)*5 + 4) = "SF"), INDEX($CZ$8:$CZ$23, COLUMNS($DU11:DY11)), "0"), "")</f>
        <v/>
      </c>
      <c r="DZ11" s="395">
        <f t="array" ref="DZ11">IFERROR(IF(AND(INDEX($E$8:$CE$57, MATCH($C11, $C$8:$C$57, 0), (COLUMNS($DU11:DZ11)-1)*5 + 1) = INDEX($E$5:$CE$5, 1, (COLUMNS($DU11:DZ11)-1)*5 + 1), INDEX($E$8:$CE$57, MATCH($C11, $C$8:$C$57, 0), (COLUMNS($DU11:DZ11)-1)*5 + 4) = "SF"), INDEX($CZ$8:$CZ$23, COLUMNS($DU11:DZ11)), "0"), "")</f>
        <v/>
      </c>
      <c r="EA11" s="395">
        <f t="array" ref="EA11">IFERROR(IF(AND(INDEX($E$8:$CE$57, MATCH($C11, $C$8:$C$57, 0), (COLUMNS($DU11:EA11)-1)*5 + 1) = INDEX($E$5:$CE$5, 1, (COLUMNS($DU11:EA11)-1)*5 + 1), INDEX($E$8:$CE$57, MATCH($C11, $C$8:$C$57, 0), (COLUMNS($DU11:EA11)-1)*5 + 4) = "SF"), INDEX($CZ$8:$CZ$23, COLUMNS($DU11:EA11)), "0"), "")</f>
        <v/>
      </c>
      <c r="EB11" s="395">
        <f t="array" ref="EB11">IFERROR(IF(AND(INDEX($E$8:$CE$57, MATCH($C11, $C$8:$C$57, 0), (COLUMNS($DU11:EB11)-1)*5 + 1) = INDEX($E$5:$CE$5, 1, (COLUMNS($DU11:EB11)-1)*5 + 1), INDEX($E$8:$CE$57, MATCH($C11, $C$8:$C$57, 0), (COLUMNS($DU11:EB11)-1)*5 + 4) = "SF"), INDEX($CZ$8:$CZ$23, COLUMNS($DU11:EB11)), "0"), "")</f>
        <v/>
      </c>
      <c r="EC11" s="395">
        <f t="array" ref="EC11">IFERROR(IF(AND(INDEX($E$8:$CE$57, MATCH($C11, $C$8:$C$57, 0), (COLUMNS($DU11:EC11)-1)*5 + 1) = INDEX($E$5:$CE$5, 1, (COLUMNS($DU11:EC11)-1)*5 + 1), INDEX($E$8:$CE$57, MATCH($C11, $C$8:$C$57, 0), (COLUMNS($DU11:EC11)-1)*5 + 4) = "SF"), INDEX($CZ$8:$CZ$23, COLUMNS($DU11:EC11)), "0"), "")</f>
        <v/>
      </c>
      <c r="ED11" s="395">
        <f t="array" ref="ED11">IFERROR(IF(AND(INDEX($E$8:$CE$57, MATCH($C11, $C$8:$C$57, 0), (COLUMNS($DU11:ED11)-1)*5 + 1) = INDEX($E$5:$CE$5, 1, (COLUMNS($DU11:ED11)-1)*5 + 1), INDEX($E$8:$CE$57, MATCH($C11, $C$8:$C$57, 0), (COLUMNS($DU11:ED11)-1)*5 + 4) = "SF"), INDEX($CZ$8:$CZ$23, COLUMNS($DU11:ED11)), "0"), "")</f>
        <v/>
      </c>
      <c r="EE11" s="395">
        <f t="array" ref="EE11">IFERROR(IF(AND(INDEX($E$8:$CE$57, MATCH($C11, $C$8:$C$57, 0), (COLUMNS($DU11:EE11)-1)*5 + 1) = INDEX($E$5:$CE$5, 1, (COLUMNS($DU11:EE11)-1)*5 + 1), INDEX($E$8:$CE$57, MATCH($C11, $C$8:$C$57, 0), (COLUMNS($DU11:EE11)-1)*5 + 4) = "SF"), INDEX($CZ$8:$CZ$23, COLUMNS($DU11:EE11)), "0"), "")</f>
        <v/>
      </c>
      <c r="EF11" s="395">
        <f t="array" ref="EF11">IFERROR(IF(AND(INDEX($E$8:$CE$57, MATCH($C11, $C$8:$C$57, 0), (COLUMNS($DU11:EF11)-1)*5 + 1) = INDEX($E$5:$CE$5, 1, (COLUMNS($DU11:EF11)-1)*5 + 1), INDEX($E$8:$CE$57, MATCH($C11, $C$8:$C$57, 0), (COLUMNS($DU11:EF11)-1)*5 + 4) = "SF"), INDEX($CZ$8:$CZ$23, COLUMNS($DU11:EF11)), "0"), "")</f>
        <v/>
      </c>
      <c r="EG11" s="395">
        <f t="array" ref="EG11">IFERROR(IF(AND(INDEX($E$8:$CE$57, MATCH($C11, $C$8:$C$57, 0), (COLUMNS($DU11:EG11)-1)*5 + 1) = INDEX($E$5:$CE$5, 1, (COLUMNS($DU11:EG11)-1)*5 + 1), INDEX($E$8:$CE$57, MATCH($C11, $C$8:$C$57, 0), (COLUMNS($DU11:EG11)-1)*5 + 4) = "SF"), INDEX($CZ$8:$CZ$23, COLUMNS($DU11:EG11)), "0"), "")</f>
        <v/>
      </c>
      <c r="EH11" s="395">
        <f t="array" ref="EH11">IFERROR(IF(AND(INDEX($E$8:$CE$57, MATCH($C11, $C$8:$C$57, 0), (COLUMNS($DU11:EH11)-1)*5 + 1) = INDEX($E$5:$CE$5, 1, (COLUMNS($DU11:EH11)-1)*5 + 1), INDEX($E$8:$CE$57, MATCH($C11, $C$8:$C$57, 0), (COLUMNS($DU11:EH11)-1)*5 + 4) = "SF"), INDEX($CZ$8:$CZ$23, COLUMNS($DU11:EH11)), "0"), "")</f>
        <v/>
      </c>
      <c r="EI11" s="395">
        <f t="array" ref="EI11">IFERROR(IF(AND(INDEX($E$8:$CE$57, MATCH($C11, $C$8:$C$57, 0), (COLUMNS($DU11:EI11)-1)*5 + 1) = INDEX($E$5:$CE$5, 1, (COLUMNS($DU11:EI11)-1)*5 + 1), INDEX($E$8:$CE$57, MATCH($C11, $C$8:$C$57, 0), (COLUMNS($DU11:EI11)-1)*5 + 4) = "SF"), INDEX($CZ$8:$CZ$23, COLUMNS($DU11:EI11)), "0"), "")</f>
        <v/>
      </c>
      <c r="EJ11" s="395">
        <f t="array" ref="EJ11">IFERROR(IF(AND(INDEX($E$8:$CE$57, MATCH($C11, $C$8:$C$57, 0), (COLUMNS($DU11:EJ11)-1)*5 + 1) = INDEX($E$5:$CE$5, 1, (COLUMNS($DU11:EJ11)-1)*5 + 1), INDEX($E$8:$CE$57, MATCH($C11, $C$8:$C$57, 0), (COLUMNS($DU11:EJ11)-1)*5 + 4) = "SF"), INDEX($CZ$8:$CZ$23, COLUMNS($DU11:EJ11)), "0"), "")</f>
        <v/>
      </c>
    </row>
    <row r="12" ht="20.1" customHeight="1" s="568">
      <c r="A12" s="576" t="n"/>
      <c r="B12" s="449">
        <f>IF(SEMANA2[[#This Row],[COD]]&lt;&gt;"",B11+1,"")</f>
        <v/>
      </c>
      <c r="C12" s="622" t="inlineStr">
        <is>
          <t>COD 05</t>
        </is>
      </c>
      <c r="D12" s="415">
        <f t="array" ref="D12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2" s="416" t="n">
        <v>9</v>
      </c>
      <c r="F12" s="418" t="n">
        <v>2</v>
      </c>
      <c r="G12" s="418" t="n">
        <v>6</v>
      </c>
      <c r="H12" s="418" t="n"/>
      <c r="I12" s="602">
        <f>SUM(IF(E12=E$5,4,0),IF(E12&amp;F12=E$5&amp;F$5,1,0),
IF(AND(E12=E$5,F$6&gt;=$D$115),1,0),
IF(AND(F12=E$5,F$6&gt;=$D$115),1,0),
IF(AND(G12=E$5,F$6&gt;=$D$115),1,0),
IF(E12&amp;H12=I$5,1,0),
IF(F12=E$5,2,0),
IF(G12=E$5,1,0),
IF(OR(E12&amp;F12&amp;G12=E$5&amp;F$5&amp;G$5,E12&amp;F12&amp;G12=E$5&amp;G$5&amp;F$5,E12&amp;F12&amp;G12=F$5&amp;E$5&amp;G$5,E12&amp;F12&amp;G12=F$5&amp;G$5&amp;E$5,E12&amp;F12&amp;G12=G$5&amp;E$5&amp;F$5,E12&amp;F12&amp;G12=G$5&amp;F$5&amp;E$5),2,0),IF(AND(E12=E$5,F$6&gt;=$D$129),1,0),IF(AND(F12=E$5,F$6&gt;=$D$129),1,0),IF(AND(G12=E$5,F$6&gt;=$D$129),1,0),IF(E12&amp;H12=H$5,4,0),IF(AND(E12=E$5,F$6&lt;=$D$104),-0.5,0),IF(AND(F12=E$5,F$6&lt;=$D$104),-0.5,0),IF(AND(G12=E$5,F$6&lt;=$D$104),-0.5,0))</f>
        <v/>
      </c>
      <c r="J12" s="416" t="n">
        <v>1</v>
      </c>
      <c r="K12" s="418" t="n">
        <v>4</v>
      </c>
      <c r="L12" s="418" t="n">
        <v>2</v>
      </c>
      <c r="M12" s="418" t="inlineStr">
        <is>
          <t>F</t>
        </is>
      </c>
      <c r="N12" s="602">
        <f>SUM(IF(J12=J$5,4,0),IF(J12&amp;K12=J$5&amp;K$5,1,0),
IF(AND(J12=J$5,K$6&gt;=$D$115),1,0),
IF(AND(K12=J$5,K$6&gt;=$D$115),1,0),
IF(AND(L12=J$5,K$6&gt;=$D$115),1,0),
IF(J12&amp;M12=N$5,1,0),
IF(K12=J$5,2,0),
IF(L12=J$5,1,0),
IF(OR(J12&amp;K12&amp;L12=J$5&amp;K$5&amp;L$5,J12&amp;K12&amp;L12=J$5&amp;L$5&amp;K$5,J12&amp;K12&amp;L12=K$5&amp;J$5&amp;L$5,J12&amp;K12&amp;L12=K$5&amp;L$5&amp;J$5,J12&amp;K12&amp;L12=L$5&amp;J$5&amp;K$5,J12&amp;K12&amp;L12=L$5&amp;K$5&amp;J$5),2,0),IF(AND(J12=J$5,K$6&gt;=$D$129),1,0),IF(AND(K12=J$5,K$6&gt;=$D$129),1,0),IF(AND(L12=J$5,K$6&gt;=$D$129),1,0),IF(J12&amp;M12=M$5,4,0),IF(AND(J12=J$5,K$6&lt;=$D$104),-0.5,0),IF(AND(K12=J$5,K$6&lt;=$D$104),-0.5,0),IF(AND(L12=J$5,K$6&lt;=$D$104),-0.5,0))</f>
        <v/>
      </c>
      <c r="O12" s="416" t="n">
        <v>5</v>
      </c>
      <c r="P12" s="418" t="n">
        <v>1</v>
      </c>
      <c r="Q12" s="418" t="n">
        <v>8</v>
      </c>
      <c r="R12" s="418" t="n"/>
      <c r="S12" s="602">
        <f>SUM(IF(O12=O$5,4,0),IF(O12&amp;P12=O$5&amp;P$5,1,0),
IF(AND(O12=O$5,P$6&gt;=$D$115),1,0),
IF(AND(P12=O$5,P$6&gt;=$D$115),1,0),
IF(AND(Q12=O$5,P$6&gt;=$D$115),1,0),
IF(O12&amp;R12=S$5,1,0),
IF(P12=O$5,2,0),
IF(Q12=O$5,1,0),
IF(OR(O12&amp;P12&amp;Q12=O$5&amp;P$5&amp;Q$5,O12&amp;P12&amp;Q12=O$5&amp;Q$5&amp;P$5,O12&amp;P12&amp;Q12=P$5&amp;O$5&amp;Q$5,O12&amp;P12&amp;Q12=P$5&amp;Q$5&amp;O$5,O12&amp;P12&amp;Q12=Q$5&amp;O$5&amp;P$5,O12&amp;P12&amp;Q12=Q$5&amp;P$5&amp;O$5),2,0),IF(AND(O12=O$5,P$6&gt;=$D$129),1,0),IF(AND(P12=O$5,P$6&gt;=$D$129),1,0),IF(AND(Q12=O$5,P$6&gt;=$D$129),1,0),IF(O12&amp;R12=R$5,4,0),IF(AND(O12=O$5,P$6&lt;=$D$104),-0.5,0),IF(AND(P12=O$5,P$6&lt;=$D$104),-0.5,0),IF(AND(Q12=O$5,P$6&lt;=$D$104),-0.5,0))</f>
        <v/>
      </c>
      <c r="T12" s="416" t="n">
        <v>5</v>
      </c>
      <c r="U12" s="418" t="n">
        <v>3</v>
      </c>
      <c r="V12" s="418" t="n">
        <v>1</v>
      </c>
      <c r="W12" s="418" t="n"/>
      <c r="X12" s="602">
        <f>SUM(IF(T12=T$5,4,0),IF(T12&amp;U12=T$5&amp;U$5,1,0),
IF(AND(T12=T$5,U$6&gt;=$D$115),1,0),
IF(AND(U12=T$5,U$6&gt;=$D$115),1,0),
IF(AND(V12=T$5,U$6&gt;=$D$115),1,0),
IF(T12&amp;W12=X$5,1,0),
IF(U12=T$5,2,0),
IF(V12=T$5,1,0),
IF(OR(T12&amp;U12&amp;V12=T$5&amp;U$5&amp;V$5,T12&amp;U12&amp;V12=T$5&amp;V$5&amp;U$5,T12&amp;U12&amp;V12=U$5&amp;T$5&amp;V$5,T12&amp;U12&amp;V12=U$5&amp;V$5&amp;T$5,T12&amp;U12&amp;V12=V$5&amp;T$5&amp;U$5,T12&amp;U12&amp;V12=V$5&amp;U$5&amp;T$5),2,0),IF(AND(T12=T$5,U$6&gt;=$D$129),1,0),IF(AND(U12=T$5,U$6&gt;=$D$129),1,0),IF(AND(V12=T$5,U$6&gt;=$D$129),1,0),IF(T12&amp;W12=W$5,4,0),IF(AND(T12=T$5,U$6&lt;=$D$104),-0.5,0),IF(AND(U12=T$5,U$6&lt;=$D$104),-0.5,0),IF(AND(V12=T$5,U$6&lt;=$D$104),-0.5,0))</f>
        <v/>
      </c>
      <c r="Y12" s="416" t="n">
        <v>7</v>
      </c>
      <c r="Z12" s="418" t="n">
        <v>4</v>
      </c>
      <c r="AA12" s="418" t="n">
        <v>2</v>
      </c>
      <c r="AB12" s="418" t="n"/>
      <c r="AC12" s="602">
        <f>SUM(IF(Y12=Y$5,4,0),IF(Y12&amp;Z12=Y$5&amp;Z$5,1,0),
IF(AND(Y12=Y$5,Z$6&gt;=$D$115),1,0),
IF(AND(Z12=Y$5,Z$6&gt;=$D$115),1,0),
IF(AND(AA12=Y$5,Z$6&gt;=$D$115),1,0),
IF(Y12&amp;AB12=AC$5,1,0),
IF(Z12=Y$5,2,0),
IF(AA12=Y$5,1,0),
IF(OR(Y12&amp;Z12&amp;AA12=Y$5&amp;Z$5&amp;AA$5,Y12&amp;Z12&amp;AA12=Y$5&amp;AA$5&amp;Z$5,Y12&amp;Z12&amp;AA12=Z$5&amp;Y$5&amp;AA$5,Y12&amp;Z12&amp;AA12=Z$5&amp;AA$5&amp;Y$5,Y12&amp;Z12&amp;AA12=AA$5&amp;Y$5&amp;Z$5,Y12&amp;Z12&amp;AA12=AA$5&amp;Z$5&amp;Y$5),2,0),IF(AND(Y12=Y$5,Z$6&gt;=$D$129),1,0),IF(AND(Z12=Y$5,Z$6&gt;=$D$129),1,0),IF(AND(AA12=Y$5,Z$6&gt;=$D$129),1,0),IF(Y12&amp;AB12=AB$5,4,0),IF(AND(Y12=Y$5,Z$6&lt;=$D$104),-0.5,0),IF(AND(Z12=Y$5,Z$6&lt;=$D$104),-0.5,0),IF(AND(AA12=Y$5,Z$6&lt;=$D$104),-0.5,0))</f>
        <v/>
      </c>
      <c r="AD12" s="416" t="n">
        <v>5</v>
      </c>
      <c r="AE12" s="418" t="n">
        <v>10</v>
      </c>
      <c r="AF12" s="418" t="n">
        <v>7</v>
      </c>
      <c r="AG12" s="418" t="n"/>
      <c r="AH12" s="602">
        <f>SUM(IF(AD12=AD$5,4,0),IF(AD12&amp;AE12=AD$5&amp;AE$5,1,0),
IF(AND(AD12=AD$5,AE$6&gt;=$D$115),1,0),
IF(AND(AE12=AD$5,AE$6&gt;=$D$115),1,0),
IF(AND(AF12=AD$5,AE$6&gt;=$D$115),1,0),
IF(AD12&amp;AG12=AH$5,1,0),
IF(AE12=AD$5,2,0),
IF(AF12=AD$5,1,0),
IF(OR(AD12&amp;AE12&amp;AF12=AD$5&amp;AE$5&amp;AF$5,AD12&amp;AE12&amp;AF12=AD$5&amp;AF$5&amp;AE$5,AD12&amp;AE12&amp;AF12=AE$5&amp;AD$5&amp;AF$5,AD12&amp;AE12&amp;AF12=AE$5&amp;AF$5&amp;AD$5,AD12&amp;AE12&amp;AF12=AF$5&amp;AD$5&amp;AE$5,AD12&amp;AE12&amp;AF12=AF$5&amp;AE$5&amp;AD$5),2,0),IF(AND(AD12=AD$5,AE$6&gt;=$D$129),1,0),IF(AND(AE12=AD$5,AE$6&gt;=$D$129),1,0),IF(AND(AF12=AD$5,AE$6&gt;=$D$129),1,0),IF(AD12&amp;AG12=AG$5,4,0),IF(AND(AD12=AD$5,AE$6&lt;=$D$104),-0.5,0),IF(AND(AE12=AD$5,AE$6&lt;=$D$104),-0.5,0),IF(AND(AF12=AD$5,AE$6&lt;=$D$104),-0.5,0))</f>
        <v/>
      </c>
      <c r="AI12" s="416" t="n">
        <v>6</v>
      </c>
      <c r="AJ12" s="418" t="n">
        <v>3</v>
      </c>
      <c r="AK12" s="418" t="n">
        <v>7</v>
      </c>
      <c r="AL12" s="418" t="n"/>
      <c r="AM12" s="602">
        <f>SUM(IF(AI12=AI$5,4,0),IF(AI12&amp;AJ12=AI$5&amp;AJ$5,1,0),
IF(AND(AI12=AI$5,AJ$6&gt;=$D$115),1,0),
IF(AND(AJ12=AI$5,AJ$6&gt;=$D$115),1,0),
IF(AND(AK12=AI$5,AJ$6&gt;=$D$115),1,0),
IF(AI12&amp;AL12=AM$5,1,0),
IF(AJ12=AI$5,2,0),
IF(AK12=AI$5,1,0),
IF(OR(AI12&amp;AJ12&amp;AK12=AI$5&amp;AJ$5&amp;AK$5,AI12&amp;AJ12&amp;AK12=AI$5&amp;AK$5&amp;AJ$5,AI12&amp;AJ12&amp;AK12=AJ$5&amp;AI$5&amp;AK$5,AI12&amp;AJ12&amp;AK12=AJ$5&amp;AK$5&amp;AI$5,AI12&amp;AJ12&amp;AK12=AK$5&amp;AI$5&amp;AJ$5,AI12&amp;AJ12&amp;AK12=AK$5&amp;AJ$5&amp;AI$5),2,0),IF(AND(AI12=AI$5,AJ$6&gt;=$D$129),1,0),IF(AND(AJ12=AI$5,AJ$6&gt;=$D$129),1,0),IF(AND(AK12=AI$5,AJ$6&gt;=$D$129),1,0),IF(AI12&amp;AL12=AL$5,4,0),IF(AND(AI12=AI$5,AJ$6&lt;=$D$104),-0.5,0),IF(AND(AJ12=AI$5,AJ$6&lt;=$D$104),-0.5,0),IF(AND(AK12=AI$5,AJ$6&lt;=$D$104),-0.5,0))</f>
        <v/>
      </c>
      <c r="AN12" s="416" t="n">
        <v>8</v>
      </c>
      <c r="AO12" s="418" t="n"/>
      <c r="AP12" s="418" t="n"/>
      <c r="AQ12" s="418" t="inlineStr">
        <is>
          <t>SF</t>
        </is>
      </c>
      <c r="AR12" s="602">
        <f>SUM(IF(AN12=AN$5,4,0),IF(AN12&amp;AO12=AN$5&amp;AO$5,1,0),
IF(AND(AN12=AN$5,AO$6&gt;=$D$115),1,0),
IF(AND(AO12=AN$5,AO$6&gt;=$D$115),1,0),
IF(AND(AP12=AN$5,AO$6&gt;=$D$115),1,0),
IF(AN12&amp;AQ12=AR$5,1,0),
IF(AO12=AN$5,2,0),
IF(AP12=AN$5,1,0),
IF(OR(AN12&amp;AO12&amp;AP12=AN$5&amp;AO$5&amp;AP$5,AN12&amp;AO12&amp;AP12=AN$5&amp;AP$5&amp;AO$5,AN12&amp;AO12&amp;AP12=AO$5&amp;AN$5&amp;AP$5,AN12&amp;AO12&amp;AP12=AO$5&amp;AP$5&amp;AN$5,AN12&amp;AO12&amp;AP12=AP$5&amp;AN$5&amp;AO$5,AN12&amp;AO12&amp;AP12=AP$5&amp;AO$5&amp;AN$5),2,0),IF(AND(AN12=AN$5,AO$6&gt;=$D$129),1,0),IF(AND(AO12=AN$5,AO$6&gt;=$D$129),1,0),IF(AND(AP12=AN$5,AO$6&gt;=$D$129),1,0),IF(AN12&amp;AQ12=AQ$5,4,0),IF(AND(AN12=AN$5,AO$6&lt;=$D$104),-0.5,0),IF(AND(AO12=AN$5,AO$6&lt;=$D$104),-0.5,0),IF(AND(AP12=AN$5,AO$6&lt;=$D$104),-0.5,0))</f>
        <v/>
      </c>
      <c r="AS12" s="416" t="n">
        <v>10</v>
      </c>
      <c r="AT12" s="418" t="n">
        <v>6</v>
      </c>
      <c r="AU12" s="418" t="n">
        <v>2</v>
      </c>
      <c r="AV12" s="418" t="n"/>
      <c r="AW12" s="602">
        <f>SUM(IF(AS12=AS$5,4,0),IF(AS12&amp;AT12=AS$5&amp;AT$5,1,0),
IF(AND(AS12=AS$5,AT$6&gt;=$D$115),1,0),
IF(AND(AT12=AS$5,AT$6&gt;=$D$115),1,0),
IF(AND(AU12=AS$5,AT$6&gt;=$D$115),1,0),
IF(AS12&amp;AV12=AW$5,1,0),
IF(AT12=AS$5,2,0),
IF(AU12=AS$5,1,0),
IF(OR(AS12&amp;AT12&amp;AU12=AS$5&amp;AT$5&amp;AU$5,AS12&amp;AT12&amp;AU12=AS$5&amp;AU$5&amp;AT$5,AS12&amp;AT12&amp;AU12=AT$5&amp;AS$5&amp;AU$5,AS12&amp;AT12&amp;AU12=AT$5&amp;AU$5&amp;AS$5,AS12&amp;AT12&amp;AU12=AU$5&amp;AS$5&amp;AT$5,AS12&amp;AT12&amp;AU12=AU$5&amp;AT$5&amp;AS$5),2,0),IF(AND(AS12=AS$5,AT$6&gt;=$D$129),1,0),IF(AND(AT12=AS$5,AT$6&gt;=$D$129),1,0),IF(AND(AU12=AS$5,AT$6&gt;=$D$129),1,0),IF(AS12&amp;AV12=AV$5,4,0),IF(AND(AS12=AS$5,AT$6&lt;=$D$104),-0.5,0),IF(AND(AT12=AS$5,AT$6&lt;=$D$104),-0.5,0),IF(AND(AU12=AS$5,AT$6&lt;=$D$104),-0.5,0))</f>
        <v/>
      </c>
      <c r="AX12" s="416" t="n">
        <v>2</v>
      </c>
      <c r="AY12" s="418" t="n">
        <v>6</v>
      </c>
      <c r="AZ12" s="418" t="n">
        <v>5</v>
      </c>
      <c r="BA12" s="418" t="n"/>
      <c r="BB12" s="602">
        <f>SUM(IF(AX12=AX$5,4,0),IF(AX12&amp;AY12=AX$5&amp;AY$5,1,0),
IF(AND(AX12=AX$5,AY$6&gt;=$D$115),1,0),
IF(AND(AY12=AX$5,AY$6&gt;=$D$115),1,0),
IF(AND(AZ12=AX$5,AY$6&gt;=$D$115),1,0),
IF(AX12&amp;BA12=BB$5,1,0),
IF(AY12=AX$5,2,0),
IF(AZ12=AX$5,1,0),
IF(OR(AX12&amp;AY12&amp;AZ12=AX$5&amp;AY$5&amp;AZ$5,AX12&amp;AY12&amp;AZ12=AX$5&amp;AZ$5&amp;AY$5,AX12&amp;AY12&amp;AZ12=AY$5&amp;AX$5&amp;AZ$5,AX12&amp;AY12&amp;AZ12=AY$5&amp;AZ$5&amp;AX$5,AX12&amp;AY12&amp;AZ12=AZ$5&amp;AX$5&amp;AY$5,AX12&amp;AY12&amp;AZ12=AZ$5&amp;AY$5&amp;AX$5),2,0),IF(AND(AX12=AX$5,AY$6&gt;=$D$129),1,0),IF(AND(AY12=AX$5,AY$6&gt;=$D$129),1,0),IF(AND(AZ12=AX$5,AY$6&gt;=$D$129),1,0),IF(AX12&amp;BA12=BA$5,4,0),IF(AND(AX12=AX$5,AY$6&lt;=$D$104),-0.5,0),IF(AND(AY12=AX$5,AY$6&lt;=$D$104),-0.5,0),IF(AND(AZ12=AX$5,AY$6&lt;=$D$104),-0.5,0))</f>
        <v/>
      </c>
      <c r="BC12" s="416" t="n">
        <v>7</v>
      </c>
      <c r="BD12" s="418" t="n">
        <v>5</v>
      </c>
      <c r="BE12" s="418" t="n">
        <v>3</v>
      </c>
      <c r="BF12" s="418" t="inlineStr">
        <is>
          <t>F</t>
        </is>
      </c>
      <c r="BG12" s="602">
        <f>SUM(IF(BC12=BC$5,4,0),IF(BC12&amp;BD12=BC$5&amp;BD$5,1,0),
IF(AND(BC12=BC$5,BD$6&gt;=$D$115),1,0),
IF(AND(BD12=BC$5,BD$6&gt;=$D$115),1,0),
IF(AND(BE12=BC$5,BD$6&gt;=$D$115),1,0),
IF(BC12&amp;BF12=BG$5,1,0),
IF(BD12=BC$5,2,0),
IF(BE12=BC$5,1,0),
IF(OR(BC12&amp;BD12&amp;BE12=BC$5&amp;BD$5&amp;BE$5,BC12&amp;BD12&amp;BE12=BC$5&amp;BE$5&amp;BD$5,BC12&amp;BD12&amp;BE12=BD$5&amp;BC$5&amp;BE$5,BC12&amp;BD12&amp;BE12=BD$5&amp;BE$5&amp;BC$5,BC12&amp;BD12&amp;BE12=BE$5&amp;BC$5&amp;BD$5,BC12&amp;BD12&amp;BE12=BE$5&amp;BD$5&amp;BC$5),2,0),IF(AND(BC12=BC$5,BD$6&gt;=$D$129),1,0),IF(AND(BD12=BC$5,BD$6&gt;=$D$129),1,0),IF(AND(BE12=BC$5,BD$6&gt;=$D$129),1,0),IF(BC12&amp;BF12=BF$5,4,0),IF(AND(BC12=BC$5,BD$6&lt;=$D$104),-0.5,0),IF(AND(BD12=BC$5,BD$6&lt;=$D$104),-0.5,0),IF(AND(BE12=BC$5,BD$6&lt;=$D$104),-0.5,0))</f>
        <v/>
      </c>
      <c r="BH12" s="416" t="n">
        <v>2</v>
      </c>
      <c r="BI12" s="418" t="n">
        <v>6</v>
      </c>
      <c r="BJ12" s="418" t="n">
        <v>5</v>
      </c>
      <c r="BK12" s="418" t="n"/>
      <c r="BL12" s="602">
        <f>SUM(IF(BH12=BH$5,4,0),IF(BH12&amp;BI12=BH$5&amp;BI$5,1,0),
IF(AND(BH12=BH$5,BI$6&gt;=$D$115),1,0),
IF(AND(BI12=BH$5,BI$6&gt;=$D$115),1,0),
IF(AND(BJ12=BH$5,BI$6&gt;=$D$115),1,0),
IF(BH12&amp;BK12=BL$5,1,0),
IF(BI12=BH$5,2,0),
IF(BJ12=BH$5,1,0),
IF(OR(BH12&amp;BI12&amp;BJ12=BH$5&amp;BI$5&amp;BJ$5,BH12&amp;BI12&amp;BJ12=BH$5&amp;BJ$5&amp;BI$5,BH12&amp;BI12&amp;BJ12=BI$5&amp;BH$5&amp;BJ$5,BH12&amp;BI12&amp;BJ12=BI$5&amp;BJ$5&amp;BH$5,BH12&amp;BI12&amp;BJ12=BJ$5&amp;BH$5&amp;BI$5,BH12&amp;BI12&amp;BJ12=BJ$5&amp;BI$5&amp;BH$5),2,0),IF(AND(BH12=BH$5,BI$6&gt;=$D$129),1,0),IF(AND(BI12=BH$5,BI$6&gt;=$D$129),1,0),IF(AND(BJ12=BH$5,BI$6&gt;=$D$129),1,0),IF(BH12&amp;BK12=BK$5,4,0),IF(AND(BH12=BH$5,BI$6&lt;=$D$104),-0.5,0),IF(AND(BI12=BH$5,BI$6&lt;=$D$104),-0.5,0),IF(AND(BJ12=BH$5,BI$6&lt;=$D$104),-0.5,0))</f>
        <v/>
      </c>
      <c r="BM12" s="416" t="n">
        <v>4</v>
      </c>
      <c r="BN12" s="418" t="n">
        <v>1</v>
      </c>
      <c r="BO12" s="418" t="n">
        <v>9</v>
      </c>
      <c r="BP12" s="418" t="n"/>
      <c r="BQ12" s="602">
        <f>SUM(IF(BM12=BM$5,4,0),IF(BM12&amp;BN12=BM$5&amp;BN$5,1,0),
IF(AND(BM12=BM$5,BN$6&gt;=$D$115),1,0),
IF(AND(BN12=BM$5,BN$6&gt;=$D$115),1,0),
IF(AND(BO12=BM$5,BN$6&gt;=$D$115),1,0),
IF(BM12&amp;BP12=BQ$5,1,0),
IF(BN12=BM$5,2,0),
IF(BO12=BM$5,1,0),
IF(OR(BM12&amp;BN12&amp;BO12=BM$5&amp;BN$5&amp;BO$5,BM12&amp;BN12&amp;BO12=BM$5&amp;BO$5&amp;BN$5,BM12&amp;BN12&amp;BO12=BN$5&amp;BM$5&amp;BO$5,BM12&amp;BN12&amp;BO12=BN$5&amp;BO$5&amp;BM$5,BM12&amp;BN12&amp;BO12=BO$5&amp;BM$5&amp;BN$5,BM12&amp;BN12&amp;BO12=BO$5&amp;BN$5&amp;BM$5),2,0),IF(AND(BM12=BM$5,BN$6&gt;=$D$129),1,0),IF(AND(BN12=BM$5,BN$6&gt;=$D$129),1,0),IF(AND(BO12=BM$5,BN$6&gt;=$D$129),1,0),IF(BM12&amp;BP12=BP$5,4,0),IF(AND(BM12=BM$5,BN$6&lt;=$D$104),-0.5,0),IF(AND(BN12=BM$5,BN$6&lt;=$D$104),-0.5,0),IF(AND(BO12=BM$5,BN$6&lt;=$D$104),-0.5,0))</f>
        <v/>
      </c>
      <c r="BR12" s="416" t="n">
        <v>1</v>
      </c>
      <c r="BS12" s="418" t="n">
        <v>11</v>
      </c>
      <c r="BT12" s="418" t="n">
        <v>2</v>
      </c>
      <c r="BU12" s="418" t="n"/>
      <c r="BV12" s="602">
        <f>SUM(IF(BR12=BR$5,4,0),IF(BR12&amp;BS12=BR$5&amp;BS$5,1,0),
IF(AND(BR12=BR$5,BS$6&gt;=$D$115),1,0),
IF(AND(BS12=BR$5,BS$6&gt;=$D$115),1,0),
IF(AND(BT12=BR$5,BS$6&gt;=$D$115),1,0),
IF(BR12&amp;BU12=BV$5,1,0),
IF(BS12=BR$5,2,0),
IF(BT12=BR$5,1,0),
IF(OR(BR12&amp;BS12&amp;BT12=BR$5&amp;BS$5&amp;BT$5,BR12&amp;BS12&amp;BT12=BR$5&amp;BT$5&amp;BS$5,BR12&amp;BS12&amp;BT12=BS$5&amp;BR$5&amp;BT$5,BR12&amp;BS12&amp;BT12=BS$5&amp;BT$5&amp;BR$5,BR12&amp;BS12&amp;BT12=BT$5&amp;BR$5&amp;BS$5,BR12&amp;BS12&amp;BT12=BT$5&amp;BS$5&amp;BR$5),2,0),IF(AND(BR12=BR$5,BS$6&gt;=$D$129),1,0),IF(AND(BS12=BR$5,BS$6&gt;=$D$129),1,0),IF(AND(BT12=BR$5,BS$6&gt;=$D$129),1,0),IF(BR12&amp;BU12=BU$5,4,0),IF(AND(BR12=BR$5,BS$6&lt;=$D$104),-0.5,0),IF(AND(BS12=BR$5,BS$6&lt;=$D$104),-0.5,0),IF(AND(BT12=BR$5,BS$6&lt;=$D$104),-0.5,0))</f>
        <v/>
      </c>
      <c r="BW12" s="416" t="n"/>
      <c r="BX12" s="418" t="n"/>
      <c r="BY12" s="418" t="n"/>
      <c r="BZ12" s="418" t="n"/>
      <c r="CA12" s="602">
        <f>SUM(IF(BW12=BW$5,4,0),IF(BW12&amp;BX12=BW$5&amp;BX$5,1,0),
IF(AND(BW12=BW$5,BX$6&gt;=$D$115),1,0),
IF(AND(BX12=BW$5,BX$6&gt;=$D$115),1,0),
IF(AND(BY12=BW$5,BX$6&gt;=$D$115),1,0),
IF(BW12&amp;BZ12=CA$5,1,0),
IF(BX12=BW$5,2,0),
IF(BY12=BW$5,1,0),
IF(OR(BW12&amp;BX12&amp;BY12=BW$5&amp;BX$5&amp;BY$5,BW12&amp;BX12&amp;BY12=BW$5&amp;BY$5&amp;BX$5,BW12&amp;BX12&amp;BY12=BX$5&amp;BW$5&amp;BY$5,BW12&amp;BX12&amp;BY12=BX$5&amp;BY$5&amp;BW$5,BW12&amp;BX12&amp;BY12=BY$5&amp;BW$5&amp;BX$5,BW12&amp;BX12&amp;BY12=BY$5&amp;BX$5&amp;BW$5),2,0),IF(AND(BW12=BW$5,BX$6&gt;=$D$129),1,0),IF(AND(BX12=BW$5,BX$6&gt;=$D$129),1,0),IF(AND(BY12=BW$5,BX$6&gt;=$D$129),1,0),IF(BW12&amp;BZ12=BZ$5,4,0),IF(AND(BW12=BW$5,BX$6&lt;=$D$104),-0.5,0),IF(AND(BX12=BW$5,BX$6&lt;=$D$104),-0.5,0),IF(AND(BY12=BW$5,BX$6&lt;=$D$104),-0.5,0))</f>
        <v/>
      </c>
      <c r="CB12" s="416" t="n"/>
      <c r="CC12" s="418" t="n"/>
      <c r="CD12" s="418" t="n"/>
      <c r="CE12" s="418" t="n"/>
      <c r="CF12" s="602">
        <f>SUM(IF(CB12=CB$5,4,0),IF(CB12&amp;CC12=CB$5&amp;CC$5,1,0),
IF(AND(CB12=CB$5,CC$6&gt;=$D$115),1,0),
IF(AND(CC12=CB$5,CC$6&gt;=$D$115),1,0),
IF(AND(CD12=CB$5,CC$6&gt;=$D$115),1,0),
IF(CB12&amp;CE12=CF$5,1,0),
IF(CC12=CB$5,2,0),
IF(CD12=CB$5,1,0),
IF(OR(CB12&amp;CC12&amp;CD12=CB$5&amp;CC$5&amp;CD$5,CB12&amp;CC12&amp;CD12=CB$5&amp;CD$5&amp;CC$5,CB12&amp;CC12&amp;CD12=CC$5&amp;CB$5&amp;CD$5,CB12&amp;CC12&amp;CD12=CC$5&amp;CD$5&amp;CB$5,CB12&amp;CC12&amp;CD12=CD$5&amp;CB$5&amp;CC$5,CB12&amp;CC12&amp;CD12=CD$5&amp;CC$5&amp;CB$5),2,0),IF(AND(CB12=CB$5,CC$6&gt;=$D$129),1,0),IF(AND(CC12=CB$5,CC$6&gt;=$D$129),1,0),IF(AND(CD12=CB$5,CC$6&gt;=$D$129),1,0),IF(CB12&amp;CE12=CE$5,4,0),IF(AND(CB12=CB$5,CC$6&lt;=$D$104),-0.5,0),IF(AND(CC12=CB$5,CC$6&lt;=$D$104),-0.5,0),IF(AND(CD12=CB$5,CC$6&lt;=$D$104),-0.5,0))</f>
        <v/>
      </c>
      <c r="CG12" s="164">
        <f>IF(SEMANA2[[#This Row],[1]]="",0,$B$4)</f>
        <v/>
      </c>
      <c r="CH12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2" s="166">
        <f>IF(SEMANA2[[#This Row],[Columna14]]=0,0,(CH12/CG12))</f>
        <v/>
      </c>
      <c r="CJ12" s="165">
        <f>IF(SEMANA2[[#This Row],[1]]="",0,$B$4)</f>
        <v/>
      </c>
      <c r="CK12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2" s="166">
        <f>IF(SEMANA2[[#This Row],[Columna14]]=0,0,(CK12/CJ12))</f>
        <v/>
      </c>
      <c r="CM12" s="164">
        <f>IF(SEMANA2[[#This Row],[1]]="",0,$B$4)</f>
        <v/>
      </c>
      <c r="CN12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2" s="166">
        <f>IF(SEMANA2[[#This Row],[Columna14]]=0,0,(CN12/CM12))</f>
        <v/>
      </c>
      <c r="CP12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2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Row],[Columna25]],$AX$5,BA12,"SF")+COUNTIFS(SEMANA2[[#This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2" s="166">
        <f>IFERROR(IF(SEMANA2[[#This Row],[Columna14]]=0,0,(CQ12/CP12)),0)</f>
        <v/>
      </c>
      <c r="CS12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2" s="95">
        <f>_xlfn.XLOOKUP(SEMANA2[[#This Row],[COD]],BASE01[COD],BASE01[Columna33])</f>
        <v/>
      </c>
      <c r="CU12" s="604">
        <f>SUM(CS12,CT12)</f>
        <v/>
      </c>
      <c r="CV12" s="450">
        <f>IF(SEMANA2[[#This Row],[TIPO]]="PREMIO",$O$3,"0,00")</f>
        <v/>
      </c>
      <c r="CW12" s="576" t="n"/>
      <c r="CY12" s="393" t="n">
        <v>5</v>
      </c>
      <c r="CZ12" s="354">
        <f>Z$6</f>
        <v/>
      </c>
      <c r="DB12" s="605">
        <f>SEMANA2[[#This Row],[COD]]</f>
        <v/>
      </c>
      <c r="DC12" s="395">
        <f t="array" ref="DC12">IFERROR(IF(AND(INDEX($E$8:$CE$57, MATCH($C12, $C$8:$C$57, 0), (COLUMNS($DC12:DC12)-1)*5 + 1) = INDEX($E$5:$CE$5, 1, (COLUMNS($DC12:DC12)-1)*5 + 1), INDEX($E$8:$CE$57, MATCH($C12, $C$8:$C$57, 0), (COLUMNS($DC12:DC12)-1)*5 + 4) = "F"), INDEX($CZ$8:$CZ$23, COLUMNS($DC12:DC12)), "0"), "")</f>
        <v/>
      </c>
      <c r="DD12" s="395">
        <f t="array" ref="DD12">IFERROR(IF(AND(INDEX($E$8:$CE$57, MATCH($C12, $C$8:$C$57, 0), (COLUMNS($DC12:DD12)-1)*5 + 1) = INDEX($E$5:$CE$5, 1, (COLUMNS($DC12:DD12)-1)*5 + 1), INDEX($E$8:$CE$57, MATCH($C12, $C$8:$C$57, 0), (COLUMNS($DC12:DD12)-1)*5 + 4) = "F"), INDEX($CZ$8:$CZ$23, COLUMNS($DC12:DD12)), "0"), "")</f>
        <v/>
      </c>
      <c r="DE12" s="395">
        <f t="array" ref="DE12">IFERROR(IF(AND(INDEX($E$8:$CE$57, MATCH($C12, $C$8:$C$57, 0), (COLUMNS($DC12:DE12)-1)*5 + 1) = INDEX($E$5:$CE$5, 1, (COLUMNS($DC12:DE12)-1)*5 + 1), INDEX($E$8:$CE$57, MATCH($C12, $C$8:$C$57, 0), (COLUMNS($DC12:DE12)-1)*5 + 4) = "F"), INDEX($CZ$8:$CZ$23, COLUMNS($DC12:DE12)), "0"), "")</f>
        <v/>
      </c>
      <c r="DF12" s="395">
        <f t="array" ref="DF12">IFERROR(IF(AND(INDEX($E$8:$CE$57, MATCH($C12, $C$8:$C$57, 0), (COLUMNS($DC12:DF12)-1)*5 + 1) = INDEX($E$5:$CE$5, 1, (COLUMNS($DC12:DF12)-1)*5 + 1), INDEX($E$8:$CE$57, MATCH($C12, $C$8:$C$57, 0), (COLUMNS($DC12:DF12)-1)*5 + 4) = "F"), INDEX($CZ$8:$CZ$23, COLUMNS($DC12:DF12)), "0"), "")</f>
        <v/>
      </c>
      <c r="DG12" s="395">
        <f t="array" ref="DG12">IFERROR(IF(AND(INDEX($E$8:$CE$57, MATCH($C12, $C$8:$C$57, 0), (COLUMNS($DC12:DG12)-1)*5 + 1) = INDEX($E$5:$CE$5, 1, (COLUMNS($DC12:DG12)-1)*5 + 1), INDEX($E$8:$CE$57, MATCH($C12, $C$8:$C$57, 0), (COLUMNS($DC12:DG12)-1)*5 + 4) = "F"), INDEX($CZ$8:$CZ$23, COLUMNS($DC12:DG12)), "0"), "")</f>
        <v/>
      </c>
      <c r="DH12" s="395">
        <f t="array" ref="DH12">IFERROR(IF(AND(INDEX($E$8:$CE$57, MATCH($C12, $C$8:$C$57, 0), (COLUMNS($DC12:DH12)-1)*5 + 1) = INDEX($E$5:$CE$5, 1, (COLUMNS($DC12:DH12)-1)*5 + 1), INDEX($E$8:$CE$57, MATCH($C12, $C$8:$C$57, 0), (COLUMNS($DC12:DH12)-1)*5 + 4) = "F"), INDEX($CZ$8:$CZ$23, COLUMNS($DC12:DH12)), "0"), "")</f>
        <v/>
      </c>
      <c r="DI12" s="395">
        <f t="array" ref="DI12">IFERROR(IF(AND(INDEX($E$8:$CE$57, MATCH($C12, $C$8:$C$57, 0), (COLUMNS($DC12:DI12)-1)*5 + 1) = INDEX($E$5:$CE$5, 1, (COLUMNS($DC12:DI12)-1)*5 + 1), INDEX($E$8:$CE$57, MATCH($C12, $C$8:$C$57, 0), (COLUMNS($DC12:DI12)-1)*5 + 4) = "F"), INDEX($CZ$8:$CZ$23, COLUMNS($DC12:DI12)), "0"), "")</f>
        <v/>
      </c>
      <c r="DJ12" s="395">
        <f t="array" ref="DJ12">IFERROR(IF(AND(INDEX($E$8:$CE$57, MATCH($C12, $C$8:$C$57, 0), (COLUMNS($DC12:DJ12)-1)*5 + 1) = INDEX($E$5:$CE$5, 1, (COLUMNS($DC12:DJ12)-1)*5 + 1), INDEX($E$8:$CE$57, MATCH($C12, $C$8:$C$57, 0), (COLUMNS($DC12:DJ12)-1)*5 + 4) = "F"), INDEX($CZ$8:$CZ$23, COLUMNS($DC12:DJ12)), "0"), "")</f>
        <v/>
      </c>
      <c r="DK12" s="395">
        <f t="array" ref="DK12">IFERROR(IF(AND(INDEX($E$8:$CE$57, MATCH($C12, $C$8:$C$57, 0), (COLUMNS($DC12:DK12)-1)*5 + 1) = INDEX($E$5:$CE$5, 1, (COLUMNS($DC12:DK12)-1)*5 + 1), INDEX($E$8:$CE$57, MATCH($C12, $C$8:$C$57, 0), (COLUMNS($DC12:DK12)-1)*5 + 4) = "F"), INDEX($CZ$8:$CZ$23, COLUMNS($DC12:DK12)), "0"), "")</f>
        <v/>
      </c>
      <c r="DL12" s="395">
        <f t="array" ref="DL12">IFERROR(IF(AND(INDEX($E$8:$CE$57, MATCH($C12, $C$8:$C$57, 0), (COLUMNS($DC12:DL12)-1)*5 + 1) = INDEX($E$5:$CE$5, 1, (COLUMNS($DC12:DL12)-1)*5 + 1), INDEX($E$8:$CE$57, MATCH($C12, $C$8:$C$57, 0), (COLUMNS($DC12:DL12)-1)*5 + 4) = "F"), INDEX($CZ$8:$CZ$23, COLUMNS($DC12:DL12)), "0"), "")</f>
        <v/>
      </c>
      <c r="DM12" s="395">
        <f t="array" ref="DM12">IFERROR(IF(AND(INDEX($E$8:$CE$57, MATCH($C12, $C$8:$C$57, 0), (COLUMNS($DC12:DM12)-1)*5 + 1) = INDEX($E$5:$CE$5, 1, (COLUMNS($DC12:DM12)-1)*5 + 1), INDEX($E$8:$CE$57, MATCH($C12, $C$8:$C$57, 0), (COLUMNS($DC12:DM12)-1)*5 + 4) = "F"), INDEX($CZ$8:$CZ$23, COLUMNS($DC12:DM12)), "0"), "")</f>
        <v/>
      </c>
      <c r="DN12" s="395">
        <f t="array" ref="DN12">IFERROR(IF(AND(INDEX($E$8:$CE$57, MATCH($C12, $C$8:$C$57, 0), (COLUMNS($DC12:DN12)-1)*5 + 1) = INDEX($E$5:$CE$5, 1, (COLUMNS($DC12:DN12)-1)*5 + 1), INDEX($E$8:$CE$57, MATCH($C12, $C$8:$C$57, 0), (COLUMNS($DC12:DN12)-1)*5 + 4) = "F"), INDEX($CZ$8:$CZ$23, COLUMNS($DC12:DN12)), "0"), "")</f>
        <v/>
      </c>
      <c r="DO12" s="395">
        <f t="array" ref="DO12">IFERROR(IF(AND(INDEX($E$8:$CE$57, MATCH($C12, $C$8:$C$57, 0), (COLUMNS($DC12:DO12)-1)*5 + 1) = INDEX($E$5:$CE$5, 1, (COLUMNS($DC12:DO12)-1)*5 + 1), INDEX($E$8:$CE$57, MATCH($C12, $C$8:$C$57, 0), (COLUMNS($DC12:DO12)-1)*5 + 4) = "F"), INDEX($CZ$8:$CZ$23, COLUMNS($DC12:DO12)), "0"), "")</f>
        <v/>
      </c>
      <c r="DP12" s="395">
        <f t="array" ref="DP12">IFERROR(IF(AND(INDEX($E$8:$CE$57, MATCH($C12, $C$8:$C$57, 0), (COLUMNS($DC12:DP12)-1)*5 + 1) = INDEX($E$5:$CE$5, 1, (COLUMNS($DC12:DP12)-1)*5 + 1), INDEX($E$8:$CE$57, MATCH($C12, $C$8:$C$57, 0), (COLUMNS($DC12:DP12)-1)*5 + 4) = "F"), INDEX($CZ$8:$CZ$23, COLUMNS($DC12:DP12)), "0"), "")</f>
        <v/>
      </c>
      <c r="DQ12" s="395">
        <f t="array" ref="DQ12">IFERROR(IF(AND(INDEX($E$8:$CE$57, MATCH($C12, $C$8:$C$57, 0), (COLUMNS($DC12:DQ12)-1)*5 + 1) = INDEX($E$5:$CE$5, 1, (COLUMNS($DC12:DQ12)-1)*5 + 1), INDEX($E$8:$CE$57, MATCH($C12, $C$8:$C$57, 0), (COLUMNS($DC12:DQ12)-1)*5 + 4) = "F"), INDEX($CZ$8:$CZ$23, COLUMNS($DC12:DQ12)), "0"), "")</f>
        <v/>
      </c>
      <c r="DR12" s="395">
        <f t="array" ref="DR12">IFERROR(IF(AND(INDEX($E$8:$CE$57, MATCH($C12, $C$8:$C$57, 0), (COLUMNS($DC12:DR12)-1)*5 + 1) = INDEX($E$5:$CE$5, 1, (COLUMNS($DC12:DR12)-1)*5 + 1), INDEX($E$8:$CE$57, MATCH($C12, $C$8:$C$57, 0), (COLUMNS($DC12:DR12)-1)*5 + 4) = "F"), INDEX($CZ$8:$CZ$23, COLUMNS($DC12:DR12)), "0"), "")</f>
        <v/>
      </c>
      <c r="DT12" s="605">
        <f>SEMANA2[[#This Row],[COD]]</f>
        <v/>
      </c>
      <c r="DU12" s="395">
        <f t="array" ref="DU12">IFERROR(IF(AND(INDEX($E$8:$CE$57, MATCH($C12, $C$8:$C$57, 0), (COLUMNS($DU12:DU12)-1)*5 + 1) = INDEX($E$5:$CE$5, 1, (COLUMNS($DU12:DU12)-1)*5 + 1), INDEX($E$8:$CE$57, MATCH($C12, $C$8:$C$57, 0), (COLUMNS($DU12:DU12)-1)*5 + 4) = "SF"), INDEX($CZ$8:$CZ$23, COLUMNS($DU12:DU12)), "0"), "")</f>
        <v/>
      </c>
      <c r="DV12" s="395">
        <f t="array" ref="DV12">IFERROR(IF(AND(INDEX($E$8:$CE$57, MATCH($C12, $C$8:$C$57, 0), (COLUMNS($DU12:DV12)-1)*5 + 1) = INDEX($E$5:$CE$5, 1, (COLUMNS($DU12:DV12)-1)*5 + 1), INDEX($E$8:$CE$57, MATCH($C12, $C$8:$C$57, 0), (COLUMNS($DU12:DV12)-1)*5 + 4) = "SF"), INDEX($CZ$8:$CZ$23, COLUMNS($DU12:DV12)), "0"), "")</f>
        <v/>
      </c>
      <c r="DW12" s="395">
        <f t="array" ref="DW12">IFERROR(IF(AND(INDEX($E$8:$CE$57, MATCH($C12, $C$8:$C$57, 0), (COLUMNS($DU12:DW12)-1)*5 + 1) = INDEX($E$5:$CE$5, 1, (COLUMNS($DU12:DW12)-1)*5 + 1), INDEX($E$8:$CE$57, MATCH($C12, $C$8:$C$57, 0), (COLUMNS($DU12:DW12)-1)*5 + 4) = "SF"), INDEX($CZ$8:$CZ$23, COLUMNS($DU12:DW12)), "0"), "")</f>
        <v/>
      </c>
      <c r="DX12" s="395">
        <f t="array" ref="DX12">IFERROR(IF(AND(INDEX($E$8:$CE$57, MATCH($C12, $C$8:$C$57, 0), (COLUMNS($DU12:DX12)-1)*5 + 1) = INDEX($E$5:$CE$5, 1, (COLUMNS($DU12:DX12)-1)*5 + 1), INDEX($E$8:$CE$57, MATCH($C12, $C$8:$C$57, 0), (COLUMNS($DU12:DX12)-1)*5 + 4) = "SF"), INDEX($CZ$8:$CZ$23, COLUMNS($DU12:DX12)), "0"), "")</f>
        <v/>
      </c>
      <c r="DY12" s="395">
        <f t="array" ref="DY12">IFERROR(IF(AND(INDEX($E$8:$CE$57, MATCH($C12, $C$8:$C$57, 0), (COLUMNS($DU12:DY12)-1)*5 + 1) = INDEX($E$5:$CE$5, 1, (COLUMNS($DU12:DY12)-1)*5 + 1), INDEX($E$8:$CE$57, MATCH($C12, $C$8:$C$57, 0), (COLUMNS($DU12:DY12)-1)*5 + 4) = "SF"), INDEX($CZ$8:$CZ$23, COLUMNS($DU12:DY12)), "0"), "")</f>
        <v/>
      </c>
      <c r="DZ12" s="395">
        <f t="array" ref="DZ12">IFERROR(IF(AND(INDEX($E$8:$CE$57, MATCH($C12, $C$8:$C$57, 0), (COLUMNS($DU12:DZ12)-1)*5 + 1) = INDEX($E$5:$CE$5, 1, (COLUMNS($DU12:DZ12)-1)*5 + 1), INDEX($E$8:$CE$57, MATCH($C12, $C$8:$C$57, 0), (COLUMNS($DU12:DZ12)-1)*5 + 4) = "SF"), INDEX($CZ$8:$CZ$23, COLUMNS($DU12:DZ12)), "0"), "")</f>
        <v/>
      </c>
      <c r="EA12" s="395">
        <f t="array" ref="EA12">IFERROR(IF(AND(INDEX($E$8:$CE$57, MATCH($C12, $C$8:$C$57, 0), (COLUMNS($DU12:EA12)-1)*5 + 1) = INDEX($E$5:$CE$5, 1, (COLUMNS($DU12:EA12)-1)*5 + 1), INDEX($E$8:$CE$57, MATCH($C12, $C$8:$C$57, 0), (COLUMNS($DU12:EA12)-1)*5 + 4) = "SF"), INDEX($CZ$8:$CZ$23, COLUMNS($DU12:EA12)), "0"), "")</f>
        <v/>
      </c>
      <c r="EB12" s="395">
        <f t="array" ref="EB12">IFERROR(IF(AND(INDEX($E$8:$CE$57, MATCH($C12, $C$8:$C$57, 0), (COLUMNS($DU12:EB12)-1)*5 + 1) = INDEX($E$5:$CE$5, 1, (COLUMNS($DU12:EB12)-1)*5 + 1), INDEX($E$8:$CE$57, MATCH($C12, $C$8:$C$57, 0), (COLUMNS($DU12:EB12)-1)*5 + 4) = "SF"), INDEX($CZ$8:$CZ$23, COLUMNS($DU12:EB12)), "0"), "")</f>
        <v/>
      </c>
      <c r="EC12" s="395">
        <f t="array" ref="EC12">IFERROR(IF(AND(INDEX($E$8:$CE$57, MATCH($C12, $C$8:$C$57, 0), (COLUMNS($DU12:EC12)-1)*5 + 1) = INDEX($E$5:$CE$5, 1, (COLUMNS($DU12:EC12)-1)*5 + 1), INDEX($E$8:$CE$57, MATCH($C12, $C$8:$C$57, 0), (COLUMNS($DU12:EC12)-1)*5 + 4) = "SF"), INDEX($CZ$8:$CZ$23, COLUMNS($DU12:EC12)), "0"), "")</f>
        <v/>
      </c>
      <c r="ED12" s="395">
        <f t="array" ref="ED12">IFERROR(IF(AND(INDEX($E$8:$CE$57, MATCH($C12, $C$8:$C$57, 0), (COLUMNS($DU12:ED12)-1)*5 + 1) = INDEX($E$5:$CE$5, 1, (COLUMNS($DU12:ED12)-1)*5 + 1), INDEX($E$8:$CE$57, MATCH($C12, $C$8:$C$57, 0), (COLUMNS($DU12:ED12)-1)*5 + 4) = "SF"), INDEX($CZ$8:$CZ$23, COLUMNS($DU12:ED12)), "0"), "")</f>
        <v/>
      </c>
      <c r="EE12" s="395">
        <f t="array" ref="EE12">IFERROR(IF(AND(INDEX($E$8:$CE$57, MATCH($C12, $C$8:$C$57, 0), (COLUMNS($DU12:EE12)-1)*5 + 1) = INDEX($E$5:$CE$5, 1, (COLUMNS($DU12:EE12)-1)*5 + 1), INDEX($E$8:$CE$57, MATCH($C12, $C$8:$C$57, 0), (COLUMNS($DU12:EE12)-1)*5 + 4) = "SF"), INDEX($CZ$8:$CZ$23, COLUMNS($DU12:EE12)), "0"), "")</f>
        <v/>
      </c>
      <c r="EF12" s="395">
        <f t="array" ref="EF12">IFERROR(IF(AND(INDEX($E$8:$CE$57, MATCH($C12, $C$8:$C$57, 0), (COLUMNS($DU12:EF12)-1)*5 + 1) = INDEX($E$5:$CE$5, 1, (COLUMNS($DU12:EF12)-1)*5 + 1), INDEX($E$8:$CE$57, MATCH($C12, $C$8:$C$57, 0), (COLUMNS($DU12:EF12)-1)*5 + 4) = "SF"), INDEX($CZ$8:$CZ$23, COLUMNS($DU12:EF12)), "0"), "")</f>
        <v/>
      </c>
      <c r="EG12" s="395">
        <f t="array" ref="EG12">IFERROR(IF(AND(INDEX($E$8:$CE$57, MATCH($C12, $C$8:$C$57, 0), (COLUMNS($DU12:EG12)-1)*5 + 1) = INDEX($E$5:$CE$5, 1, (COLUMNS($DU12:EG12)-1)*5 + 1), INDEX($E$8:$CE$57, MATCH($C12, $C$8:$C$57, 0), (COLUMNS($DU12:EG12)-1)*5 + 4) = "SF"), INDEX($CZ$8:$CZ$23, COLUMNS($DU12:EG12)), "0"), "")</f>
        <v/>
      </c>
      <c r="EH12" s="395">
        <f t="array" ref="EH12">IFERROR(IF(AND(INDEX($E$8:$CE$57, MATCH($C12, $C$8:$C$57, 0), (COLUMNS($DU12:EH12)-1)*5 + 1) = INDEX($E$5:$CE$5, 1, (COLUMNS($DU12:EH12)-1)*5 + 1), INDEX($E$8:$CE$57, MATCH($C12, $C$8:$C$57, 0), (COLUMNS($DU12:EH12)-1)*5 + 4) = "SF"), INDEX($CZ$8:$CZ$23, COLUMNS($DU12:EH12)), "0"), "")</f>
        <v/>
      </c>
      <c r="EI12" s="395">
        <f t="array" ref="EI12">IFERROR(IF(AND(INDEX($E$8:$CE$57, MATCH($C12, $C$8:$C$57, 0), (COLUMNS($DU12:EI12)-1)*5 + 1) = INDEX($E$5:$CE$5, 1, (COLUMNS($DU12:EI12)-1)*5 + 1), INDEX($E$8:$CE$57, MATCH($C12, $C$8:$C$57, 0), (COLUMNS($DU12:EI12)-1)*5 + 4) = "SF"), INDEX($CZ$8:$CZ$23, COLUMNS($DU12:EI12)), "0"), "")</f>
        <v/>
      </c>
      <c r="EJ12" s="395">
        <f t="array" ref="EJ12">IFERROR(IF(AND(INDEX($E$8:$CE$57, MATCH($C12, $C$8:$C$57, 0), (COLUMNS($DU12:EJ12)-1)*5 + 1) = INDEX($E$5:$CE$5, 1, (COLUMNS($DU12:EJ12)-1)*5 + 1), INDEX($E$8:$CE$57, MATCH($C12, $C$8:$C$57, 0), (COLUMNS($DU12:EJ12)-1)*5 + 4) = "SF"), INDEX($CZ$8:$CZ$23, COLUMNS($DU12:EJ12)), "0"), "")</f>
        <v/>
      </c>
    </row>
    <row r="13" ht="19.5" customHeight="1" s="568">
      <c r="A13" s="576" t="n"/>
      <c r="B13" s="449">
        <f>IF(SEMANA2[[#This Row],[COD]]&lt;&gt;"",B12+1,"")</f>
        <v/>
      </c>
      <c r="C13" s="622" t="inlineStr">
        <is>
          <t>COD 06</t>
        </is>
      </c>
      <c r="D13" s="415">
        <f t="array" ref="D13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3" s="416" t="n">
        <v>9</v>
      </c>
      <c r="F13" s="422" t="n">
        <v>2</v>
      </c>
      <c r="G13" s="422" t="n">
        <v>4</v>
      </c>
      <c r="H13" s="422" t="n"/>
      <c r="I13" s="602">
        <f>SUM(IF(E13=E$5,4,0),IF(E13&amp;F13=E$5&amp;F$5,1,0),
IF(AND(E13=E$5,F$6&gt;=$D$115),1,0),
IF(AND(F13=E$5,F$6&gt;=$D$115),1,0),
IF(AND(G13=E$5,F$6&gt;=$D$115),1,0),
IF(E13&amp;H13=I$5,1,0),
IF(F13=E$5,2,0),
IF(G13=E$5,1,0),
IF(OR(E13&amp;F13&amp;G13=E$5&amp;F$5&amp;G$5,E13&amp;F13&amp;G13=E$5&amp;G$5&amp;F$5,E13&amp;F13&amp;G13=F$5&amp;E$5&amp;G$5,E13&amp;F13&amp;G13=F$5&amp;G$5&amp;E$5,E13&amp;F13&amp;G13=G$5&amp;E$5&amp;F$5,E13&amp;F13&amp;G13=G$5&amp;F$5&amp;E$5),2,0),IF(AND(E13=E$5,F$6&gt;=$D$129),1,0),IF(AND(F13=E$5,F$6&gt;=$D$129),1,0),IF(AND(G13=E$5,F$6&gt;=$D$129),1,0),IF(E13&amp;H13=H$5,4,0),IF(AND(E13=E$5,F$6&lt;=$D$104),-0.5,0),IF(AND(F13=E$5,F$6&lt;=$D$104),-0.5,0),IF(AND(G13=E$5,F$6&lt;=$D$104),-0.5,0))</f>
        <v/>
      </c>
      <c r="J13" s="416" t="n">
        <v>1</v>
      </c>
      <c r="K13" s="422" t="n">
        <v>2</v>
      </c>
      <c r="L13" s="422" t="n">
        <v>7</v>
      </c>
      <c r="M13" s="422" t="n"/>
      <c r="N13" s="602">
        <f>SUM(IF(J13=J$5,4,0),IF(J13&amp;K13=J$5&amp;K$5,1,0),
IF(AND(J13=J$5,K$6&gt;=$D$115),1,0),
IF(AND(K13=J$5,K$6&gt;=$D$115),1,0),
IF(AND(L13=J$5,K$6&gt;=$D$115),1,0),
IF(J13&amp;M13=N$5,1,0),
IF(K13=J$5,2,0),
IF(L13=J$5,1,0),
IF(OR(J13&amp;K13&amp;L13=J$5&amp;K$5&amp;L$5,J13&amp;K13&amp;L13=J$5&amp;L$5&amp;K$5,J13&amp;K13&amp;L13=K$5&amp;J$5&amp;L$5,J13&amp;K13&amp;L13=K$5&amp;L$5&amp;J$5,J13&amp;K13&amp;L13=L$5&amp;J$5&amp;K$5,J13&amp;K13&amp;L13=L$5&amp;K$5&amp;J$5),2,0),IF(AND(J13=J$5,K$6&gt;=$D$129),1,0),IF(AND(K13=J$5,K$6&gt;=$D$129),1,0),IF(AND(L13=J$5,K$6&gt;=$D$129),1,0),IF(J13&amp;M13=M$5,4,0),IF(AND(J13=J$5,K$6&lt;=$D$104),-0.5,0),IF(AND(K13=J$5,K$6&lt;=$D$104),-0.5,0),IF(AND(L13=J$5,K$6&lt;=$D$104),-0.5,0))</f>
        <v/>
      </c>
      <c r="O13" s="416" t="n">
        <v>1</v>
      </c>
      <c r="P13" s="422" t="n">
        <v>5</v>
      </c>
      <c r="Q13" s="422" t="n">
        <v>3</v>
      </c>
      <c r="R13" s="422" t="n"/>
      <c r="S13" s="602">
        <f>SUM(IF(O13=O$5,4,0),IF(O13&amp;P13=O$5&amp;P$5,1,0),
IF(AND(O13=O$5,P$6&gt;=$D$115),1,0),
IF(AND(P13=O$5,P$6&gt;=$D$115),1,0),
IF(AND(Q13=O$5,P$6&gt;=$D$115),1,0),
IF(O13&amp;R13=S$5,1,0),
IF(P13=O$5,2,0),
IF(Q13=O$5,1,0),
IF(OR(O13&amp;P13&amp;Q13=O$5&amp;P$5&amp;Q$5,O13&amp;P13&amp;Q13=O$5&amp;Q$5&amp;P$5,O13&amp;P13&amp;Q13=P$5&amp;O$5&amp;Q$5,O13&amp;P13&amp;Q13=P$5&amp;Q$5&amp;O$5,O13&amp;P13&amp;Q13=Q$5&amp;O$5&amp;P$5,O13&amp;P13&amp;Q13=Q$5&amp;P$5&amp;O$5),2,0),IF(AND(O13=O$5,P$6&gt;=$D$129),1,0),IF(AND(P13=O$5,P$6&gt;=$D$129),1,0),IF(AND(Q13=O$5,P$6&gt;=$D$129),1,0),IF(O13&amp;R13=R$5,4,0),IF(AND(O13=O$5,P$6&lt;=$D$104),-0.5,0),IF(AND(P13=O$5,P$6&lt;=$D$104),-0.5,0),IF(AND(Q13=O$5,P$6&lt;=$D$104),-0.5,0))</f>
        <v/>
      </c>
      <c r="T13" s="416" t="n">
        <v>3</v>
      </c>
      <c r="U13" s="422" t="n">
        <v>5</v>
      </c>
      <c r="V13" s="422" t="n">
        <v>4</v>
      </c>
      <c r="W13" s="422" t="n"/>
      <c r="X13" s="602">
        <f>SUM(IF(T13=T$5,4,0),IF(T13&amp;U13=T$5&amp;U$5,1,0),
IF(AND(T13=T$5,U$6&gt;=$D$115),1,0),
IF(AND(U13=T$5,U$6&gt;=$D$115),1,0),
IF(AND(V13=T$5,U$6&gt;=$D$115),1,0),
IF(T13&amp;W13=X$5,1,0),
IF(U13=T$5,2,0),
IF(V13=T$5,1,0),
IF(OR(T13&amp;U13&amp;V13=T$5&amp;U$5&amp;V$5,T13&amp;U13&amp;V13=T$5&amp;V$5&amp;U$5,T13&amp;U13&amp;V13=U$5&amp;T$5&amp;V$5,T13&amp;U13&amp;V13=U$5&amp;V$5&amp;T$5,T13&amp;U13&amp;V13=V$5&amp;T$5&amp;U$5,T13&amp;U13&amp;V13=V$5&amp;U$5&amp;T$5),2,0),IF(AND(T13=T$5,U$6&gt;=$D$129),1,0),IF(AND(U13=T$5,U$6&gt;=$D$129),1,0),IF(AND(V13=T$5,U$6&gt;=$D$129),1,0),IF(T13&amp;W13=W$5,4,0),IF(AND(T13=T$5,U$6&lt;=$D$104),-0.5,0),IF(AND(U13=T$5,U$6&lt;=$D$104),-0.5,0),IF(AND(V13=T$5,U$6&lt;=$D$104),-0.5,0))</f>
        <v/>
      </c>
      <c r="Y13" s="416" t="n">
        <v>2</v>
      </c>
      <c r="Z13" s="422" t="n">
        <v>5</v>
      </c>
      <c r="AA13" s="422" t="n">
        <v>7</v>
      </c>
      <c r="AB13" s="422" t="n"/>
      <c r="AC13" s="602">
        <f>SUM(IF(Y13=Y$5,4,0),IF(Y13&amp;Z13=Y$5&amp;Z$5,1,0),
IF(AND(Y13=Y$5,Z$6&gt;=$D$115),1,0),
IF(AND(Z13=Y$5,Z$6&gt;=$D$115),1,0),
IF(AND(AA13=Y$5,Z$6&gt;=$D$115),1,0),
IF(Y13&amp;AB13=AC$5,1,0),
IF(Z13=Y$5,2,0),
IF(AA13=Y$5,1,0),
IF(OR(Y13&amp;Z13&amp;AA13=Y$5&amp;Z$5&amp;AA$5,Y13&amp;Z13&amp;AA13=Y$5&amp;AA$5&amp;Z$5,Y13&amp;Z13&amp;AA13=Z$5&amp;Y$5&amp;AA$5,Y13&amp;Z13&amp;AA13=Z$5&amp;AA$5&amp;Y$5,Y13&amp;Z13&amp;AA13=AA$5&amp;Y$5&amp;Z$5,Y13&amp;Z13&amp;AA13=AA$5&amp;Z$5&amp;Y$5),2,0),IF(AND(Y13=Y$5,Z$6&gt;=$D$129),1,0),IF(AND(Z13=Y$5,Z$6&gt;=$D$129),1,0),IF(AND(AA13=Y$5,Z$6&gt;=$D$129),1,0),IF(Y13&amp;AB13=AB$5,4,0),IF(AND(Y13=Y$5,Z$6&lt;=$D$104),-0.5,0),IF(AND(Z13=Y$5,Z$6&lt;=$D$104),-0.5,0),IF(AND(AA13=Y$5,Z$6&lt;=$D$104),-0.5,0))</f>
        <v/>
      </c>
      <c r="AD13" s="416" t="n">
        <v>7</v>
      </c>
      <c r="AE13" s="422" t="n">
        <v>4</v>
      </c>
      <c r="AF13" s="422" t="n">
        <v>5</v>
      </c>
      <c r="AG13" s="422" t="n"/>
      <c r="AH13" s="602">
        <f>SUM(IF(AD13=AD$5,4,0),IF(AD13&amp;AE13=AD$5&amp;AE$5,1,0),
IF(AND(AD13=AD$5,AE$6&gt;=$D$115),1,0),
IF(AND(AE13=AD$5,AE$6&gt;=$D$115),1,0),
IF(AND(AF13=AD$5,AE$6&gt;=$D$115),1,0),
IF(AD13&amp;AG13=AH$5,1,0),
IF(AE13=AD$5,2,0),
IF(AF13=AD$5,1,0),
IF(OR(AD13&amp;AE13&amp;AF13=AD$5&amp;AE$5&amp;AF$5,AD13&amp;AE13&amp;AF13=AD$5&amp;AF$5&amp;AE$5,AD13&amp;AE13&amp;AF13=AE$5&amp;AD$5&amp;AF$5,AD13&amp;AE13&amp;AF13=AE$5&amp;AF$5&amp;AD$5,AD13&amp;AE13&amp;AF13=AF$5&amp;AD$5&amp;AE$5,AD13&amp;AE13&amp;AF13=AF$5&amp;AE$5&amp;AD$5),2,0),IF(AND(AD13=AD$5,AE$6&gt;=$D$129),1,0),IF(AND(AE13=AD$5,AE$6&gt;=$D$129),1,0),IF(AND(AF13=AD$5,AE$6&gt;=$D$129),1,0),IF(AD13&amp;AG13=AG$5,4,0),IF(AND(AD13=AD$5,AE$6&lt;=$D$104),-0.5,0),IF(AND(AE13=AD$5,AE$6&lt;=$D$104),-0.5,0),IF(AND(AF13=AD$5,AE$6&lt;=$D$104),-0.5,0))</f>
        <v/>
      </c>
      <c r="AI13" s="416" t="n">
        <v>7</v>
      </c>
      <c r="AJ13" s="422" t="n">
        <v>6</v>
      </c>
      <c r="AK13" s="422" t="n">
        <v>8</v>
      </c>
      <c r="AL13" s="422" t="inlineStr">
        <is>
          <t>F</t>
        </is>
      </c>
      <c r="AM13" s="602">
        <f>SUM(IF(AI13=AI$5,4,0),IF(AI13&amp;AJ13=AI$5&amp;AJ$5,1,0),
IF(AND(AI13=AI$5,AJ$6&gt;=$D$115),1,0),
IF(AND(AJ13=AI$5,AJ$6&gt;=$D$115),1,0),
IF(AND(AK13=AI$5,AJ$6&gt;=$D$115),1,0),
IF(AI13&amp;AL13=AM$5,1,0),
IF(AJ13=AI$5,2,0),
IF(AK13=AI$5,1,0),
IF(OR(AI13&amp;AJ13&amp;AK13=AI$5&amp;AJ$5&amp;AK$5,AI13&amp;AJ13&amp;AK13=AI$5&amp;AK$5&amp;AJ$5,AI13&amp;AJ13&amp;AK13=AJ$5&amp;AI$5&amp;AK$5,AI13&amp;AJ13&amp;AK13=AJ$5&amp;AK$5&amp;AI$5,AI13&amp;AJ13&amp;AK13=AK$5&amp;AI$5&amp;AJ$5,AI13&amp;AJ13&amp;AK13=AK$5&amp;AJ$5&amp;AI$5),2,0),IF(AND(AI13=AI$5,AJ$6&gt;=$D$129),1,0),IF(AND(AJ13=AI$5,AJ$6&gt;=$D$129),1,0),IF(AND(AK13=AI$5,AJ$6&gt;=$D$129),1,0),IF(AI13&amp;AL13=AL$5,4,0),IF(AND(AI13=AI$5,AJ$6&lt;=$D$104),-0.5,0),IF(AND(AJ13=AI$5,AJ$6&lt;=$D$104),-0.5,0),IF(AND(AK13=AI$5,AJ$6&lt;=$D$104),-0.5,0))</f>
        <v/>
      </c>
      <c r="AN13" s="416" t="n">
        <v>8</v>
      </c>
      <c r="AO13" s="422" t="n"/>
      <c r="AP13" s="422" t="n"/>
      <c r="AQ13" s="422" t="inlineStr">
        <is>
          <t>SF</t>
        </is>
      </c>
      <c r="AR13" s="602">
        <f>SUM(IF(AN13=AN$5,4,0),IF(AN13&amp;AO13=AN$5&amp;AO$5,1,0),
IF(AND(AN13=AN$5,AO$6&gt;=$D$115),1,0),
IF(AND(AO13=AN$5,AO$6&gt;=$D$115),1,0),
IF(AND(AP13=AN$5,AO$6&gt;=$D$115),1,0),
IF(AN13&amp;AQ13=AR$5,1,0),
IF(AO13=AN$5,2,0),
IF(AP13=AN$5,1,0),
IF(OR(AN13&amp;AO13&amp;AP13=AN$5&amp;AO$5&amp;AP$5,AN13&amp;AO13&amp;AP13=AN$5&amp;AP$5&amp;AO$5,AN13&amp;AO13&amp;AP13=AO$5&amp;AN$5&amp;AP$5,AN13&amp;AO13&amp;AP13=AO$5&amp;AP$5&amp;AN$5,AN13&amp;AO13&amp;AP13=AP$5&amp;AN$5&amp;AO$5,AN13&amp;AO13&amp;AP13=AP$5&amp;AO$5&amp;AN$5),2,0),IF(AND(AN13=AN$5,AO$6&gt;=$D$129),1,0),IF(AND(AO13=AN$5,AO$6&gt;=$D$129),1,0),IF(AND(AP13=AN$5,AO$6&gt;=$D$129),1,0),IF(AN13&amp;AQ13=AQ$5,4,0),IF(AND(AN13=AN$5,AO$6&lt;=$D$104),-0.5,0),IF(AND(AO13=AN$5,AO$6&lt;=$D$104),-0.5,0),IF(AND(AP13=AN$5,AO$6&lt;=$D$104),-0.5,0))</f>
        <v/>
      </c>
      <c r="AS13" s="416" t="n">
        <v>2</v>
      </c>
      <c r="AT13" s="422" t="n">
        <v>10</v>
      </c>
      <c r="AU13" s="422" t="n">
        <v>1</v>
      </c>
      <c r="AV13" s="422" t="n"/>
      <c r="AW13" s="602">
        <f>SUM(IF(AS13=AS$5,4,0),IF(AS13&amp;AT13=AS$5&amp;AT$5,1,0),
IF(AND(AS13=AS$5,AT$6&gt;=$D$115),1,0),
IF(AND(AT13=AS$5,AT$6&gt;=$D$115),1,0),
IF(AND(AU13=AS$5,AT$6&gt;=$D$115),1,0),
IF(AS13&amp;AV13=AW$5,1,0),
IF(AT13=AS$5,2,0),
IF(AU13=AS$5,1,0),
IF(OR(AS13&amp;AT13&amp;AU13=AS$5&amp;AT$5&amp;AU$5,AS13&amp;AT13&amp;AU13=AS$5&amp;AU$5&amp;AT$5,AS13&amp;AT13&amp;AU13=AT$5&amp;AS$5&amp;AU$5,AS13&amp;AT13&amp;AU13=AT$5&amp;AU$5&amp;AS$5,AS13&amp;AT13&amp;AU13=AU$5&amp;AS$5&amp;AT$5,AS13&amp;AT13&amp;AU13=AU$5&amp;AT$5&amp;AS$5),2,0),IF(AND(AS13=AS$5,AT$6&gt;=$D$129),1,0),IF(AND(AT13=AS$5,AT$6&gt;=$D$129),1,0),IF(AND(AU13=AS$5,AT$6&gt;=$D$129),1,0),IF(AS13&amp;AV13=AV$5,4,0),IF(AND(AS13=AS$5,AT$6&lt;=$D$104),-0.5,0),IF(AND(AT13=AS$5,AT$6&lt;=$D$104),-0.5,0),IF(AND(AU13=AS$5,AT$6&lt;=$D$104),-0.5,0))</f>
        <v/>
      </c>
      <c r="AX13" s="416" t="n">
        <v>10</v>
      </c>
      <c r="AY13" s="422" t="n">
        <v>1</v>
      </c>
      <c r="AZ13" s="422" t="n">
        <v>2</v>
      </c>
      <c r="BA13" s="422" t="n"/>
      <c r="BB13" s="602">
        <f>SUM(IF(AX13=AX$5,4,0),IF(AX13&amp;AY13=AX$5&amp;AY$5,1,0),
IF(AND(AX13=AX$5,AY$6&gt;=$D$115),1,0),
IF(AND(AY13=AX$5,AY$6&gt;=$D$115),1,0),
IF(AND(AZ13=AX$5,AY$6&gt;=$D$115),1,0),
IF(AX13&amp;BA13=BB$5,1,0),
IF(AY13=AX$5,2,0),
IF(AZ13=AX$5,1,0),
IF(OR(AX13&amp;AY13&amp;AZ13=AX$5&amp;AY$5&amp;AZ$5,AX13&amp;AY13&amp;AZ13=AX$5&amp;AZ$5&amp;AY$5,AX13&amp;AY13&amp;AZ13=AY$5&amp;AX$5&amp;AZ$5,AX13&amp;AY13&amp;AZ13=AY$5&amp;AZ$5&amp;AX$5,AX13&amp;AY13&amp;AZ13=AZ$5&amp;AX$5&amp;AY$5,AX13&amp;AY13&amp;AZ13=AZ$5&amp;AY$5&amp;AX$5),2,0),IF(AND(AX13=AX$5,AY$6&gt;=$D$129),1,0),IF(AND(AY13=AX$5,AY$6&gt;=$D$129),1,0),IF(AND(AZ13=AX$5,AY$6&gt;=$D$129),1,0),IF(AX13&amp;BA13=BA$5,4,0),IF(AND(AX13=AX$5,AY$6&lt;=$D$104),-0.5,0),IF(AND(AY13=AX$5,AY$6&lt;=$D$104),-0.5,0),IF(AND(AZ13=AX$5,AY$6&lt;=$D$104),-0.5,0))</f>
        <v/>
      </c>
      <c r="BC13" s="416" t="n">
        <v>7</v>
      </c>
      <c r="BD13" s="422" t="n">
        <v>6</v>
      </c>
      <c r="BE13" s="422" t="n">
        <v>4</v>
      </c>
      <c r="BF13" s="422" t="inlineStr">
        <is>
          <t>F</t>
        </is>
      </c>
      <c r="BG13" s="602">
        <f>SUM(IF(BC13=BC$5,4,0),IF(BC13&amp;BD13=BC$5&amp;BD$5,1,0),
IF(AND(BC13=BC$5,BD$6&gt;=$D$115),1,0),
IF(AND(BD13=BC$5,BD$6&gt;=$D$115),1,0),
IF(AND(BE13=BC$5,BD$6&gt;=$D$115),1,0),
IF(BC13&amp;BF13=BG$5,1,0),
IF(BD13=BC$5,2,0),
IF(BE13=BC$5,1,0),
IF(OR(BC13&amp;BD13&amp;BE13=BC$5&amp;BD$5&amp;BE$5,BC13&amp;BD13&amp;BE13=BC$5&amp;BE$5&amp;BD$5,BC13&amp;BD13&amp;BE13=BD$5&amp;BC$5&amp;BE$5,BC13&amp;BD13&amp;BE13=BD$5&amp;BE$5&amp;BC$5,BC13&amp;BD13&amp;BE13=BE$5&amp;BC$5&amp;BD$5,BC13&amp;BD13&amp;BE13=BE$5&amp;BD$5&amp;BC$5),2,0),IF(AND(BC13=BC$5,BD$6&gt;=$D$129),1,0),IF(AND(BD13=BC$5,BD$6&gt;=$D$129),1,0),IF(AND(BE13=BC$5,BD$6&gt;=$D$129),1,0),IF(BC13&amp;BF13=BF$5,4,0),IF(AND(BC13=BC$5,BD$6&lt;=$D$104),-0.5,0),IF(AND(BD13=BC$5,BD$6&lt;=$D$104),-0.5,0),IF(AND(BE13=BC$5,BD$6&lt;=$D$104),-0.5,0))</f>
        <v/>
      </c>
      <c r="BH13" s="416" t="n">
        <v>1</v>
      </c>
      <c r="BI13" s="422" t="n">
        <v>6</v>
      </c>
      <c r="BJ13" s="422" t="n">
        <v>2</v>
      </c>
      <c r="BK13" s="422" t="n"/>
      <c r="BL13" s="602">
        <f>SUM(IF(BH13=BH$5,4,0),IF(BH13&amp;BI13=BH$5&amp;BI$5,1,0),
IF(AND(BH13=BH$5,BI$6&gt;=$D$115),1,0),
IF(AND(BI13=BH$5,BI$6&gt;=$D$115),1,0),
IF(AND(BJ13=BH$5,BI$6&gt;=$D$115),1,0),
IF(BH13&amp;BK13=BL$5,1,0),
IF(BI13=BH$5,2,0),
IF(BJ13=BH$5,1,0),
IF(OR(BH13&amp;BI13&amp;BJ13=BH$5&amp;BI$5&amp;BJ$5,BH13&amp;BI13&amp;BJ13=BH$5&amp;BJ$5&amp;BI$5,BH13&amp;BI13&amp;BJ13=BI$5&amp;BH$5&amp;BJ$5,BH13&amp;BI13&amp;BJ13=BI$5&amp;BJ$5&amp;BH$5,BH13&amp;BI13&amp;BJ13=BJ$5&amp;BH$5&amp;BI$5,BH13&amp;BI13&amp;BJ13=BJ$5&amp;BI$5&amp;BH$5),2,0),IF(AND(BH13=BH$5,BI$6&gt;=$D$129),1,0),IF(AND(BI13=BH$5,BI$6&gt;=$D$129),1,0),IF(AND(BJ13=BH$5,BI$6&gt;=$D$129),1,0),IF(BH13&amp;BK13=BK$5,4,0),IF(AND(BH13=BH$5,BI$6&lt;=$D$104),-0.5,0),IF(AND(BI13=BH$5,BI$6&lt;=$D$104),-0.5,0),IF(AND(BJ13=BH$5,BI$6&lt;=$D$104),-0.5,0))</f>
        <v/>
      </c>
      <c r="BM13" s="416" t="n">
        <v>4</v>
      </c>
      <c r="BN13" s="422" t="n">
        <v>1</v>
      </c>
      <c r="BO13" s="422" t="n">
        <v>9</v>
      </c>
      <c r="BP13" s="422" t="n"/>
      <c r="BQ13" s="602">
        <f>SUM(IF(BM13=BM$5,4,0),IF(BM13&amp;BN13=BM$5&amp;BN$5,1,0),
IF(AND(BM13=BM$5,BN$6&gt;=$D$115),1,0),
IF(AND(BN13=BM$5,BN$6&gt;=$D$115),1,0),
IF(AND(BO13=BM$5,BN$6&gt;=$D$115),1,0),
IF(BM13&amp;BP13=BQ$5,1,0),
IF(BN13=BM$5,2,0),
IF(BO13=BM$5,1,0),
IF(OR(BM13&amp;BN13&amp;BO13=BM$5&amp;BN$5&amp;BO$5,BM13&amp;BN13&amp;BO13=BM$5&amp;BO$5&amp;BN$5,BM13&amp;BN13&amp;BO13=BN$5&amp;BM$5&amp;BO$5,BM13&amp;BN13&amp;BO13=BN$5&amp;BO$5&amp;BM$5,BM13&amp;BN13&amp;BO13=BO$5&amp;BM$5&amp;BN$5,BM13&amp;BN13&amp;BO13=BO$5&amp;BN$5&amp;BM$5),2,0),IF(AND(BM13=BM$5,BN$6&gt;=$D$129),1,0),IF(AND(BN13=BM$5,BN$6&gt;=$D$129),1,0),IF(AND(BO13=BM$5,BN$6&gt;=$D$129),1,0),IF(BM13&amp;BP13=BP$5,4,0),IF(AND(BM13=BM$5,BN$6&lt;=$D$104),-0.5,0),IF(AND(BN13=BM$5,BN$6&lt;=$D$104),-0.5,0),IF(AND(BO13=BM$5,BN$6&lt;=$D$104),-0.5,0))</f>
        <v/>
      </c>
      <c r="BR13" s="416" t="n">
        <v>11</v>
      </c>
      <c r="BS13" s="422" t="n">
        <v>9</v>
      </c>
      <c r="BT13" s="422" t="n">
        <v>2</v>
      </c>
      <c r="BU13" s="422" t="n"/>
      <c r="BV13" s="602">
        <f>SUM(IF(BR13=BR$5,4,0),IF(BR13&amp;BS13=BR$5&amp;BS$5,1,0),
IF(AND(BR13=BR$5,BS$6&gt;=$D$115),1,0),
IF(AND(BS13=BR$5,BS$6&gt;=$D$115),1,0),
IF(AND(BT13=BR$5,BS$6&gt;=$D$115),1,0),
IF(BR13&amp;BU13=BV$5,1,0),
IF(BS13=BR$5,2,0),
IF(BT13=BR$5,1,0),
IF(OR(BR13&amp;BS13&amp;BT13=BR$5&amp;BS$5&amp;BT$5,BR13&amp;BS13&amp;BT13=BR$5&amp;BT$5&amp;BS$5,BR13&amp;BS13&amp;BT13=BS$5&amp;BR$5&amp;BT$5,BR13&amp;BS13&amp;BT13=BS$5&amp;BT$5&amp;BR$5,BR13&amp;BS13&amp;BT13=BT$5&amp;BR$5&amp;BS$5,BR13&amp;BS13&amp;BT13=BT$5&amp;BS$5&amp;BR$5),2,0),IF(AND(BR13=BR$5,BS$6&gt;=$D$129),1,0),IF(AND(BS13=BR$5,BS$6&gt;=$D$129),1,0),IF(AND(BT13=BR$5,BS$6&gt;=$D$129),1,0),IF(BR13&amp;BU13=BU$5,4,0),IF(AND(BR13=BR$5,BS$6&lt;=$D$104),-0.5,0),IF(AND(BS13=BR$5,BS$6&lt;=$D$104),-0.5,0),IF(AND(BT13=BR$5,BS$6&lt;=$D$104),-0.5,0))</f>
        <v/>
      </c>
      <c r="BW13" s="416" t="n"/>
      <c r="BX13" s="422" t="n"/>
      <c r="BY13" s="422" t="n"/>
      <c r="BZ13" s="422" t="n"/>
      <c r="CA13" s="602">
        <f>SUM(IF(BW13=BW$5,4,0),IF(BW13&amp;BX13=BW$5&amp;BX$5,1,0),
IF(AND(BW13=BW$5,BX$6&gt;=$D$115),1,0),
IF(AND(BX13=BW$5,BX$6&gt;=$D$115),1,0),
IF(AND(BY13=BW$5,BX$6&gt;=$D$115),1,0),
IF(BW13&amp;BZ13=CA$5,1,0),
IF(BX13=BW$5,2,0),
IF(BY13=BW$5,1,0),
IF(OR(BW13&amp;BX13&amp;BY13=BW$5&amp;BX$5&amp;BY$5,BW13&amp;BX13&amp;BY13=BW$5&amp;BY$5&amp;BX$5,BW13&amp;BX13&amp;BY13=BX$5&amp;BW$5&amp;BY$5,BW13&amp;BX13&amp;BY13=BX$5&amp;BY$5&amp;BW$5,BW13&amp;BX13&amp;BY13=BY$5&amp;BW$5&amp;BX$5,BW13&amp;BX13&amp;BY13=BY$5&amp;BX$5&amp;BW$5),2,0),IF(AND(BW13=BW$5,BX$6&gt;=$D$129),1,0),IF(AND(BX13=BW$5,BX$6&gt;=$D$129),1,0),IF(AND(BY13=BW$5,BX$6&gt;=$D$129),1,0),IF(BW13&amp;BZ13=BZ$5,4,0),IF(AND(BW13=BW$5,BX$6&lt;=$D$104),-0.5,0),IF(AND(BX13=BW$5,BX$6&lt;=$D$104),-0.5,0),IF(AND(BY13=BW$5,BX$6&lt;=$D$104),-0.5,0))</f>
        <v/>
      </c>
      <c r="CB13" s="416" t="n"/>
      <c r="CC13" s="422" t="n"/>
      <c r="CD13" s="422" t="n"/>
      <c r="CE13" s="422" t="n"/>
      <c r="CF13" s="602">
        <f>SUM(IF(CB13=CB$5,4,0),IF(CB13&amp;CC13=CB$5&amp;CC$5,1,0),
IF(AND(CB13=CB$5,CC$6&gt;=$D$115),1,0),
IF(AND(CC13=CB$5,CC$6&gt;=$D$115),1,0),
IF(AND(CD13=CB$5,CC$6&gt;=$D$115),1,0),
IF(CB13&amp;CE13=CF$5,1,0),
IF(CC13=CB$5,2,0),
IF(CD13=CB$5,1,0),
IF(OR(CB13&amp;CC13&amp;CD13=CB$5&amp;CC$5&amp;CD$5,CB13&amp;CC13&amp;CD13=CB$5&amp;CD$5&amp;CC$5,CB13&amp;CC13&amp;CD13=CC$5&amp;CB$5&amp;CD$5,CB13&amp;CC13&amp;CD13=CC$5&amp;CD$5&amp;CB$5,CB13&amp;CC13&amp;CD13=CD$5&amp;CB$5&amp;CC$5,CB13&amp;CC13&amp;CD13=CD$5&amp;CC$5&amp;CB$5),2,0),IF(AND(CB13=CB$5,CC$6&gt;=$D$129),1,0),IF(AND(CC13=CB$5,CC$6&gt;=$D$129),1,0),IF(AND(CD13=CB$5,CC$6&gt;=$D$129),1,0),IF(CB13&amp;CE13=CE$5,4,0),IF(AND(CB13=CB$5,CC$6&lt;=$D$104),-0.5,0),IF(AND(CC13=CB$5,CC$6&lt;=$D$104),-0.5,0),IF(AND(CD13=CB$5,CC$6&lt;=$D$104),-0.5,0))</f>
        <v/>
      </c>
      <c r="CG13" s="164">
        <f>IF(SEMANA2[[#This Row],[1]]="",0,$B$4)</f>
        <v/>
      </c>
      <c r="CH13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3" s="166">
        <f>IF(SEMANA2[[#This Row],[Columna14]]=0,0,(CH13/CG13))</f>
        <v/>
      </c>
      <c r="CJ13" s="165">
        <f>IF(SEMANA2[[#This Row],[1]]="",0,$B$4)</f>
        <v/>
      </c>
      <c r="CK13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3" s="166">
        <f>IF(SEMANA2[[#This Row],[Columna14]]=0,0,(CK13/CJ13))</f>
        <v/>
      </c>
      <c r="CM13" s="164">
        <f>IF(SEMANA2[[#This Row],[1]]="",0,$B$4)</f>
        <v/>
      </c>
      <c r="CN13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3" s="166">
        <f>IF(SEMANA2[[#This Row],[Columna14]]=0,0,(CN13/CM13))</f>
        <v/>
      </c>
      <c r="CP13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3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Row],[Columna25]],$AX$5,BA13,"SF")+COUNTIFS(SEMANA2[[#This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3" s="166">
        <f>IFERROR(IF(SEMANA2[[#This Row],[Columna14]]=0,0,(CQ13/CP13)),0)</f>
        <v/>
      </c>
      <c r="CS13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3" s="95">
        <f>_xlfn.XLOOKUP(SEMANA2[[#This Row],[COD]],BASE01[COD],BASE01[Columna33])</f>
        <v/>
      </c>
      <c r="CU13" s="604">
        <f>SUM(CS13,CT13)</f>
        <v/>
      </c>
      <c r="CV13" s="450">
        <f>IF(SEMANA2[[#This Row],[TIPO]]="PREMIO",$O$3,"0,00")</f>
        <v/>
      </c>
      <c r="CW13" s="576" t="n"/>
      <c r="CY13" s="393" t="n">
        <v>6</v>
      </c>
      <c r="CZ13" s="354">
        <f>AE$6</f>
        <v/>
      </c>
      <c r="DB13" s="605">
        <f>SEMANA2[[#This Row],[COD]]</f>
        <v/>
      </c>
      <c r="DC13" s="395">
        <f t="array" ref="DC13">IFERROR(IF(AND(INDEX($E$8:$CE$57, MATCH($C13, $C$8:$C$57, 0), (COLUMNS($DC13:DC13)-1)*5 + 1) = INDEX($E$5:$CE$5, 1, (COLUMNS($DC13:DC13)-1)*5 + 1), INDEX($E$8:$CE$57, MATCH($C13, $C$8:$C$57, 0), (COLUMNS($DC13:DC13)-1)*5 + 4) = "F"), INDEX($CZ$8:$CZ$23, COLUMNS($DC13:DC13)), "0"), "")</f>
        <v/>
      </c>
      <c r="DD13" s="395">
        <f t="array" ref="DD13">IFERROR(IF(AND(INDEX($E$8:$CE$57, MATCH($C13, $C$8:$C$57, 0), (COLUMNS($DC13:DD13)-1)*5 + 1) = INDEX($E$5:$CE$5, 1, (COLUMNS($DC13:DD13)-1)*5 + 1), INDEX($E$8:$CE$57, MATCH($C13, $C$8:$C$57, 0), (COLUMNS($DC13:DD13)-1)*5 + 4) = "F"), INDEX($CZ$8:$CZ$23, COLUMNS($DC13:DD13)), "0"), "")</f>
        <v/>
      </c>
      <c r="DE13" s="395">
        <f t="array" ref="DE13">IFERROR(IF(AND(INDEX($E$8:$CE$57, MATCH($C13, $C$8:$C$57, 0), (COLUMNS($DC13:DE13)-1)*5 + 1) = INDEX($E$5:$CE$5, 1, (COLUMNS($DC13:DE13)-1)*5 + 1), INDEX($E$8:$CE$57, MATCH($C13, $C$8:$C$57, 0), (COLUMNS($DC13:DE13)-1)*5 + 4) = "F"), INDEX($CZ$8:$CZ$23, COLUMNS($DC13:DE13)), "0"), "")</f>
        <v/>
      </c>
      <c r="DF13" s="395">
        <f t="array" ref="DF13">IFERROR(IF(AND(INDEX($E$8:$CE$57, MATCH($C13, $C$8:$C$57, 0), (COLUMNS($DC13:DF13)-1)*5 + 1) = INDEX($E$5:$CE$5, 1, (COLUMNS($DC13:DF13)-1)*5 + 1), INDEX($E$8:$CE$57, MATCH($C13, $C$8:$C$57, 0), (COLUMNS($DC13:DF13)-1)*5 + 4) = "F"), INDEX($CZ$8:$CZ$23, COLUMNS($DC13:DF13)), "0"), "")</f>
        <v/>
      </c>
      <c r="DG13" s="395">
        <f t="array" ref="DG13">IFERROR(IF(AND(INDEX($E$8:$CE$57, MATCH($C13, $C$8:$C$57, 0), (COLUMNS($DC13:DG13)-1)*5 + 1) = INDEX($E$5:$CE$5, 1, (COLUMNS($DC13:DG13)-1)*5 + 1), INDEX($E$8:$CE$57, MATCH($C13, $C$8:$C$57, 0), (COLUMNS($DC13:DG13)-1)*5 + 4) = "F"), INDEX($CZ$8:$CZ$23, COLUMNS($DC13:DG13)), "0"), "")</f>
        <v/>
      </c>
      <c r="DH13" s="395">
        <f t="array" ref="DH13">IFERROR(IF(AND(INDEX($E$8:$CE$57, MATCH($C13, $C$8:$C$57, 0), (COLUMNS($DC13:DH13)-1)*5 + 1) = INDEX($E$5:$CE$5, 1, (COLUMNS($DC13:DH13)-1)*5 + 1), INDEX($E$8:$CE$57, MATCH($C13, $C$8:$C$57, 0), (COLUMNS($DC13:DH13)-1)*5 + 4) = "F"), INDEX($CZ$8:$CZ$23, COLUMNS($DC13:DH13)), "0"), "")</f>
        <v/>
      </c>
      <c r="DI13" s="395">
        <f t="array" ref="DI13">IFERROR(IF(AND(INDEX($E$8:$CE$57, MATCH($C13, $C$8:$C$57, 0), (COLUMNS($DC13:DI13)-1)*5 + 1) = INDEX($E$5:$CE$5, 1, (COLUMNS($DC13:DI13)-1)*5 + 1), INDEX($E$8:$CE$57, MATCH($C13, $C$8:$C$57, 0), (COLUMNS($DC13:DI13)-1)*5 + 4) = "F"), INDEX($CZ$8:$CZ$23, COLUMNS($DC13:DI13)), "0"), "")</f>
        <v/>
      </c>
      <c r="DJ13" s="395">
        <f t="array" ref="DJ13">IFERROR(IF(AND(INDEX($E$8:$CE$57, MATCH($C13, $C$8:$C$57, 0), (COLUMNS($DC13:DJ13)-1)*5 + 1) = INDEX($E$5:$CE$5, 1, (COLUMNS($DC13:DJ13)-1)*5 + 1), INDEX($E$8:$CE$57, MATCH($C13, $C$8:$C$57, 0), (COLUMNS($DC13:DJ13)-1)*5 + 4) = "F"), INDEX($CZ$8:$CZ$23, COLUMNS($DC13:DJ13)), "0"), "")</f>
        <v/>
      </c>
      <c r="DK13" s="395">
        <f t="array" ref="DK13">IFERROR(IF(AND(INDEX($E$8:$CE$57, MATCH($C13, $C$8:$C$57, 0), (COLUMNS($DC13:DK13)-1)*5 + 1) = INDEX($E$5:$CE$5, 1, (COLUMNS($DC13:DK13)-1)*5 + 1), INDEX($E$8:$CE$57, MATCH($C13, $C$8:$C$57, 0), (COLUMNS($DC13:DK13)-1)*5 + 4) = "F"), INDEX($CZ$8:$CZ$23, COLUMNS($DC13:DK13)), "0"), "")</f>
        <v/>
      </c>
      <c r="DL13" s="395">
        <f t="array" ref="DL13">IFERROR(IF(AND(INDEX($E$8:$CE$57, MATCH($C13, $C$8:$C$57, 0), (COLUMNS($DC13:DL13)-1)*5 + 1) = INDEX($E$5:$CE$5, 1, (COLUMNS($DC13:DL13)-1)*5 + 1), INDEX($E$8:$CE$57, MATCH($C13, $C$8:$C$57, 0), (COLUMNS($DC13:DL13)-1)*5 + 4) = "F"), INDEX($CZ$8:$CZ$23, COLUMNS($DC13:DL13)), "0"), "")</f>
        <v/>
      </c>
      <c r="DM13" s="395">
        <f t="array" ref="DM13">IFERROR(IF(AND(INDEX($E$8:$CE$57, MATCH($C13, $C$8:$C$57, 0), (COLUMNS($DC13:DM13)-1)*5 + 1) = INDEX($E$5:$CE$5, 1, (COLUMNS($DC13:DM13)-1)*5 + 1), INDEX($E$8:$CE$57, MATCH($C13, $C$8:$C$57, 0), (COLUMNS($DC13:DM13)-1)*5 + 4) = "F"), INDEX($CZ$8:$CZ$23, COLUMNS($DC13:DM13)), "0"), "")</f>
        <v/>
      </c>
      <c r="DN13" s="395">
        <f t="array" ref="DN13">IFERROR(IF(AND(INDEX($E$8:$CE$57, MATCH($C13, $C$8:$C$57, 0), (COLUMNS($DC13:DN13)-1)*5 + 1) = INDEX($E$5:$CE$5, 1, (COLUMNS($DC13:DN13)-1)*5 + 1), INDEX($E$8:$CE$57, MATCH($C13, $C$8:$C$57, 0), (COLUMNS($DC13:DN13)-1)*5 + 4) = "F"), INDEX($CZ$8:$CZ$23, COLUMNS($DC13:DN13)), "0"), "")</f>
        <v/>
      </c>
      <c r="DO13" s="395">
        <f t="array" ref="DO13">IFERROR(IF(AND(INDEX($E$8:$CE$57, MATCH($C13, $C$8:$C$57, 0), (COLUMNS($DC13:DO13)-1)*5 + 1) = INDEX($E$5:$CE$5, 1, (COLUMNS($DC13:DO13)-1)*5 + 1), INDEX($E$8:$CE$57, MATCH($C13, $C$8:$C$57, 0), (COLUMNS($DC13:DO13)-1)*5 + 4) = "F"), INDEX($CZ$8:$CZ$23, COLUMNS($DC13:DO13)), "0"), "")</f>
        <v/>
      </c>
      <c r="DP13" s="395">
        <f t="array" ref="DP13">IFERROR(IF(AND(INDEX($E$8:$CE$57, MATCH($C13, $C$8:$C$57, 0), (COLUMNS($DC13:DP13)-1)*5 + 1) = INDEX($E$5:$CE$5, 1, (COLUMNS($DC13:DP13)-1)*5 + 1), INDEX($E$8:$CE$57, MATCH($C13, $C$8:$C$57, 0), (COLUMNS($DC13:DP13)-1)*5 + 4) = "F"), INDEX($CZ$8:$CZ$23, COLUMNS($DC13:DP13)), "0"), "")</f>
        <v/>
      </c>
      <c r="DQ13" s="395">
        <f t="array" ref="DQ13">IFERROR(IF(AND(INDEX($E$8:$CE$57, MATCH($C13, $C$8:$C$57, 0), (COLUMNS($DC13:DQ13)-1)*5 + 1) = INDEX($E$5:$CE$5, 1, (COLUMNS($DC13:DQ13)-1)*5 + 1), INDEX($E$8:$CE$57, MATCH($C13, $C$8:$C$57, 0), (COLUMNS($DC13:DQ13)-1)*5 + 4) = "F"), INDEX($CZ$8:$CZ$23, COLUMNS($DC13:DQ13)), "0"), "")</f>
        <v/>
      </c>
      <c r="DR13" s="395">
        <f t="array" ref="DR13">IFERROR(IF(AND(INDEX($E$8:$CE$57, MATCH($C13, $C$8:$C$57, 0), (COLUMNS($DC13:DR13)-1)*5 + 1) = INDEX($E$5:$CE$5, 1, (COLUMNS($DC13:DR13)-1)*5 + 1), INDEX($E$8:$CE$57, MATCH($C13, $C$8:$C$57, 0), (COLUMNS($DC13:DR13)-1)*5 + 4) = "F"), INDEX($CZ$8:$CZ$23, COLUMNS($DC13:DR13)), "0"), "")</f>
        <v/>
      </c>
      <c r="DT13" s="605">
        <f>SEMANA2[[#This Row],[COD]]</f>
        <v/>
      </c>
      <c r="DU13" s="395">
        <f t="array" ref="DU13">IFERROR(IF(AND(INDEX($E$8:$CE$57, MATCH($C13, $C$8:$C$57, 0), (COLUMNS($DU13:DU13)-1)*5 + 1) = INDEX($E$5:$CE$5, 1, (COLUMNS($DU13:DU13)-1)*5 + 1), INDEX($E$8:$CE$57, MATCH($C13, $C$8:$C$57, 0), (COLUMNS($DU13:DU13)-1)*5 + 4) = "SF"), INDEX($CZ$8:$CZ$23, COLUMNS($DU13:DU13)), "0"), "")</f>
        <v/>
      </c>
      <c r="DV13" s="395">
        <f t="array" ref="DV13">IFERROR(IF(AND(INDEX($E$8:$CE$57, MATCH($C13, $C$8:$C$57, 0), (COLUMNS($DU13:DV13)-1)*5 + 1) = INDEX($E$5:$CE$5, 1, (COLUMNS($DU13:DV13)-1)*5 + 1), INDEX($E$8:$CE$57, MATCH($C13, $C$8:$C$57, 0), (COLUMNS($DU13:DV13)-1)*5 + 4) = "SF"), INDEX($CZ$8:$CZ$23, COLUMNS($DU13:DV13)), "0"), "")</f>
        <v/>
      </c>
      <c r="DW13" s="395">
        <f t="array" ref="DW13">IFERROR(IF(AND(INDEX($E$8:$CE$57, MATCH($C13, $C$8:$C$57, 0), (COLUMNS($DU13:DW13)-1)*5 + 1) = INDEX($E$5:$CE$5, 1, (COLUMNS($DU13:DW13)-1)*5 + 1), INDEX($E$8:$CE$57, MATCH($C13, $C$8:$C$57, 0), (COLUMNS($DU13:DW13)-1)*5 + 4) = "SF"), INDEX($CZ$8:$CZ$23, COLUMNS($DU13:DW13)), "0"), "")</f>
        <v/>
      </c>
      <c r="DX13" s="395">
        <f t="array" ref="DX13">IFERROR(IF(AND(INDEX($E$8:$CE$57, MATCH($C13, $C$8:$C$57, 0), (COLUMNS($DU13:DX13)-1)*5 + 1) = INDEX($E$5:$CE$5, 1, (COLUMNS($DU13:DX13)-1)*5 + 1), INDEX($E$8:$CE$57, MATCH($C13, $C$8:$C$57, 0), (COLUMNS($DU13:DX13)-1)*5 + 4) = "SF"), INDEX($CZ$8:$CZ$23, COLUMNS($DU13:DX13)), "0"), "")</f>
        <v/>
      </c>
      <c r="DY13" s="395">
        <f t="array" ref="DY13">IFERROR(IF(AND(INDEX($E$8:$CE$57, MATCH($C13, $C$8:$C$57, 0), (COLUMNS($DU13:DY13)-1)*5 + 1) = INDEX($E$5:$CE$5, 1, (COLUMNS($DU13:DY13)-1)*5 + 1), INDEX($E$8:$CE$57, MATCH($C13, $C$8:$C$57, 0), (COLUMNS($DU13:DY13)-1)*5 + 4) = "SF"), INDEX($CZ$8:$CZ$23, COLUMNS($DU13:DY13)), "0"), "")</f>
        <v/>
      </c>
      <c r="DZ13" s="395">
        <f t="array" ref="DZ13">IFERROR(IF(AND(INDEX($E$8:$CE$57, MATCH($C13, $C$8:$C$57, 0), (COLUMNS($DU13:DZ13)-1)*5 + 1) = INDEX($E$5:$CE$5, 1, (COLUMNS($DU13:DZ13)-1)*5 + 1), INDEX($E$8:$CE$57, MATCH($C13, $C$8:$C$57, 0), (COLUMNS($DU13:DZ13)-1)*5 + 4) = "SF"), INDEX($CZ$8:$CZ$23, COLUMNS($DU13:DZ13)), "0"), "")</f>
        <v/>
      </c>
      <c r="EA13" s="395">
        <f t="array" ref="EA13">IFERROR(IF(AND(INDEX($E$8:$CE$57, MATCH($C13, $C$8:$C$57, 0), (COLUMNS($DU13:EA13)-1)*5 + 1) = INDEX($E$5:$CE$5, 1, (COLUMNS($DU13:EA13)-1)*5 + 1), INDEX($E$8:$CE$57, MATCH($C13, $C$8:$C$57, 0), (COLUMNS($DU13:EA13)-1)*5 + 4) = "SF"), INDEX($CZ$8:$CZ$23, COLUMNS($DU13:EA13)), "0"), "")</f>
        <v/>
      </c>
      <c r="EB13" s="395">
        <f t="array" ref="EB13">IFERROR(IF(AND(INDEX($E$8:$CE$57, MATCH($C13, $C$8:$C$57, 0), (COLUMNS($DU13:EB13)-1)*5 + 1) = INDEX($E$5:$CE$5, 1, (COLUMNS($DU13:EB13)-1)*5 + 1), INDEX($E$8:$CE$57, MATCH($C13, $C$8:$C$57, 0), (COLUMNS($DU13:EB13)-1)*5 + 4) = "SF"), INDEX($CZ$8:$CZ$23, COLUMNS($DU13:EB13)), "0"), "")</f>
        <v/>
      </c>
      <c r="EC13" s="395">
        <f t="array" ref="EC13">IFERROR(IF(AND(INDEX($E$8:$CE$57, MATCH($C13, $C$8:$C$57, 0), (COLUMNS($DU13:EC13)-1)*5 + 1) = INDEX($E$5:$CE$5, 1, (COLUMNS($DU13:EC13)-1)*5 + 1), INDEX($E$8:$CE$57, MATCH($C13, $C$8:$C$57, 0), (COLUMNS($DU13:EC13)-1)*5 + 4) = "SF"), INDEX($CZ$8:$CZ$23, COLUMNS($DU13:EC13)), "0"), "")</f>
        <v/>
      </c>
      <c r="ED13" s="395">
        <f t="array" ref="ED13">IFERROR(IF(AND(INDEX($E$8:$CE$57, MATCH($C13, $C$8:$C$57, 0), (COLUMNS($DU13:ED13)-1)*5 + 1) = INDEX($E$5:$CE$5, 1, (COLUMNS($DU13:ED13)-1)*5 + 1), INDEX($E$8:$CE$57, MATCH($C13, $C$8:$C$57, 0), (COLUMNS($DU13:ED13)-1)*5 + 4) = "SF"), INDEX($CZ$8:$CZ$23, COLUMNS($DU13:ED13)), "0"), "")</f>
        <v/>
      </c>
      <c r="EE13" s="395">
        <f t="array" ref="EE13">IFERROR(IF(AND(INDEX($E$8:$CE$57, MATCH($C13, $C$8:$C$57, 0), (COLUMNS($DU13:EE13)-1)*5 + 1) = INDEX($E$5:$CE$5, 1, (COLUMNS($DU13:EE13)-1)*5 + 1), INDEX($E$8:$CE$57, MATCH($C13, $C$8:$C$57, 0), (COLUMNS($DU13:EE13)-1)*5 + 4) = "SF"), INDEX($CZ$8:$CZ$23, COLUMNS($DU13:EE13)), "0"), "")</f>
        <v/>
      </c>
      <c r="EF13" s="395">
        <f t="array" ref="EF13">IFERROR(IF(AND(INDEX($E$8:$CE$57, MATCH($C13, $C$8:$C$57, 0), (COLUMNS($DU13:EF13)-1)*5 + 1) = INDEX($E$5:$CE$5, 1, (COLUMNS($DU13:EF13)-1)*5 + 1), INDEX($E$8:$CE$57, MATCH($C13, $C$8:$C$57, 0), (COLUMNS($DU13:EF13)-1)*5 + 4) = "SF"), INDEX($CZ$8:$CZ$23, COLUMNS($DU13:EF13)), "0"), "")</f>
        <v/>
      </c>
      <c r="EG13" s="395">
        <f t="array" ref="EG13">IFERROR(IF(AND(INDEX($E$8:$CE$57, MATCH($C13, $C$8:$C$57, 0), (COLUMNS($DU13:EG13)-1)*5 + 1) = INDEX($E$5:$CE$5, 1, (COLUMNS($DU13:EG13)-1)*5 + 1), INDEX($E$8:$CE$57, MATCH($C13, $C$8:$C$57, 0), (COLUMNS($DU13:EG13)-1)*5 + 4) = "SF"), INDEX($CZ$8:$CZ$23, COLUMNS($DU13:EG13)), "0"), "")</f>
        <v/>
      </c>
      <c r="EH13" s="395">
        <f t="array" ref="EH13">IFERROR(IF(AND(INDEX($E$8:$CE$57, MATCH($C13, $C$8:$C$57, 0), (COLUMNS($DU13:EH13)-1)*5 + 1) = INDEX($E$5:$CE$5, 1, (COLUMNS($DU13:EH13)-1)*5 + 1), INDEX($E$8:$CE$57, MATCH($C13, $C$8:$C$57, 0), (COLUMNS($DU13:EH13)-1)*5 + 4) = "SF"), INDEX($CZ$8:$CZ$23, COLUMNS($DU13:EH13)), "0"), "")</f>
        <v/>
      </c>
      <c r="EI13" s="395">
        <f t="array" ref="EI13">IFERROR(IF(AND(INDEX($E$8:$CE$57, MATCH($C13, $C$8:$C$57, 0), (COLUMNS($DU13:EI13)-1)*5 + 1) = INDEX($E$5:$CE$5, 1, (COLUMNS($DU13:EI13)-1)*5 + 1), INDEX($E$8:$CE$57, MATCH($C13, $C$8:$C$57, 0), (COLUMNS($DU13:EI13)-1)*5 + 4) = "SF"), INDEX($CZ$8:$CZ$23, COLUMNS($DU13:EI13)), "0"), "")</f>
        <v/>
      </c>
      <c r="EJ13" s="395">
        <f t="array" ref="EJ13">IFERROR(IF(AND(INDEX($E$8:$CE$57, MATCH($C13, $C$8:$C$57, 0), (COLUMNS($DU13:EJ13)-1)*5 + 1) = INDEX($E$5:$CE$5, 1, (COLUMNS($DU13:EJ13)-1)*5 + 1), INDEX($E$8:$CE$57, MATCH($C13, $C$8:$C$57, 0), (COLUMNS($DU13:EJ13)-1)*5 + 4) = "SF"), INDEX($CZ$8:$CZ$23, COLUMNS($DU13:EJ13)), "0"), "")</f>
        <v/>
      </c>
    </row>
    <row r="14" ht="20.1" customHeight="1" s="568">
      <c r="A14" s="576" t="n"/>
      <c r="B14" s="449">
        <f>IF(SEMANA2[[#This Row],[COD]]&lt;&gt;"",B13+1,"")</f>
        <v/>
      </c>
      <c r="C14" s="622" t="inlineStr">
        <is>
          <t>COD 07</t>
        </is>
      </c>
      <c r="D14" s="415">
        <f t="array" ref="D14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4" s="416" t="n">
        <v>6</v>
      </c>
      <c r="F14" s="418" t="n">
        <v>9</v>
      </c>
      <c r="G14" s="418" t="n">
        <v>2</v>
      </c>
      <c r="H14" s="418" t="n"/>
      <c r="I14" s="602">
        <f>SUM(IF(E14=E$5,4,0),IF(E14&amp;F14=E$5&amp;F$5,1,0),
IF(AND(E14=E$5,F$6&gt;=$D$115),1,0),
IF(AND(F14=E$5,F$6&gt;=$D$115),1,0),
IF(AND(G14=E$5,F$6&gt;=$D$115),1,0),
IF(E14&amp;H14=I$5,1,0),
IF(F14=E$5,2,0),
IF(G14=E$5,1,0),
IF(OR(E14&amp;F14&amp;G14=E$5&amp;F$5&amp;G$5,E14&amp;F14&amp;G14=E$5&amp;G$5&amp;F$5,E14&amp;F14&amp;G14=F$5&amp;E$5&amp;G$5,E14&amp;F14&amp;G14=F$5&amp;G$5&amp;E$5,E14&amp;F14&amp;G14=G$5&amp;E$5&amp;F$5,E14&amp;F14&amp;G14=G$5&amp;F$5&amp;E$5),2,0),IF(AND(E14=E$5,F$6&gt;=$D$129),1,0),IF(AND(F14=E$5,F$6&gt;=$D$129),1,0),IF(AND(G14=E$5,F$6&gt;=$D$129),1,0),IF(E14&amp;H14=H$5,4,0),IF(AND(E14=E$5,F$6&lt;=$D$104),-0.5,0),IF(AND(F14=E$5,F$6&lt;=$D$104),-0.5,0),IF(AND(G14=E$5,F$6&lt;=$D$104),-0.5,0))</f>
        <v/>
      </c>
      <c r="J14" s="416" t="n">
        <v>1</v>
      </c>
      <c r="K14" s="418" t="n">
        <v>6</v>
      </c>
      <c r="L14" s="418" t="n">
        <v>7</v>
      </c>
      <c r="M14" s="418" t="n"/>
      <c r="N14" s="602">
        <f>SUM(IF(J14=J$5,4,0),IF(J14&amp;K14=J$5&amp;K$5,1,0),
IF(AND(J14=J$5,K$6&gt;=$D$115),1,0),
IF(AND(K14=J$5,K$6&gt;=$D$115),1,0),
IF(AND(L14=J$5,K$6&gt;=$D$115),1,0),
IF(J14&amp;M14=N$5,1,0),
IF(K14=J$5,2,0),
IF(L14=J$5,1,0),
IF(OR(J14&amp;K14&amp;L14=J$5&amp;K$5&amp;L$5,J14&amp;K14&amp;L14=J$5&amp;L$5&amp;K$5,J14&amp;K14&amp;L14=K$5&amp;J$5&amp;L$5,J14&amp;K14&amp;L14=K$5&amp;L$5&amp;J$5,J14&amp;K14&amp;L14=L$5&amp;J$5&amp;K$5,J14&amp;K14&amp;L14=L$5&amp;K$5&amp;J$5),2,0),IF(AND(J14=J$5,K$6&gt;=$D$129),1,0),IF(AND(K14=J$5,K$6&gt;=$D$129),1,0),IF(AND(L14=J$5,K$6&gt;=$D$129),1,0),IF(J14&amp;M14=M$5,4,0),IF(AND(J14=J$5,K$6&lt;=$D$104),-0.5,0),IF(AND(K14=J$5,K$6&lt;=$D$104),-0.5,0),IF(AND(L14=J$5,K$6&lt;=$D$104),-0.5,0))</f>
        <v/>
      </c>
      <c r="O14" s="416" t="n">
        <v>5</v>
      </c>
      <c r="P14" s="418" t="n">
        <v>8</v>
      </c>
      <c r="Q14" s="418" t="n">
        <v>1</v>
      </c>
      <c r="R14" s="418" t="n"/>
      <c r="S14" s="602">
        <f>SUM(IF(O14=O$5,4,0),IF(O14&amp;P14=O$5&amp;P$5,1,0),
IF(AND(O14=O$5,P$6&gt;=$D$115),1,0),
IF(AND(P14=O$5,P$6&gt;=$D$115),1,0),
IF(AND(Q14=O$5,P$6&gt;=$D$115),1,0),
IF(O14&amp;R14=S$5,1,0),
IF(P14=O$5,2,0),
IF(Q14=O$5,1,0),
IF(OR(O14&amp;P14&amp;Q14=O$5&amp;P$5&amp;Q$5,O14&amp;P14&amp;Q14=O$5&amp;Q$5&amp;P$5,O14&amp;P14&amp;Q14=P$5&amp;O$5&amp;Q$5,O14&amp;P14&amp;Q14=P$5&amp;Q$5&amp;O$5,O14&amp;P14&amp;Q14=Q$5&amp;O$5&amp;P$5,O14&amp;P14&amp;Q14=Q$5&amp;P$5&amp;O$5),2,0),IF(AND(O14=O$5,P$6&gt;=$D$129),1,0),IF(AND(P14=O$5,P$6&gt;=$D$129),1,0),IF(AND(Q14=O$5,P$6&gt;=$D$129),1,0),IF(O14&amp;R14=R$5,4,0),IF(AND(O14=O$5,P$6&lt;=$D$104),-0.5,0),IF(AND(P14=O$5,P$6&lt;=$D$104),-0.5,0),IF(AND(Q14=O$5,P$6&lt;=$D$104),-0.5,0))</f>
        <v/>
      </c>
      <c r="T14" s="416" t="n">
        <v>3</v>
      </c>
      <c r="U14" s="418" t="n">
        <v>5</v>
      </c>
      <c r="V14" s="418" t="n">
        <v>4</v>
      </c>
      <c r="W14" s="418" t="n"/>
      <c r="X14" s="602">
        <f>SUM(IF(T14=T$5,4,0),IF(T14&amp;U14=T$5&amp;U$5,1,0),
IF(AND(T14=T$5,U$6&gt;=$D$115),1,0),
IF(AND(U14=T$5,U$6&gt;=$D$115),1,0),
IF(AND(V14=T$5,U$6&gt;=$D$115),1,0),
IF(T14&amp;W14=X$5,1,0),
IF(U14=T$5,2,0),
IF(V14=T$5,1,0),
IF(OR(T14&amp;U14&amp;V14=T$5&amp;U$5&amp;V$5,T14&amp;U14&amp;V14=T$5&amp;V$5&amp;U$5,T14&amp;U14&amp;V14=U$5&amp;T$5&amp;V$5,T14&amp;U14&amp;V14=U$5&amp;V$5&amp;T$5,T14&amp;U14&amp;V14=V$5&amp;T$5&amp;U$5,T14&amp;U14&amp;V14=V$5&amp;U$5&amp;T$5),2,0),IF(AND(T14=T$5,U$6&gt;=$D$129),1,0),IF(AND(U14=T$5,U$6&gt;=$D$129),1,0),IF(AND(V14=T$5,U$6&gt;=$D$129),1,0),IF(T14&amp;W14=W$5,4,0),IF(AND(T14=T$5,U$6&lt;=$D$104),-0.5,0),IF(AND(U14=T$5,U$6&lt;=$D$104),-0.5,0),IF(AND(V14=T$5,U$6&lt;=$D$104),-0.5,0))</f>
        <v/>
      </c>
      <c r="Y14" s="416" t="n">
        <v>1</v>
      </c>
      <c r="Z14" s="418" t="n">
        <v>2</v>
      </c>
      <c r="AA14" s="418" t="n">
        <v>5</v>
      </c>
      <c r="AB14" s="418" t="n"/>
      <c r="AC14" s="602">
        <f>SUM(IF(Y14=Y$5,4,0),IF(Y14&amp;Z14=Y$5&amp;Z$5,1,0),
IF(AND(Y14=Y$5,Z$6&gt;=$D$115),1,0),
IF(AND(Z14=Y$5,Z$6&gt;=$D$115),1,0),
IF(AND(AA14=Y$5,Z$6&gt;=$D$115),1,0),
IF(Y14&amp;AB14=AC$5,1,0),
IF(Z14=Y$5,2,0),
IF(AA14=Y$5,1,0),
IF(OR(Y14&amp;Z14&amp;AA14=Y$5&amp;Z$5&amp;AA$5,Y14&amp;Z14&amp;AA14=Y$5&amp;AA$5&amp;Z$5,Y14&amp;Z14&amp;AA14=Z$5&amp;Y$5&amp;AA$5,Y14&amp;Z14&amp;AA14=Z$5&amp;AA$5&amp;Y$5,Y14&amp;Z14&amp;AA14=AA$5&amp;Y$5&amp;Z$5,Y14&amp;Z14&amp;AA14=AA$5&amp;Z$5&amp;Y$5),2,0),IF(AND(Y14=Y$5,Z$6&gt;=$D$129),1,0),IF(AND(Z14=Y$5,Z$6&gt;=$D$129),1,0),IF(AND(AA14=Y$5,Z$6&gt;=$D$129),1,0),IF(Y14&amp;AB14=AB$5,4,0),IF(AND(Y14=Y$5,Z$6&lt;=$D$104),-0.5,0),IF(AND(Z14=Y$5,Z$6&lt;=$D$104),-0.5,0),IF(AND(AA14=Y$5,Z$6&lt;=$D$104),-0.5,0))</f>
        <v/>
      </c>
      <c r="AD14" s="416" t="n">
        <v>5</v>
      </c>
      <c r="AE14" s="418" t="n">
        <v>4</v>
      </c>
      <c r="AF14" s="418" t="n">
        <v>10</v>
      </c>
      <c r="AG14" s="418" t="n"/>
      <c r="AH14" s="602">
        <f>SUM(IF(AD14=AD$5,4,0),IF(AD14&amp;AE14=AD$5&amp;AE$5,1,0),
IF(AND(AD14=AD$5,AE$6&gt;=$D$115),1,0),
IF(AND(AE14=AD$5,AE$6&gt;=$D$115),1,0),
IF(AND(AF14=AD$5,AE$6&gt;=$D$115),1,0),
IF(AD14&amp;AG14=AH$5,1,0),
IF(AE14=AD$5,2,0),
IF(AF14=AD$5,1,0),
IF(OR(AD14&amp;AE14&amp;AF14=AD$5&amp;AE$5&amp;AF$5,AD14&amp;AE14&amp;AF14=AD$5&amp;AF$5&amp;AE$5,AD14&amp;AE14&amp;AF14=AE$5&amp;AD$5&amp;AF$5,AD14&amp;AE14&amp;AF14=AE$5&amp;AF$5&amp;AD$5,AD14&amp;AE14&amp;AF14=AF$5&amp;AD$5&amp;AE$5,AD14&amp;AE14&amp;AF14=AF$5&amp;AE$5&amp;AD$5),2,0),IF(AND(AD14=AD$5,AE$6&gt;=$D$129),1,0),IF(AND(AE14=AD$5,AE$6&gt;=$D$129),1,0),IF(AND(AF14=AD$5,AE$6&gt;=$D$129),1,0),IF(AD14&amp;AG14=AG$5,4,0),IF(AND(AD14=AD$5,AE$6&lt;=$D$104),-0.5,0),IF(AND(AE14=AD$5,AE$6&lt;=$D$104),-0.5,0),IF(AND(AF14=AD$5,AE$6&lt;=$D$104),-0.5,0))</f>
        <v/>
      </c>
      <c r="AI14" s="416" t="n">
        <v>7</v>
      </c>
      <c r="AJ14" s="418" t="n">
        <v>6</v>
      </c>
      <c r="AK14" s="418" t="n">
        <v>9</v>
      </c>
      <c r="AL14" s="418" t="inlineStr">
        <is>
          <t>F</t>
        </is>
      </c>
      <c r="AM14" s="602">
        <f>SUM(IF(AI14=AI$5,4,0),IF(AI14&amp;AJ14=AI$5&amp;AJ$5,1,0),
IF(AND(AI14=AI$5,AJ$6&gt;=$D$115),1,0),
IF(AND(AJ14=AI$5,AJ$6&gt;=$D$115),1,0),
IF(AND(AK14=AI$5,AJ$6&gt;=$D$115),1,0),
IF(AI14&amp;AL14=AM$5,1,0),
IF(AJ14=AI$5,2,0),
IF(AK14=AI$5,1,0),
IF(OR(AI14&amp;AJ14&amp;AK14=AI$5&amp;AJ$5&amp;AK$5,AI14&amp;AJ14&amp;AK14=AI$5&amp;AK$5&amp;AJ$5,AI14&amp;AJ14&amp;AK14=AJ$5&amp;AI$5&amp;AK$5,AI14&amp;AJ14&amp;AK14=AJ$5&amp;AK$5&amp;AI$5,AI14&amp;AJ14&amp;AK14=AK$5&amp;AI$5&amp;AJ$5,AI14&amp;AJ14&amp;AK14=AK$5&amp;AJ$5&amp;AI$5),2,0),IF(AND(AI14=AI$5,AJ$6&gt;=$D$129),1,0),IF(AND(AJ14=AI$5,AJ$6&gt;=$D$129),1,0),IF(AND(AK14=AI$5,AJ$6&gt;=$D$129),1,0),IF(AI14&amp;AL14=AL$5,4,0),IF(AND(AI14=AI$5,AJ$6&lt;=$D$104),-0.5,0),IF(AND(AJ14=AI$5,AJ$6&lt;=$D$104),-0.5,0),IF(AND(AK14=AI$5,AJ$6&lt;=$D$104),-0.5,0))</f>
        <v/>
      </c>
      <c r="AN14" s="416" t="n">
        <v>8</v>
      </c>
      <c r="AO14" s="418" t="n"/>
      <c r="AP14" s="418" t="n"/>
      <c r="AQ14" s="418" t="inlineStr">
        <is>
          <t>SF</t>
        </is>
      </c>
      <c r="AR14" s="602">
        <f>SUM(IF(AN14=AN$5,4,0),IF(AN14&amp;AO14=AN$5&amp;AO$5,1,0),
IF(AND(AN14=AN$5,AO$6&gt;=$D$115),1,0),
IF(AND(AO14=AN$5,AO$6&gt;=$D$115),1,0),
IF(AND(AP14=AN$5,AO$6&gt;=$D$115),1,0),
IF(AN14&amp;AQ14=AR$5,1,0),
IF(AO14=AN$5,2,0),
IF(AP14=AN$5,1,0),
IF(OR(AN14&amp;AO14&amp;AP14=AN$5&amp;AO$5&amp;AP$5,AN14&amp;AO14&amp;AP14=AN$5&amp;AP$5&amp;AO$5,AN14&amp;AO14&amp;AP14=AO$5&amp;AN$5&amp;AP$5,AN14&amp;AO14&amp;AP14=AO$5&amp;AP$5&amp;AN$5,AN14&amp;AO14&amp;AP14=AP$5&amp;AN$5&amp;AO$5,AN14&amp;AO14&amp;AP14=AP$5&amp;AO$5&amp;AN$5),2,0),IF(AND(AN14=AN$5,AO$6&gt;=$D$129),1,0),IF(AND(AO14=AN$5,AO$6&gt;=$D$129),1,0),IF(AND(AP14=AN$5,AO$6&gt;=$D$129),1,0),IF(AN14&amp;AQ14=AQ$5,4,0),IF(AND(AN14=AN$5,AO$6&lt;=$D$104),-0.5,0),IF(AND(AO14=AN$5,AO$6&lt;=$D$104),-0.5,0),IF(AND(AP14=AN$5,AO$6&lt;=$D$104),-0.5,0))</f>
        <v/>
      </c>
      <c r="AS14" s="416" t="n">
        <v>2</v>
      </c>
      <c r="AT14" s="418" t="n">
        <v>8</v>
      </c>
      <c r="AU14" s="418" t="n">
        <v>10</v>
      </c>
      <c r="AV14" s="418" t="n"/>
      <c r="AW14" s="602">
        <f>SUM(IF(AS14=AS$5,4,0),IF(AS14&amp;AT14=AS$5&amp;AT$5,1,0),
IF(AND(AS14=AS$5,AT$6&gt;=$D$115),1,0),
IF(AND(AT14=AS$5,AT$6&gt;=$D$115),1,0),
IF(AND(AU14=AS$5,AT$6&gt;=$D$115),1,0),
IF(AS14&amp;AV14=AW$5,1,0),
IF(AT14=AS$5,2,0),
IF(AU14=AS$5,1,0),
IF(OR(AS14&amp;AT14&amp;AU14=AS$5&amp;AT$5&amp;AU$5,AS14&amp;AT14&amp;AU14=AS$5&amp;AU$5&amp;AT$5,AS14&amp;AT14&amp;AU14=AT$5&amp;AS$5&amp;AU$5,AS14&amp;AT14&amp;AU14=AT$5&amp;AU$5&amp;AS$5,AS14&amp;AT14&amp;AU14=AU$5&amp;AS$5&amp;AT$5,AS14&amp;AT14&amp;AU14=AU$5&amp;AT$5&amp;AS$5),2,0),IF(AND(AS14=AS$5,AT$6&gt;=$D$129),1,0),IF(AND(AT14=AS$5,AT$6&gt;=$D$129),1,0),IF(AND(AU14=AS$5,AT$6&gt;=$D$129),1,0),IF(AS14&amp;AV14=AV$5,4,0),IF(AND(AS14=AS$5,AT$6&lt;=$D$104),-0.5,0),IF(AND(AT14=AS$5,AT$6&lt;=$D$104),-0.5,0),IF(AND(AU14=AS$5,AT$6&lt;=$D$104),-0.5,0))</f>
        <v/>
      </c>
      <c r="AX14" s="416" t="n">
        <v>10</v>
      </c>
      <c r="AY14" s="418" t="n">
        <v>1</v>
      </c>
      <c r="AZ14" s="418" t="n">
        <v>2</v>
      </c>
      <c r="BA14" s="418" t="n"/>
      <c r="BB14" s="602">
        <f>SUM(IF(AX14=AX$5,4,0),IF(AX14&amp;AY14=AX$5&amp;AY$5,1,0),
IF(AND(AX14=AX$5,AY$6&gt;=$D$115),1,0),
IF(AND(AY14=AX$5,AY$6&gt;=$D$115),1,0),
IF(AND(AZ14=AX$5,AY$6&gt;=$D$115),1,0),
IF(AX14&amp;BA14=BB$5,1,0),
IF(AY14=AX$5,2,0),
IF(AZ14=AX$5,1,0),
IF(OR(AX14&amp;AY14&amp;AZ14=AX$5&amp;AY$5&amp;AZ$5,AX14&amp;AY14&amp;AZ14=AX$5&amp;AZ$5&amp;AY$5,AX14&amp;AY14&amp;AZ14=AY$5&amp;AX$5&amp;AZ$5,AX14&amp;AY14&amp;AZ14=AY$5&amp;AZ$5&amp;AX$5,AX14&amp;AY14&amp;AZ14=AZ$5&amp;AX$5&amp;AY$5,AX14&amp;AY14&amp;AZ14=AZ$5&amp;AY$5&amp;AX$5),2,0),IF(AND(AX14=AX$5,AY$6&gt;=$D$129),1,0),IF(AND(AY14=AX$5,AY$6&gt;=$D$129),1,0),IF(AND(AZ14=AX$5,AY$6&gt;=$D$129),1,0),IF(AX14&amp;BA14=BA$5,4,0),IF(AND(AX14=AX$5,AY$6&lt;=$D$104),-0.5,0),IF(AND(AY14=AX$5,AY$6&lt;=$D$104),-0.5,0),IF(AND(AZ14=AX$5,AY$6&lt;=$D$104),-0.5,0))</f>
        <v/>
      </c>
      <c r="BC14" s="416" t="n">
        <v>7</v>
      </c>
      <c r="BD14" s="418" t="n">
        <v>5</v>
      </c>
      <c r="BE14" s="418" t="n">
        <v>3</v>
      </c>
      <c r="BF14" s="418" t="inlineStr">
        <is>
          <t>F</t>
        </is>
      </c>
      <c r="BG14" s="602">
        <f>SUM(IF(BC14=BC$5,4,0),IF(BC14&amp;BD14=BC$5&amp;BD$5,1,0),
IF(AND(BC14=BC$5,BD$6&gt;=$D$115),1,0),
IF(AND(BD14=BC$5,BD$6&gt;=$D$115),1,0),
IF(AND(BE14=BC$5,BD$6&gt;=$D$115),1,0),
IF(BC14&amp;BF14=BG$5,1,0),
IF(BD14=BC$5,2,0),
IF(BE14=BC$5,1,0),
IF(OR(BC14&amp;BD14&amp;BE14=BC$5&amp;BD$5&amp;BE$5,BC14&amp;BD14&amp;BE14=BC$5&amp;BE$5&amp;BD$5,BC14&amp;BD14&amp;BE14=BD$5&amp;BC$5&amp;BE$5,BC14&amp;BD14&amp;BE14=BD$5&amp;BE$5&amp;BC$5,BC14&amp;BD14&amp;BE14=BE$5&amp;BC$5&amp;BD$5,BC14&amp;BD14&amp;BE14=BE$5&amp;BD$5&amp;BC$5),2,0),IF(AND(BC14=BC$5,BD$6&gt;=$D$129),1,0),IF(AND(BD14=BC$5,BD$6&gt;=$D$129),1,0),IF(AND(BE14=BC$5,BD$6&gt;=$D$129),1,0),IF(BC14&amp;BF14=BF$5,4,0),IF(AND(BC14=BC$5,BD$6&lt;=$D$104),-0.5,0),IF(AND(BD14=BC$5,BD$6&lt;=$D$104),-0.5,0),IF(AND(BE14=BC$5,BD$6&lt;=$D$104),-0.5,0))</f>
        <v/>
      </c>
      <c r="BH14" s="416" t="n">
        <v>6</v>
      </c>
      <c r="BI14" s="418" t="n">
        <v>2</v>
      </c>
      <c r="BJ14" s="418" t="n">
        <v>1</v>
      </c>
      <c r="BK14" s="418" t="n"/>
      <c r="BL14" s="602">
        <f>SUM(IF(BH14=BH$5,4,0),IF(BH14&amp;BI14=BH$5&amp;BI$5,1,0),
IF(AND(BH14=BH$5,BI$6&gt;=$D$115),1,0),
IF(AND(BI14=BH$5,BI$6&gt;=$D$115),1,0),
IF(AND(BJ14=BH$5,BI$6&gt;=$D$115),1,0),
IF(BH14&amp;BK14=BL$5,1,0),
IF(BI14=BH$5,2,0),
IF(BJ14=BH$5,1,0),
IF(OR(BH14&amp;BI14&amp;BJ14=BH$5&amp;BI$5&amp;BJ$5,BH14&amp;BI14&amp;BJ14=BH$5&amp;BJ$5&amp;BI$5,BH14&amp;BI14&amp;BJ14=BI$5&amp;BH$5&amp;BJ$5,BH14&amp;BI14&amp;BJ14=BI$5&amp;BJ$5&amp;BH$5,BH14&amp;BI14&amp;BJ14=BJ$5&amp;BH$5&amp;BI$5,BH14&amp;BI14&amp;BJ14=BJ$5&amp;BI$5&amp;BH$5),2,0),IF(AND(BH14=BH$5,BI$6&gt;=$D$129),1,0),IF(AND(BI14=BH$5,BI$6&gt;=$D$129),1,0),IF(AND(BJ14=BH$5,BI$6&gt;=$D$129),1,0),IF(BH14&amp;BK14=BK$5,4,0),IF(AND(BH14=BH$5,BI$6&lt;=$D$104),-0.5,0),IF(AND(BI14=BH$5,BI$6&lt;=$D$104),-0.5,0),IF(AND(BJ14=BH$5,BI$6&lt;=$D$104),-0.5,0))</f>
        <v/>
      </c>
      <c r="BM14" s="416" t="n">
        <v>4</v>
      </c>
      <c r="BN14" s="418" t="n">
        <v>1</v>
      </c>
      <c r="BO14" s="418" t="n">
        <v>3</v>
      </c>
      <c r="BP14" s="418" t="n"/>
      <c r="BQ14" s="602">
        <f>SUM(IF(BM14=BM$5,4,0),IF(BM14&amp;BN14=BM$5&amp;BN$5,1,0),
IF(AND(BM14=BM$5,BN$6&gt;=$D$115),1,0),
IF(AND(BN14=BM$5,BN$6&gt;=$D$115),1,0),
IF(AND(BO14=BM$5,BN$6&gt;=$D$115),1,0),
IF(BM14&amp;BP14=BQ$5,1,0),
IF(BN14=BM$5,2,0),
IF(BO14=BM$5,1,0),
IF(OR(BM14&amp;BN14&amp;BO14=BM$5&amp;BN$5&amp;BO$5,BM14&amp;BN14&amp;BO14=BM$5&amp;BO$5&amp;BN$5,BM14&amp;BN14&amp;BO14=BN$5&amp;BM$5&amp;BO$5,BM14&amp;BN14&amp;BO14=BN$5&amp;BO$5&amp;BM$5,BM14&amp;BN14&amp;BO14=BO$5&amp;BM$5&amp;BN$5,BM14&amp;BN14&amp;BO14=BO$5&amp;BN$5&amp;BM$5),2,0),IF(AND(BM14=BM$5,BN$6&gt;=$D$129),1,0),IF(AND(BN14=BM$5,BN$6&gt;=$D$129),1,0),IF(AND(BO14=BM$5,BN$6&gt;=$D$129),1,0),IF(BM14&amp;BP14=BP$5,4,0),IF(AND(BM14=BM$5,BN$6&lt;=$D$104),-0.5,0),IF(AND(BN14=BM$5,BN$6&lt;=$D$104),-0.5,0),IF(AND(BO14=BM$5,BN$6&lt;=$D$104),-0.5,0))</f>
        <v/>
      </c>
      <c r="BR14" s="416" t="n">
        <v>2</v>
      </c>
      <c r="BS14" s="418" t="n">
        <v>9</v>
      </c>
      <c r="BT14" s="418" t="n">
        <v>11</v>
      </c>
      <c r="BU14" s="418" t="n"/>
      <c r="BV14" s="602">
        <f>SUM(IF(BR14=BR$5,4,0),IF(BR14&amp;BS14=BR$5&amp;BS$5,1,0),
IF(AND(BR14=BR$5,BS$6&gt;=$D$115),1,0),
IF(AND(BS14=BR$5,BS$6&gt;=$D$115),1,0),
IF(AND(BT14=BR$5,BS$6&gt;=$D$115),1,0),
IF(BR14&amp;BU14=BV$5,1,0),
IF(BS14=BR$5,2,0),
IF(BT14=BR$5,1,0),
IF(OR(BR14&amp;BS14&amp;BT14=BR$5&amp;BS$5&amp;BT$5,BR14&amp;BS14&amp;BT14=BR$5&amp;BT$5&amp;BS$5,BR14&amp;BS14&amp;BT14=BS$5&amp;BR$5&amp;BT$5,BR14&amp;BS14&amp;BT14=BS$5&amp;BT$5&amp;BR$5,BR14&amp;BS14&amp;BT14=BT$5&amp;BR$5&amp;BS$5,BR14&amp;BS14&amp;BT14=BT$5&amp;BS$5&amp;BR$5),2,0),IF(AND(BR14=BR$5,BS$6&gt;=$D$129),1,0),IF(AND(BS14=BR$5,BS$6&gt;=$D$129),1,0),IF(AND(BT14=BR$5,BS$6&gt;=$D$129),1,0),IF(BR14&amp;BU14=BU$5,4,0),IF(AND(BR14=BR$5,BS$6&lt;=$D$104),-0.5,0),IF(AND(BS14=BR$5,BS$6&lt;=$D$104),-0.5,0),IF(AND(BT14=BR$5,BS$6&lt;=$D$104),-0.5,0))</f>
        <v/>
      </c>
      <c r="BW14" s="416" t="n"/>
      <c r="BX14" s="418" t="n"/>
      <c r="BY14" s="418" t="n"/>
      <c r="BZ14" s="418" t="n"/>
      <c r="CA14" s="602">
        <f>SUM(IF(BW14=BW$5,4,0),IF(BW14&amp;BX14=BW$5&amp;BX$5,1,0),
IF(AND(BW14=BW$5,BX$6&gt;=$D$115),1,0),
IF(AND(BX14=BW$5,BX$6&gt;=$D$115),1,0),
IF(AND(BY14=BW$5,BX$6&gt;=$D$115),1,0),
IF(BW14&amp;BZ14=CA$5,1,0),
IF(BX14=BW$5,2,0),
IF(BY14=BW$5,1,0),
IF(OR(BW14&amp;BX14&amp;BY14=BW$5&amp;BX$5&amp;BY$5,BW14&amp;BX14&amp;BY14=BW$5&amp;BY$5&amp;BX$5,BW14&amp;BX14&amp;BY14=BX$5&amp;BW$5&amp;BY$5,BW14&amp;BX14&amp;BY14=BX$5&amp;BY$5&amp;BW$5,BW14&amp;BX14&amp;BY14=BY$5&amp;BW$5&amp;BX$5,BW14&amp;BX14&amp;BY14=BY$5&amp;BX$5&amp;BW$5),2,0),IF(AND(BW14=BW$5,BX$6&gt;=$D$129),1,0),IF(AND(BX14=BW$5,BX$6&gt;=$D$129),1,0),IF(AND(BY14=BW$5,BX$6&gt;=$D$129),1,0),IF(BW14&amp;BZ14=BZ$5,4,0),IF(AND(BW14=BW$5,BX$6&lt;=$D$104),-0.5,0),IF(AND(BX14=BW$5,BX$6&lt;=$D$104),-0.5,0),IF(AND(BY14=BW$5,BX$6&lt;=$D$104),-0.5,0))</f>
        <v/>
      </c>
      <c r="CB14" s="416" t="n"/>
      <c r="CC14" s="418" t="n"/>
      <c r="CD14" s="418" t="n"/>
      <c r="CE14" s="418" t="n"/>
      <c r="CF14" s="602">
        <f>SUM(IF(CB14=CB$5,4,0),IF(CB14&amp;CC14=CB$5&amp;CC$5,1,0),
IF(AND(CB14=CB$5,CC$6&gt;=$D$115),1,0),
IF(AND(CC14=CB$5,CC$6&gt;=$D$115),1,0),
IF(AND(CD14=CB$5,CC$6&gt;=$D$115),1,0),
IF(CB14&amp;CE14=CF$5,1,0),
IF(CC14=CB$5,2,0),
IF(CD14=CB$5,1,0),
IF(OR(CB14&amp;CC14&amp;CD14=CB$5&amp;CC$5&amp;CD$5,CB14&amp;CC14&amp;CD14=CB$5&amp;CD$5&amp;CC$5,CB14&amp;CC14&amp;CD14=CC$5&amp;CB$5&amp;CD$5,CB14&amp;CC14&amp;CD14=CC$5&amp;CD$5&amp;CB$5,CB14&amp;CC14&amp;CD14=CD$5&amp;CB$5&amp;CC$5,CB14&amp;CC14&amp;CD14=CD$5&amp;CC$5&amp;CB$5),2,0),IF(AND(CB14=CB$5,CC$6&gt;=$D$129),1,0),IF(AND(CC14=CB$5,CC$6&gt;=$D$129),1,0),IF(AND(CD14=CB$5,CC$6&gt;=$D$129),1,0),IF(CB14&amp;CE14=CE$5,4,0),IF(AND(CB14=CB$5,CC$6&lt;=$D$104),-0.5,0),IF(AND(CC14=CB$5,CC$6&lt;=$D$104),-0.5,0),IF(AND(CD14=CB$5,CC$6&lt;=$D$104),-0.5,0))</f>
        <v/>
      </c>
      <c r="CG14" s="164">
        <f>IF(SEMANA2[[#This Row],[1]]="",0,$B$4)</f>
        <v/>
      </c>
      <c r="CH14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4" s="166">
        <f>IF(SEMANA2[[#This Row],[Columna14]]=0,0,(CH14/CG14))</f>
        <v/>
      </c>
      <c r="CJ14" s="165">
        <f>IF(SEMANA2[[#This Row],[1]]="",0,$B$4)</f>
        <v/>
      </c>
      <c r="CK14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4" s="166">
        <f>IF(SEMANA2[[#This Row],[Columna14]]=0,0,(CK14/CJ14))</f>
        <v/>
      </c>
      <c r="CM14" s="164">
        <f>IF(SEMANA2[[#This Row],[1]]="",0,$B$4)</f>
        <v/>
      </c>
      <c r="CN14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4" s="166">
        <f>IF(SEMANA2[[#This Row],[Columna14]]=0,0,(CN14/CM14))</f>
        <v/>
      </c>
      <c r="CP14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4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Row],[Columna25]],$AX$5,BA14,"SF")+COUNTIFS(SEMANA2[[#This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4" s="166">
        <f>IFERROR(IF(SEMANA2[[#This Row],[Columna14]]=0,0,(CQ14/CP14)),0)</f>
        <v/>
      </c>
      <c r="CS14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4" s="95">
        <f>_xlfn.XLOOKUP(SEMANA2[[#This Row],[COD]],BASE01[COD],BASE01[Columna33])</f>
        <v/>
      </c>
      <c r="CU14" s="604">
        <f>SUM(CS14,CT14)</f>
        <v/>
      </c>
      <c r="CV14" s="450">
        <f>IF(SEMANA2[[#This Row],[TIPO]]="PREMIO",$O$3,"0,00")</f>
        <v/>
      </c>
      <c r="CW14" s="576" t="n"/>
      <c r="CY14" s="393" t="n">
        <v>7</v>
      </c>
      <c r="CZ14" s="354">
        <f>AJ$6</f>
        <v/>
      </c>
      <c r="DB14" s="605">
        <f>SEMANA2[[#This Row],[COD]]</f>
        <v/>
      </c>
      <c r="DC14" s="395">
        <f t="array" ref="DC14">IFERROR(IF(AND(INDEX($E$8:$CE$57, MATCH($C14, $C$8:$C$57, 0), (COLUMNS($DC14:DC14)-1)*5 + 1) = INDEX($E$5:$CE$5, 1, (COLUMNS($DC14:DC14)-1)*5 + 1), INDEX($E$8:$CE$57, MATCH($C14, $C$8:$C$57, 0), (COLUMNS($DC14:DC14)-1)*5 + 4) = "F"), INDEX($CZ$8:$CZ$23, COLUMNS($DC14:DC14)), "0"), "")</f>
        <v/>
      </c>
      <c r="DD14" s="395">
        <f t="array" ref="DD14">IFERROR(IF(AND(INDEX($E$8:$CE$57, MATCH($C14, $C$8:$C$57, 0), (COLUMNS($DC14:DD14)-1)*5 + 1) = INDEX($E$5:$CE$5, 1, (COLUMNS($DC14:DD14)-1)*5 + 1), INDEX($E$8:$CE$57, MATCH($C14, $C$8:$C$57, 0), (COLUMNS($DC14:DD14)-1)*5 + 4) = "F"), INDEX($CZ$8:$CZ$23, COLUMNS($DC14:DD14)), "0"), "")</f>
        <v/>
      </c>
      <c r="DE14" s="395">
        <f t="array" ref="DE14">IFERROR(IF(AND(INDEX($E$8:$CE$57, MATCH($C14, $C$8:$C$57, 0), (COLUMNS($DC14:DE14)-1)*5 + 1) = INDEX($E$5:$CE$5, 1, (COLUMNS($DC14:DE14)-1)*5 + 1), INDEX($E$8:$CE$57, MATCH($C14, $C$8:$C$57, 0), (COLUMNS($DC14:DE14)-1)*5 + 4) = "F"), INDEX($CZ$8:$CZ$23, COLUMNS($DC14:DE14)), "0"), "")</f>
        <v/>
      </c>
      <c r="DF14" s="395">
        <f t="array" ref="DF14">IFERROR(IF(AND(INDEX($E$8:$CE$57, MATCH($C14, $C$8:$C$57, 0), (COLUMNS($DC14:DF14)-1)*5 + 1) = INDEX($E$5:$CE$5, 1, (COLUMNS($DC14:DF14)-1)*5 + 1), INDEX($E$8:$CE$57, MATCH($C14, $C$8:$C$57, 0), (COLUMNS($DC14:DF14)-1)*5 + 4) = "F"), INDEX($CZ$8:$CZ$23, COLUMNS($DC14:DF14)), "0"), "")</f>
        <v/>
      </c>
      <c r="DG14" s="395">
        <f t="array" ref="DG14">IFERROR(IF(AND(INDEX($E$8:$CE$57, MATCH($C14, $C$8:$C$57, 0), (COLUMNS($DC14:DG14)-1)*5 + 1) = INDEX($E$5:$CE$5, 1, (COLUMNS($DC14:DG14)-1)*5 + 1), INDEX($E$8:$CE$57, MATCH($C14, $C$8:$C$57, 0), (COLUMNS($DC14:DG14)-1)*5 + 4) = "F"), INDEX($CZ$8:$CZ$23, COLUMNS($DC14:DG14)), "0"), "")</f>
        <v/>
      </c>
      <c r="DH14" s="395">
        <f t="array" ref="DH14">IFERROR(IF(AND(INDEX($E$8:$CE$57, MATCH($C14, $C$8:$C$57, 0), (COLUMNS($DC14:DH14)-1)*5 + 1) = INDEX($E$5:$CE$5, 1, (COLUMNS($DC14:DH14)-1)*5 + 1), INDEX($E$8:$CE$57, MATCH($C14, $C$8:$C$57, 0), (COLUMNS($DC14:DH14)-1)*5 + 4) = "F"), INDEX($CZ$8:$CZ$23, COLUMNS($DC14:DH14)), "0"), "")</f>
        <v/>
      </c>
      <c r="DI14" s="395">
        <f t="array" ref="DI14">IFERROR(IF(AND(INDEX($E$8:$CE$57, MATCH($C14, $C$8:$C$57, 0), (COLUMNS($DC14:DI14)-1)*5 + 1) = INDEX($E$5:$CE$5, 1, (COLUMNS($DC14:DI14)-1)*5 + 1), INDEX($E$8:$CE$57, MATCH($C14, $C$8:$C$57, 0), (COLUMNS($DC14:DI14)-1)*5 + 4) = "F"), INDEX($CZ$8:$CZ$23, COLUMNS($DC14:DI14)), "0"), "")</f>
        <v/>
      </c>
      <c r="DJ14" s="395">
        <f t="array" ref="DJ14">IFERROR(IF(AND(INDEX($E$8:$CE$57, MATCH($C14, $C$8:$C$57, 0), (COLUMNS($DC14:DJ14)-1)*5 + 1) = INDEX($E$5:$CE$5, 1, (COLUMNS($DC14:DJ14)-1)*5 + 1), INDEX($E$8:$CE$57, MATCH($C14, $C$8:$C$57, 0), (COLUMNS($DC14:DJ14)-1)*5 + 4) = "F"), INDEX($CZ$8:$CZ$23, COLUMNS($DC14:DJ14)), "0"), "")</f>
        <v/>
      </c>
      <c r="DK14" s="395">
        <f t="array" ref="DK14">IFERROR(IF(AND(INDEX($E$8:$CE$57, MATCH($C14, $C$8:$C$57, 0), (COLUMNS($DC14:DK14)-1)*5 + 1) = INDEX($E$5:$CE$5, 1, (COLUMNS($DC14:DK14)-1)*5 + 1), INDEX($E$8:$CE$57, MATCH($C14, $C$8:$C$57, 0), (COLUMNS($DC14:DK14)-1)*5 + 4) = "F"), INDEX($CZ$8:$CZ$23, COLUMNS($DC14:DK14)), "0"), "")</f>
        <v/>
      </c>
      <c r="DL14" s="395">
        <f t="array" ref="DL14">IFERROR(IF(AND(INDEX($E$8:$CE$57, MATCH($C14, $C$8:$C$57, 0), (COLUMNS($DC14:DL14)-1)*5 + 1) = INDEX($E$5:$CE$5, 1, (COLUMNS($DC14:DL14)-1)*5 + 1), INDEX($E$8:$CE$57, MATCH($C14, $C$8:$C$57, 0), (COLUMNS($DC14:DL14)-1)*5 + 4) = "F"), INDEX($CZ$8:$CZ$23, COLUMNS($DC14:DL14)), "0"), "")</f>
        <v/>
      </c>
      <c r="DM14" s="395">
        <f t="array" ref="DM14">IFERROR(IF(AND(INDEX($E$8:$CE$57, MATCH($C14, $C$8:$C$57, 0), (COLUMNS($DC14:DM14)-1)*5 + 1) = INDEX($E$5:$CE$5, 1, (COLUMNS($DC14:DM14)-1)*5 + 1), INDEX($E$8:$CE$57, MATCH($C14, $C$8:$C$57, 0), (COLUMNS($DC14:DM14)-1)*5 + 4) = "F"), INDEX($CZ$8:$CZ$23, COLUMNS($DC14:DM14)), "0"), "")</f>
        <v/>
      </c>
      <c r="DN14" s="395">
        <f t="array" ref="DN14">IFERROR(IF(AND(INDEX($E$8:$CE$57, MATCH($C14, $C$8:$C$57, 0), (COLUMNS($DC14:DN14)-1)*5 + 1) = INDEX($E$5:$CE$5, 1, (COLUMNS($DC14:DN14)-1)*5 + 1), INDEX($E$8:$CE$57, MATCH($C14, $C$8:$C$57, 0), (COLUMNS($DC14:DN14)-1)*5 + 4) = "F"), INDEX($CZ$8:$CZ$23, COLUMNS($DC14:DN14)), "0"), "")</f>
        <v/>
      </c>
      <c r="DO14" s="395">
        <f t="array" ref="DO14">IFERROR(IF(AND(INDEX($E$8:$CE$57, MATCH($C14, $C$8:$C$57, 0), (COLUMNS($DC14:DO14)-1)*5 + 1) = INDEX($E$5:$CE$5, 1, (COLUMNS($DC14:DO14)-1)*5 + 1), INDEX($E$8:$CE$57, MATCH($C14, $C$8:$C$57, 0), (COLUMNS($DC14:DO14)-1)*5 + 4) = "F"), INDEX($CZ$8:$CZ$23, COLUMNS($DC14:DO14)), "0"), "")</f>
        <v/>
      </c>
      <c r="DP14" s="395">
        <f t="array" ref="DP14">IFERROR(IF(AND(INDEX($E$8:$CE$57, MATCH($C14, $C$8:$C$57, 0), (COLUMNS($DC14:DP14)-1)*5 + 1) = INDEX($E$5:$CE$5, 1, (COLUMNS($DC14:DP14)-1)*5 + 1), INDEX($E$8:$CE$57, MATCH($C14, $C$8:$C$57, 0), (COLUMNS($DC14:DP14)-1)*5 + 4) = "F"), INDEX($CZ$8:$CZ$23, COLUMNS($DC14:DP14)), "0"), "")</f>
        <v/>
      </c>
      <c r="DQ14" s="395">
        <f t="array" ref="DQ14">IFERROR(IF(AND(INDEX($E$8:$CE$57, MATCH($C14, $C$8:$C$57, 0), (COLUMNS($DC14:DQ14)-1)*5 + 1) = INDEX($E$5:$CE$5, 1, (COLUMNS($DC14:DQ14)-1)*5 + 1), INDEX($E$8:$CE$57, MATCH($C14, $C$8:$C$57, 0), (COLUMNS($DC14:DQ14)-1)*5 + 4) = "F"), INDEX($CZ$8:$CZ$23, COLUMNS($DC14:DQ14)), "0"), "")</f>
        <v/>
      </c>
      <c r="DR14" s="395">
        <f t="array" ref="DR14">IFERROR(IF(AND(INDEX($E$8:$CE$57, MATCH($C14, $C$8:$C$57, 0), (COLUMNS($DC14:DR14)-1)*5 + 1) = INDEX($E$5:$CE$5, 1, (COLUMNS($DC14:DR14)-1)*5 + 1), INDEX($E$8:$CE$57, MATCH($C14, $C$8:$C$57, 0), (COLUMNS($DC14:DR14)-1)*5 + 4) = "F"), INDEX($CZ$8:$CZ$23, COLUMNS($DC14:DR14)), "0"), "")</f>
        <v/>
      </c>
      <c r="DT14" s="605">
        <f>SEMANA2[[#This Row],[COD]]</f>
        <v/>
      </c>
      <c r="DU14" s="395">
        <f t="array" ref="DU14">IFERROR(IF(AND(INDEX($E$8:$CE$57, MATCH($C14, $C$8:$C$57, 0), (COLUMNS($DU14:DU14)-1)*5 + 1) = INDEX($E$5:$CE$5, 1, (COLUMNS($DU14:DU14)-1)*5 + 1), INDEX($E$8:$CE$57, MATCH($C14, $C$8:$C$57, 0), (COLUMNS($DU14:DU14)-1)*5 + 4) = "SF"), INDEX($CZ$8:$CZ$23, COLUMNS($DU14:DU14)), "0"), "")</f>
        <v/>
      </c>
      <c r="DV14" s="395">
        <f t="array" ref="DV14">IFERROR(IF(AND(INDEX($E$8:$CE$57, MATCH($C14, $C$8:$C$57, 0), (COLUMNS($DU14:DV14)-1)*5 + 1) = INDEX($E$5:$CE$5, 1, (COLUMNS($DU14:DV14)-1)*5 + 1), INDEX($E$8:$CE$57, MATCH($C14, $C$8:$C$57, 0), (COLUMNS($DU14:DV14)-1)*5 + 4) = "SF"), INDEX($CZ$8:$CZ$23, COLUMNS($DU14:DV14)), "0"), "")</f>
        <v/>
      </c>
      <c r="DW14" s="395">
        <f t="array" ref="DW14">IFERROR(IF(AND(INDEX($E$8:$CE$57, MATCH($C14, $C$8:$C$57, 0), (COLUMNS($DU14:DW14)-1)*5 + 1) = INDEX($E$5:$CE$5, 1, (COLUMNS($DU14:DW14)-1)*5 + 1), INDEX($E$8:$CE$57, MATCH($C14, $C$8:$C$57, 0), (COLUMNS($DU14:DW14)-1)*5 + 4) = "SF"), INDEX($CZ$8:$CZ$23, COLUMNS($DU14:DW14)), "0"), "")</f>
        <v/>
      </c>
      <c r="DX14" s="395">
        <f t="array" ref="DX14">IFERROR(IF(AND(INDEX($E$8:$CE$57, MATCH($C14, $C$8:$C$57, 0), (COLUMNS($DU14:DX14)-1)*5 + 1) = INDEX($E$5:$CE$5, 1, (COLUMNS($DU14:DX14)-1)*5 + 1), INDEX($E$8:$CE$57, MATCH($C14, $C$8:$C$57, 0), (COLUMNS($DU14:DX14)-1)*5 + 4) = "SF"), INDEX($CZ$8:$CZ$23, COLUMNS($DU14:DX14)), "0"), "")</f>
        <v/>
      </c>
      <c r="DY14" s="395">
        <f t="array" ref="DY14">IFERROR(IF(AND(INDEX($E$8:$CE$57, MATCH($C14, $C$8:$C$57, 0), (COLUMNS($DU14:DY14)-1)*5 + 1) = INDEX($E$5:$CE$5, 1, (COLUMNS($DU14:DY14)-1)*5 + 1), INDEX($E$8:$CE$57, MATCH($C14, $C$8:$C$57, 0), (COLUMNS($DU14:DY14)-1)*5 + 4) = "SF"), INDEX($CZ$8:$CZ$23, COLUMNS($DU14:DY14)), "0"), "")</f>
        <v/>
      </c>
      <c r="DZ14" s="395">
        <f t="array" ref="DZ14">IFERROR(IF(AND(INDEX($E$8:$CE$57, MATCH($C14, $C$8:$C$57, 0), (COLUMNS($DU14:DZ14)-1)*5 + 1) = INDEX($E$5:$CE$5, 1, (COLUMNS($DU14:DZ14)-1)*5 + 1), INDEX($E$8:$CE$57, MATCH($C14, $C$8:$C$57, 0), (COLUMNS($DU14:DZ14)-1)*5 + 4) = "SF"), INDEX($CZ$8:$CZ$23, COLUMNS($DU14:DZ14)), "0"), "")</f>
        <v/>
      </c>
      <c r="EA14" s="395">
        <f t="array" ref="EA14">IFERROR(IF(AND(INDEX($E$8:$CE$57, MATCH($C14, $C$8:$C$57, 0), (COLUMNS($DU14:EA14)-1)*5 + 1) = INDEX($E$5:$CE$5, 1, (COLUMNS($DU14:EA14)-1)*5 + 1), INDEX($E$8:$CE$57, MATCH($C14, $C$8:$C$57, 0), (COLUMNS($DU14:EA14)-1)*5 + 4) = "SF"), INDEX($CZ$8:$CZ$23, COLUMNS($DU14:EA14)), "0"), "")</f>
        <v/>
      </c>
      <c r="EB14" s="395">
        <f t="array" ref="EB14">IFERROR(IF(AND(INDEX($E$8:$CE$57, MATCH($C14, $C$8:$C$57, 0), (COLUMNS($DU14:EB14)-1)*5 + 1) = INDEX($E$5:$CE$5, 1, (COLUMNS($DU14:EB14)-1)*5 + 1), INDEX($E$8:$CE$57, MATCH($C14, $C$8:$C$57, 0), (COLUMNS($DU14:EB14)-1)*5 + 4) = "SF"), INDEX($CZ$8:$CZ$23, COLUMNS($DU14:EB14)), "0"), "")</f>
        <v/>
      </c>
      <c r="EC14" s="395">
        <f t="array" ref="EC14">IFERROR(IF(AND(INDEX($E$8:$CE$57, MATCH($C14, $C$8:$C$57, 0), (COLUMNS($DU14:EC14)-1)*5 + 1) = INDEX($E$5:$CE$5, 1, (COLUMNS($DU14:EC14)-1)*5 + 1), INDEX($E$8:$CE$57, MATCH($C14, $C$8:$C$57, 0), (COLUMNS($DU14:EC14)-1)*5 + 4) = "SF"), INDEX($CZ$8:$CZ$23, COLUMNS($DU14:EC14)), "0"), "")</f>
        <v/>
      </c>
      <c r="ED14" s="395">
        <f t="array" ref="ED14">IFERROR(IF(AND(INDEX($E$8:$CE$57, MATCH($C14, $C$8:$C$57, 0), (COLUMNS($DU14:ED14)-1)*5 + 1) = INDEX($E$5:$CE$5, 1, (COLUMNS($DU14:ED14)-1)*5 + 1), INDEX($E$8:$CE$57, MATCH($C14, $C$8:$C$57, 0), (COLUMNS($DU14:ED14)-1)*5 + 4) = "SF"), INDEX($CZ$8:$CZ$23, COLUMNS($DU14:ED14)), "0"), "")</f>
        <v/>
      </c>
      <c r="EE14" s="395">
        <f t="array" ref="EE14">IFERROR(IF(AND(INDEX($E$8:$CE$57, MATCH($C14, $C$8:$C$57, 0), (COLUMNS($DU14:EE14)-1)*5 + 1) = INDEX($E$5:$CE$5, 1, (COLUMNS($DU14:EE14)-1)*5 + 1), INDEX($E$8:$CE$57, MATCH($C14, $C$8:$C$57, 0), (COLUMNS($DU14:EE14)-1)*5 + 4) = "SF"), INDEX($CZ$8:$CZ$23, COLUMNS($DU14:EE14)), "0"), "")</f>
        <v/>
      </c>
      <c r="EF14" s="395">
        <f t="array" ref="EF14">IFERROR(IF(AND(INDEX($E$8:$CE$57, MATCH($C14, $C$8:$C$57, 0), (COLUMNS($DU14:EF14)-1)*5 + 1) = INDEX($E$5:$CE$5, 1, (COLUMNS($DU14:EF14)-1)*5 + 1), INDEX($E$8:$CE$57, MATCH($C14, $C$8:$C$57, 0), (COLUMNS($DU14:EF14)-1)*5 + 4) = "SF"), INDEX($CZ$8:$CZ$23, COLUMNS($DU14:EF14)), "0"), "")</f>
        <v/>
      </c>
      <c r="EG14" s="395">
        <f t="array" ref="EG14">IFERROR(IF(AND(INDEX($E$8:$CE$57, MATCH($C14, $C$8:$C$57, 0), (COLUMNS($DU14:EG14)-1)*5 + 1) = INDEX($E$5:$CE$5, 1, (COLUMNS($DU14:EG14)-1)*5 + 1), INDEX($E$8:$CE$57, MATCH($C14, $C$8:$C$57, 0), (COLUMNS($DU14:EG14)-1)*5 + 4) = "SF"), INDEX($CZ$8:$CZ$23, COLUMNS($DU14:EG14)), "0"), "")</f>
        <v/>
      </c>
      <c r="EH14" s="395">
        <f t="array" ref="EH14">IFERROR(IF(AND(INDEX($E$8:$CE$57, MATCH($C14, $C$8:$C$57, 0), (COLUMNS($DU14:EH14)-1)*5 + 1) = INDEX($E$5:$CE$5, 1, (COLUMNS($DU14:EH14)-1)*5 + 1), INDEX($E$8:$CE$57, MATCH($C14, $C$8:$C$57, 0), (COLUMNS($DU14:EH14)-1)*5 + 4) = "SF"), INDEX($CZ$8:$CZ$23, COLUMNS($DU14:EH14)), "0"), "")</f>
        <v/>
      </c>
      <c r="EI14" s="395">
        <f t="array" ref="EI14">IFERROR(IF(AND(INDEX($E$8:$CE$57, MATCH($C14, $C$8:$C$57, 0), (COLUMNS($DU14:EI14)-1)*5 + 1) = INDEX($E$5:$CE$5, 1, (COLUMNS($DU14:EI14)-1)*5 + 1), INDEX($E$8:$CE$57, MATCH($C14, $C$8:$C$57, 0), (COLUMNS($DU14:EI14)-1)*5 + 4) = "SF"), INDEX($CZ$8:$CZ$23, COLUMNS($DU14:EI14)), "0"), "")</f>
        <v/>
      </c>
      <c r="EJ14" s="395">
        <f t="array" ref="EJ14">IFERROR(IF(AND(INDEX($E$8:$CE$57, MATCH($C14, $C$8:$C$57, 0), (COLUMNS($DU14:EJ14)-1)*5 + 1) = INDEX($E$5:$CE$5, 1, (COLUMNS($DU14:EJ14)-1)*5 + 1), INDEX($E$8:$CE$57, MATCH($C14, $C$8:$C$57, 0), (COLUMNS($DU14:EJ14)-1)*5 + 4) = "SF"), INDEX($CZ$8:$CZ$23, COLUMNS($DU14:EJ14)), "0"), "")</f>
        <v/>
      </c>
    </row>
    <row r="15" ht="20.1" customHeight="1" s="568">
      <c r="A15" s="576" t="n"/>
      <c r="B15" s="449">
        <f>IF(SEMANA2[[#This Row],[COD]]&lt;&gt;"",B14+1,"")</f>
        <v/>
      </c>
      <c r="C15" s="622" t="inlineStr">
        <is>
          <t>COD 08</t>
        </is>
      </c>
      <c r="D15" s="415">
        <f t="array" ref="D15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5" s="416" t="n">
        <v>6</v>
      </c>
      <c r="F15" s="418" t="n">
        <v>9</v>
      </c>
      <c r="G15" s="418" t="n">
        <v>2</v>
      </c>
      <c r="H15" s="418" t="n"/>
      <c r="I15" s="602">
        <f>SUM(IF(E15=E$5,4,0),IF(E15&amp;F15=E$5&amp;F$5,1,0),
IF(AND(E15=E$5,F$6&gt;=$D$115),1,0),
IF(AND(F15=E$5,F$6&gt;=$D$115),1,0),
IF(AND(G15=E$5,F$6&gt;=$D$115),1,0),
IF(E15&amp;H15=I$5,1,0),
IF(F15=E$5,2,0),
IF(G15=E$5,1,0),
IF(OR(E15&amp;F15&amp;G15=E$5&amp;F$5&amp;G$5,E15&amp;F15&amp;G15=E$5&amp;G$5&amp;F$5,E15&amp;F15&amp;G15=F$5&amp;E$5&amp;G$5,E15&amp;F15&amp;G15=F$5&amp;G$5&amp;E$5,E15&amp;F15&amp;G15=G$5&amp;E$5&amp;F$5,E15&amp;F15&amp;G15=G$5&amp;F$5&amp;E$5),2,0),IF(AND(E15=E$5,F$6&gt;=$D$129),1,0),IF(AND(F15=E$5,F$6&gt;=$D$129),1,0),IF(AND(G15=E$5,F$6&gt;=$D$129),1,0),IF(E15&amp;H15=H$5,4,0),IF(AND(E15=E$5,F$6&lt;=$D$104),-0.5,0),IF(AND(F15=E$5,F$6&lt;=$D$104),-0.5,0),IF(AND(G15=E$5,F$6&lt;=$D$104),-0.5,0))</f>
        <v/>
      </c>
      <c r="J15" s="416" t="n">
        <v>7</v>
      </c>
      <c r="K15" s="418" t="n">
        <v>1</v>
      </c>
      <c r="L15" s="418" t="n">
        <v>5</v>
      </c>
      <c r="M15" s="418" t="inlineStr">
        <is>
          <t>F</t>
        </is>
      </c>
      <c r="N15" s="602">
        <f>SUM(IF(J15=J$5,4,0),IF(J15&amp;K15=J$5&amp;K$5,1,0),
IF(AND(J15=J$5,K$6&gt;=$D$115),1,0),
IF(AND(K15=J$5,K$6&gt;=$D$115),1,0),
IF(AND(L15=J$5,K$6&gt;=$D$115),1,0),
IF(J15&amp;M15=N$5,1,0),
IF(K15=J$5,2,0),
IF(L15=J$5,1,0),
IF(OR(J15&amp;K15&amp;L15=J$5&amp;K$5&amp;L$5,J15&amp;K15&amp;L15=J$5&amp;L$5&amp;K$5,J15&amp;K15&amp;L15=K$5&amp;J$5&amp;L$5,J15&amp;K15&amp;L15=K$5&amp;L$5&amp;J$5,J15&amp;K15&amp;L15=L$5&amp;J$5&amp;K$5,J15&amp;K15&amp;L15=L$5&amp;K$5&amp;J$5),2,0),IF(AND(J15=J$5,K$6&gt;=$D$129),1,0),IF(AND(K15=J$5,K$6&gt;=$D$129),1,0),IF(AND(L15=J$5,K$6&gt;=$D$129),1,0),IF(J15&amp;M15=M$5,4,0),IF(AND(J15=J$5,K$6&lt;=$D$104),-0.5,0),IF(AND(K15=J$5,K$6&lt;=$D$104),-0.5,0),IF(AND(L15=J$5,K$6&lt;=$D$104),-0.5,0))</f>
        <v/>
      </c>
      <c r="O15" s="416" t="n">
        <v>5</v>
      </c>
      <c r="P15" s="418" t="n">
        <v>3</v>
      </c>
      <c r="Q15" s="418" t="n">
        <v>8</v>
      </c>
      <c r="R15" s="418" t="n"/>
      <c r="S15" s="602">
        <f>SUM(IF(O15=O$5,4,0),IF(O15&amp;P15=O$5&amp;P$5,1,0),
IF(AND(O15=O$5,P$6&gt;=$D$115),1,0),
IF(AND(P15=O$5,P$6&gt;=$D$115),1,0),
IF(AND(Q15=O$5,P$6&gt;=$D$115),1,0),
IF(O15&amp;R15=S$5,1,0),
IF(P15=O$5,2,0),
IF(Q15=O$5,1,0),
IF(OR(O15&amp;P15&amp;Q15=O$5&amp;P$5&amp;Q$5,O15&amp;P15&amp;Q15=O$5&amp;Q$5&amp;P$5,O15&amp;P15&amp;Q15=P$5&amp;O$5&amp;Q$5,O15&amp;P15&amp;Q15=P$5&amp;Q$5&amp;O$5,O15&amp;P15&amp;Q15=Q$5&amp;O$5&amp;P$5,O15&amp;P15&amp;Q15=Q$5&amp;P$5&amp;O$5),2,0),IF(AND(O15=O$5,P$6&gt;=$D$129),1,0),IF(AND(P15=O$5,P$6&gt;=$D$129),1,0),IF(AND(Q15=O$5,P$6&gt;=$D$129),1,0),IF(O15&amp;R15=R$5,4,0),IF(AND(O15=O$5,P$6&lt;=$D$104),-0.5,0),IF(AND(P15=O$5,P$6&lt;=$D$104),-0.5,0),IF(AND(Q15=O$5,P$6&lt;=$D$104),-0.5,0))</f>
        <v/>
      </c>
      <c r="T15" s="416" t="n">
        <v>1</v>
      </c>
      <c r="U15" s="418" t="n">
        <v>3</v>
      </c>
      <c r="V15" s="418" t="n">
        <v>5</v>
      </c>
      <c r="W15" s="418" t="n"/>
      <c r="X15" s="602">
        <f>SUM(IF(T15=T$5,4,0),IF(T15&amp;U15=T$5&amp;U$5,1,0),
IF(AND(T15=T$5,U$6&gt;=$D$115),1,0),
IF(AND(U15=T$5,U$6&gt;=$D$115),1,0),
IF(AND(V15=T$5,U$6&gt;=$D$115),1,0),
IF(T15&amp;W15=X$5,1,0),
IF(U15=T$5,2,0),
IF(V15=T$5,1,0),
IF(OR(T15&amp;U15&amp;V15=T$5&amp;U$5&amp;V$5,T15&amp;U15&amp;V15=T$5&amp;V$5&amp;U$5,T15&amp;U15&amp;V15=U$5&amp;T$5&amp;V$5,T15&amp;U15&amp;V15=U$5&amp;V$5&amp;T$5,T15&amp;U15&amp;V15=V$5&amp;T$5&amp;U$5,T15&amp;U15&amp;V15=V$5&amp;U$5&amp;T$5),2,0),IF(AND(T15=T$5,U$6&gt;=$D$129),1,0),IF(AND(U15=T$5,U$6&gt;=$D$129),1,0),IF(AND(V15=T$5,U$6&gt;=$D$129),1,0),IF(T15&amp;W15=W$5,4,0),IF(AND(T15=T$5,U$6&lt;=$D$104),-0.5,0),IF(AND(U15=T$5,U$6&lt;=$D$104),-0.5,0),IF(AND(V15=T$5,U$6&lt;=$D$104),-0.5,0))</f>
        <v/>
      </c>
      <c r="Y15" s="416" t="n">
        <v>5</v>
      </c>
      <c r="Z15" s="418" t="n">
        <v>7</v>
      </c>
      <c r="AA15" s="418" t="n">
        <v>2</v>
      </c>
      <c r="AB15" s="418" t="n"/>
      <c r="AC15" s="602">
        <f>SUM(IF(Y15=Y$5,4,0),IF(Y15&amp;Z15=Y$5&amp;Z$5,1,0),
IF(AND(Y15=Y$5,Z$6&gt;=$D$115),1,0),
IF(AND(Z15=Y$5,Z$6&gt;=$D$115),1,0),
IF(AND(AA15=Y$5,Z$6&gt;=$D$115),1,0),
IF(Y15&amp;AB15=AC$5,1,0),
IF(Z15=Y$5,2,0),
IF(AA15=Y$5,1,0),
IF(OR(Y15&amp;Z15&amp;AA15=Y$5&amp;Z$5&amp;AA$5,Y15&amp;Z15&amp;AA15=Y$5&amp;AA$5&amp;Z$5,Y15&amp;Z15&amp;AA15=Z$5&amp;Y$5&amp;AA$5,Y15&amp;Z15&amp;AA15=Z$5&amp;AA$5&amp;Y$5,Y15&amp;Z15&amp;AA15=AA$5&amp;Y$5&amp;Z$5,Y15&amp;Z15&amp;AA15=AA$5&amp;Z$5&amp;Y$5),2,0),IF(AND(Y15=Y$5,Z$6&gt;=$D$129),1,0),IF(AND(Z15=Y$5,Z$6&gt;=$D$129),1,0),IF(AND(AA15=Y$5,Z$6&gt;=$D$129),1,0),IF(Y15&amp;AB15=AB$5,4,0),IF(AND(Y15=Y$5,Z$6&lt;=$D$104),-0.5,0),IF(AND(Z15=Y$5,Z$6&lt;=$D$104),-0.5,0),IF(AND(AA15=Y$5,Z$6&lt;=$D$104),-0.5,0))</f>
        <v/>
      </c>
      <c r="AD15" s="416" t="n">
        <v>5</v>
      </c>
      <c r="AE15" s="418" t="n">
        <v>4</v>
      </c>
      <c r="AF15" s="418" t="n">
        <v>2</v>
      </c>
      <c r="AG15" s="418" t="n"/>
      <c r="AH15" s="602">
        <f>SUM(IF(AD15=AD$5,4,0),IF(AD15&amp;AE15=AD$5&amp;AE$5,1,0),
IF(AND(AD15=AD$5,AE$6&gt;=$D$115),1,0),
IF(AND(AE15=AD$5,AE$6&gt;=$D$115),1,0),
IF(AND(AF15=AD$5,AE$6&gt;=$D$115),1,0),
IF(AD15&amp;AG15=AH$5,1,0),
IF(AE15=AD$5,2,0),
IF(AF15=AD$5,1,0),
IF(OR(AD15&amp;AE15&amp;AF15=AD$5&amp;AE$5&amp;AF$5,AD15&amp;AE15&amp;AF15=AD$5&amp;AF$5&amp;AE$5,AD15&amp;AE15&amp;AF15=AE$5&amp;AD$5&amp;AF$5,AD15&amp;AE15&amp;AF15=AE$5&amp;AF$5&amp;AD$5,AD15&amp;AE15&amp;AF15=AF$5&amp;AD$5&amp;AE$5,AD15&amp;AE15&amp;AF15=AF$5&amp;AE$5&amp;AD$5),2,0),IF(AND(AD15=AD$5,AE$6&gt;=$D$129),1,0),IF(AND(AE15=AD$5,AE$6&gt;=$D$129),1,0),IF(AND(AF15=AD$5,AE$6&gt;=$D$129),1,0),IF(AD15&amp;AG15=AG$5,4,0),IF(AND(AD15=AD$5,AE$6&lt;=$D$104),-0.5,0),IF(AND(AE15=AD$5,AE$6&lt;=$D$104),-0.5,0),IF(AND(AF15=AD$5,AE$6&lt;=$D$104),-0.5,0))</f>
        <v/>
      </c>
      <c r="AI15" s="416" t="n">
        <v>6</v>
      </c>
      <c r="AJ15" s="418" t="n"/>
      <c r="AK15" s="418" t="n"/>
      <c r="AL15" s="418" t="inlineStr">
        <is>
          <t>SF</t>
        </is>
      </c>
      <c r="AM15" s="602">
        <f>SUM(IF(AI15=AI$5,4,0),IF(AI15&amp;AJ15=AI$5&amp;AJ$5,1,0),
IF(AND(AI15=AI$5,AJ$6&gt;=$D$115),1,0),
IF(AND(AJ15=AI$5,AJ$6&gt;=$D$115),1,0),
IF(AND(AK15=AI$5,AJ$6&gt;=$D$115),1,0),
IF(AI15&amp;AL15=AM$5,1,0),
IF(AJ15=AI$5,2,0),
IF(AK15=AI$5,1,0),
IF(OR(AI15&amp;AJ15&amp;AK15=AI$5&amp;AJ$5&amp;AK$5,AI15&amp;AJ15&amp;AK15=AI$5&amp;AK$5&amp;AJ$5,AI15&amp;AJ15&amp;AK15=AJ$5&amp;AI$5&amp;AK$5,AI15&amp;AJ15&amp;AK15=AJ$5&amp;AK$5&amp;AI$5,AI15&amp;AJ15&amp;AK15=AK$5&amp;AI$5&amp;AJ$5,AI15&amp;AJ15&amp;AK15=AK$5&amp;AJ$5&amp;AI$5),2,0),IF(AND(AI15=AI$5,AJ$6&gt;=$D$129),1,0),IF(AND(AJ15=AI$5,AJ$6&gt;=$D$129),1,0),IF(AND(AK15=AI$5,AJ$6&gt;=$D$129),1,0),IF(AI15&amp;AL15=AL$5,4,0),IF(AND(AI15=AI$5,AJ$6&lt;=$D$104),-0.5,0),IF(AND(AJ15=AI$5,AJ$6&lt;=$D$104),-0.5,0),IF(AND(AK15=AI$5,AJ$6&lt;=$D$104),-0.5,0))</f>
        <v/>
      </c>
      <c r="AN15" s="416" t="n">
        <v>8</v>
      </c>
      <c r="AO15" s="418" t="n">
        <v>1</v>
      </c>
      <c r="AP15" s="418" t="n">
        <v>6</v>
      </c>
      <c r="AQ15" s="418" t="n"/>
      <c r="AR15" s="602">
        <f>SUM(IF(AN15=AN$5,4,0),IF(AN15&amp;AO15=AN$5&amp;AO$5,1,0),
IF(AND(AN15=AN$5,AO$6&gt;=$D$115),1,0),
IF(AND(AO15=AN$5,AO$6&gt;=$D$115),1,0),
IF(AND(AP15=AN$5,AO$6&gt;=$D$115),1,0),
IF(AN15&amp;AQ15=AR$5,1,0),
IF(AO15=AN$5,2,0),
IF(AP15=AN$5,1,0),
IF(OR(AN15&amp;AO15&amp;AP15=AN$5&amp;AO$5&amp;AP$5,AN15&amp;AO15&amp;AP15=AN$5&amp;AP$5&amp;AO$5,AN15&amp;AO15&amp;AP15=AO$5&amp;AN$5&amp;AP$5,AN15&amp;AO15&amp;AP15=AO$5&amp;AP$5&amp;AN$5,AN15&amp;AO15&amp;AP15=AP$5&amp;AN$5&amp;AO$5,AN15&amp;AO15&amp;AP15=AP$5&amp;AO$5&amp;AN$5),2,0),IF(AND(AN15=AN$5,AO$6&gt;=$D$129),1,0),IF(AND(AO15=AN$5,AO$6&gt;=$D$129),1,0),IF(AND(AP15=AN$5,AO$6&gt;=$D$129),1,0),IF(AN15&amp;AQ15=AQ$5,4,0),IF(AND(AN15=AN$5,AO$6&lt;=$D$104),-0.5,0),IF(AND(AO15=AN$5,AO$6&lt;=$D$104),-0.5,0),IF(AND(AP15=AN$5,AO$6&lt;=$D$104),-0.5,0))</f>
        <v/>
      </c>
      <c r="AS15" s="416" t="n">
        <v>1</v>
      </c>
      <c r="AT15" s="418" t="n">
        <v>9</v>
      </c>
      <c r="AU15" s="418" t="n">
        <v>10</v>
      </c>
      <c r="AV15" s="418" t="n"/>
      <c r="AW15" s="602">
        <f>SUM(IF(AS15=AS$5,4,0),IF(AS15&amp;AT15=AS$5&amp;AT$5,1,0),
IF(AND(AS15=AS$5,AT$6&gt;=$D$115),1,0),
IF(AND(AT15=AS$5,AT$6&gt;=$D$115),1,0),
IF(AND(AU15=AS$5,AT$6&gt;=$D$115),1,0),
IF(AS15&amp;AV15=AW$5,1,0),
IF(AT15=AS$5,2,0),
IF(AU15=AS$5,1,0),
IF(OR(AS15&amp;AT15&amp;AU15=AS$5&amp;AT$5&amp;AU$5,AS15&amp;AT15&amp;AU15=AS$5&amp;AU$5&amp;AT$5,AS15&amp;AT15&amp;AU15=AT$5&amp;AS$5&amp;AU$5,AS15&amp;AT15&amp;AU15=AT$5&amp;AU$5&amp;AS$5,AS15&amp;AT15&amp;AU15=AU$5&amp;AS$5&amp;AT$5,AS15&amp;AT15&amp;AU15=AU$5&amp;AT$5&amp;AS$5),2,0),IF(AND(AS15=AS$5,AT$6&gt;=$D$129),1,0),IF(AND(AT15=AS$5,AT$6&gt;=$D$129),1,0),IF(AND(AU15=AS$5,AT$6&gt;=$D$129),1,0),IF(AS15&amp;AV15=AV$5,4,0),IF(AND(AS15=AS$5,AT$6&lt;=$D$104),-0.5,0),IF(AND(AT15=AS$5,AT$6&lt;=$D$104),-0.5,0),IF(AND(AU15=AS$5,AT$6&lt;=$D$104),-0.5,0))</f>
        <v/>
      </c>
      <c r="AX15" s="416" t="n">
        <v>1</v>
      </c>
      <c r="AY15" s="418" t="n">
        <v>10</v>
      </c>
      <c r="AZ15" s="418" t="n">
        <v>11</v>
      </c>
      <c r="BA15" s="418" t="n"/>
      <c r="BB15" s="602">
        <f>SUM(IF(AX15=AX$5,4,0),IF(AX15&amp;AY15=AX$5&amp;AY$5,1,0),
IF(AND(AX15=AX$5,AY$6&gt;=$D$115),1,0),
IF(AND(AY15=AX$5,AY$6&gt;=$D$115),1,0),
IF(AND(AZ15=AX$5,AY$6&gt;=$D$115),1,0),
IF(AX15&amp;BA15=BB$5,1,0),
IF(AY15=AX$5,2,0),
IF(AZ15=AX$5,1,0),
IF(OR(AX15&amp;AY15&amp;AZ15=AX$5&amp;AY$5&amp;AZ$5,AX15&amp;AY15&amp;AZ15=AX$5&amp;AZ$5&amp;AY$5,AX15&amp;AY15&amp;AZ15=AY$5&amp;AX$5&amp;AZ$5,AX15&amp;AY15&amp;AZ15=AY$5&amp;AZ$5&amp;AX$5,AX15&amp;AY15&amp;AZ15=AZ$5&amp;AX$5&amp;AY$5,AX15&amp;AY15&amp;AZ15=AZ$5&amp;AY$5&amp;AX$5),2,0),IF(AND(AX15=AX$5,AY$6&gt;=$D$129),1,0),IF(AND(AY15=AX$5,AY$6&gt;=$D$129),1,0),IF(AND(AZ15=AX$5,AY$6&gt;=$D$129),1,0),IF(AX15&amp;BA15=BA$5,4,0),IF(AND(AX15=AX$5,AY$6&lt;=$D$104),-0.5,0),IF(AND(AY15=AX$5,AY$6&lt;=$D$104),-0.5,0),IF(AND(AZ15=AX$5,AY$6&lt;=$D$104),-0.5,0))</f>
        <v/>
      </c>
      <c r="BC15" s="416" t="n">
        <v>7</v>
      </c>
      <c r="BD15" s="418" t="n">
        <v>5</v>
      </c>
      <c r="BE15" s="418" t="n">
        <v>3</v>
      </c>
      <c r="BF15" s="418" t="n"/>
      <c r="BG15" s="602">
        <f>SUM(IF(BC15=BC$5,4,0),IF(BC15&amp;BD15=BC$5&amp;BD$5,1,0),
IF(AND(BC15=BC$5,BD$6&gt;=$D$115),1,0),
IF(AND(BD15=BC$5,BD$6&gt;=$D$115),1,0),
IF(AND(BE15=BC$5,BD$6&gt;=$D$115),1,0),
IF(BC15&amp;BF15=BG$5,1,0),
IF(BD15=BC$5,2,0),
IF(BE15=BC$5,1,0),
IF(OR(BC15&amp;BD15&amp;BE15=BC$5&amp;BD$5&amp;BE$5,BC15&amp;BD15&amp;BE15=BC$5&amp;BE$5&amp;BD$5,BC15&amp;BD15&amp;BE15=BD$5&amp;BC$5&amp;BE$5,BC15&amp;BD15&amp;BE15=BD$5&amp;BE$5&amp;BC$5,BC15&amp;BD15&amp;BE15=BE$5&amp;BC$5&amp;BD$5,BC15&amp;BD15&amp;BE15=BE$5&amp;BD$5&amp;BC$5),2,0),IF(AND(BC15=BC$5,BD$6&gt;=$D$129),1,0),IF(AND(BD15=BC$5,BD$6&gt;=$D$129),1,0),IF(AND(BE15=BC$5,BD$6&gt;=$D$129),1,0),IF(BC15&amp;BF15=BF$5,4,0),IF(AND(BC15=BC$5,BD$6&lt;=$D$104),-0.5,0),IF(AND(BD15=BC$5,BD$6&lt;=$D$104),-0.5,0),IF(AND(BE15=BC$5,BD$6&lt;=$D$104),-0.5,0))</f>
        <v/>
      </c>
      <c r="BH15" s="416" t="n">
        <v>6</v>
      </c>
      <c r="BI15" s="418" t="n">
        <v>2</v>
      </c>
      <c r="BJ15" s="418" t="n">
        <v>8</v>
      </c>
      <c r="BK15" s="418" t="inlineStr">
        <is>
          <t>F</t>
        </is>
      </c>
      <c r="BL15" s="602">
        <f>SUM(IF(BH15=BH$5,4,0),IF(BH15&amp;BI15=BH$5&amp;BI$5,1,0),
IF(AND(BH15=BH$5,BI$6&gt;=$D$115),1,0),
IF(AND(BI15=BH$5,BI$6&gt;=$D$115),1,0),
IF(AND(BJ15=BH$5,BI$6&gt;=$D$115),1,0),
IF(BH15&amp;BK15=BL$5,1,0),
IF(BI15=BH$5,2,0),
IF(BJ15=BH$5,1,0),
IF(OR(BH15&amp;BI15&amp;BJ15=BH$5&amp;BI$5&amp;BJ$5,BH15&amp;BI15&amp;BJ15=BH$5&amp;BJ$5&amp;BI$5,BH15&amp;BI15&amp;BJ15=BI$5&amp;BH$5&amp;BJ$5,BH15&amp;BI15&amp;BJ15=BI$5&amp;BJ$5&amp;BH$5,BH15&amp;BI15&amp;BJ15=BJ$5&amp;BH$5&amp;BI$5,BH15&amp;BI15&amp;BJ15=BJ$5&amp;BI$5&amp;BH$5),2,0),IF(AND(BH15=BH$5,BI$6&gt;=$D$129),1,0),IF(AND(BI15=BH$5,BI$6&gt;=$D$129),1,0),IF(AND(BJ15=BH$5,BI$6&gt;=$D$129),1,0),IF(BH15&amp;BK15=BK$5,4,0),IF(AND(BH15=BH$5,BI$6&lt;=$D$104),-0.5,0),IF(AND(BI15=BH$5,BI$6&lt;=$D$104),-0.5,0),IF(AND(BJ15=BH$5,BI$6&lt;=$D$104),-0.5,0))</f>
        <v/>
      </c>
      <c r="BM15" s="416" t="n">
        <v>4</v>
      </c>
      <c r="BN15" s="418" t="n">
        <v>1</v>
      </c>
      <c r="BO15" s="418" t="n">
        <v>9</v>
      </c>
      <c r="BP15" s="418" t="n"/>
      <c r="BQ15" s="602">
        <f>SUM(IF(BM15=BM$5,4,0),IF(BM15&amp;BN15=BM$5&amp;BN$5,1,0),
IF(AND(BM15=BM$5,BN$6&gt;=$D$115),1,0),
IF(AND(BN15=BM$5,BN$6&gt;=$D$115),1,0),
IF(AND(BO15=BM$5,BN$6&gt;=$D$115),1,0),
IF(BM15&amp;BP15=BQ$5,1,0),
IF(BN15=BM$5,2,0),
IF(BO15=BM$5,1,0),
IF(OR(BM15&amp;BN15&amp;BO15=BM$5&amp;BN$5&amp;BO$5,BM15&amp;BN15&amp;BO15=BM$5&amp;BO$5&amp;BN$5,BM15&amp;BN15&amp;BO15=BN$5&amp;BM$5&amp;BO$5,BM15&amp;BN15&amp;BO15=BN$5&amp;BO$5&amp;BM$5,BM15&amp;BN15&amp;BO15=BO$5&amp;BM$5&amp;BN$5,BM15&amp;BN15&amp;BO15=BO$5&amp;BN$5&amp;BM$5),2,0),IF(AND(BM15=BM$5,BN$6&gt;=$D$129),1,0),IF(AND(BN15=BM$5,BN$6&gt;=$D$129),1,0),IF(AND(BO15=BM$5,BN$6&gt;=$D$129),1,0),IF(BM15&amp;BP15=BP$5,4,0),IF(AND(BM15=BM$5,BN$6&lt;=$D$104),-0.5,0),IF(AND(BN15=BM$5,BN$6&lt;=$D$104),-0.5,0),IF(AND(BO15=BM$5,BN$6&lt;=$D$104),-0.5,0))</f>
        <v/>
      </c>
      <c r="BR15" s="416" t="n">
        <v>1</v>
      </c>
      <c r="BS15" s="418" t="n">
        <v>2</v>
      </c>
      <c r="BT15" s="418" t="n">
        <v>5</v>
      </c>
      <c r="BU15" s="418" t="n"/>
      <c r="BV15" s="602">
        <f>SUM(IF(BR15=BR$5,4,0),IF(BR15&amp;BS15=BR$5&amp;BS$5,1,0),
IF(AND(BR15=BR$5,BS$6&gt;=$D$115),1,0),
IF(AND(BS15=BR$5,BS$6&gt;=$D$115),1,0),
IF(AND(BT15=BR$5,BS$6&gt;=$D$115),1,0),
IF(BR15&amp;BU15=BV$5,1,0),
IF(BS15=BR$5,2,0),
IF(BT15=BR$5,1,0),
IF(OR(BR15&amp;BS15&amp;BT15=BR$5&amp;BS$5&amp;BT$5,BR15&amp;BS15&amp;BT15=BR$5&amp;BT$5&amp;BS$5,BR15&amp;BS15&amp;BT15=BS$5&amp;BR$5&amp;BT$5,BR15&amp;BS15&amp;BT15=BS$5&amp;BT$5&amp;BR$5,BR15&amp;BS15&amp;BT15=BT$5&amp;BR$5&amp;BS$5,BR15&amp;BS15&amp;BT15=BT$5&amp;BS$5&amp;BR$5),2,0),IF(AND(BR15=BR$5,BS$6&gt;=$D$129),1,0),IF(AND(BS15=BR$5,BS$6&gt;=$D$129),1,0),IF(AND(BT15=BR$5,BS$6&gt;=$D$129),1,0),IF(BR15&amp;BU15=BU$5,4,0),IF(AND(BR15=BR$5,BS$6&lt;=$D$104),-0.5,0),IF(AND(BS15=BR$5,BS$6&lt;=$D$104),-0.5,0),IF(AND(BT15=BR$5,BS$6&lt;=$D$104),-0.5,0))</f>
        <v/>
      </c>
      <c r="BW15" s="416" t="n"/>
      <c r="BX15" s="418" t="n"/>
      <c r="BY15" s="418" t="n"/>
      <c r="BZ15" s="418" t="n"/>
      <c r="CA15" s="602">
        <f>SUM(IF(BW15=BW$5,4,0),IF(BW15&amp;BX15=BW$5&amp;BX$5,1,0),
IF(AND(BW15=BW$5,BX$6&gt;=$D$115),1,0),
IF(AND(BX15=BW$5,BX$6&gt;=$D$115),1,0),
IF(AND(BY15=BW$5,BX$6&gt;=$D$115),1,0),
IF(BW15&amp;BZ15=CA$5,1,0),
IF(BX15=BW$5,2,0),
IF(BY15=BW$5,1,0),
IF(OR(BW15&amp;BX15&amp;BY15=BW$5&amp;BX$5&amp;BY$5,BW15&amp;BX15&amp;BY15=BW$5&amp;BY$5&amp;BX$5,BW15&amp;BX15&amp;BY15=BX$5&amp;BW$5&amp;BY$5,BW15&amp;BX15&amp;BY15=BX$5&amp;BY$5&amp;BW$5,BW15&amp;BX15&amp;BY15=BY$5&amp;BW$5&amp;BX$5,BW15&amp;BX15&amp;BY15=BY$5&amp;BX$5&amp;BW$5),2,0),IF(AND(BW15=BW$5,BX$6&gt;=$D$129),1,0),IF(AND(BX15=BW$5,BX$6&gt;=$D$129),1,0),IF(AND(BY15=BW$5,BX$6&gt;=$D$129),1,0),IF(BW15&amp;BZ15=BZ$5,4,0),IF(AND(BW15=BW$5,BX$6&lt;=$D$104),-0.5,0),IF(AND(BX15=BW$5,BX$6&lt;=$D$104),-0.5,0),IF(AND(BY15=BW$5,BX$6&lt;=$D$104),-0.5,0))</f>
        <v/>
      </c>
      <c r="CB15" s="416" t="n"/>
      <c r="CC15" s="418" t="n"/>
      <c r="CD15" s="418" t="n"/>
      <c r="CE15" s="418" t="n"/>
      <c r="CF15" s="602">
        <f>SUM(IF(CB15=CB$5,4,0),IF(CB15&amp;CC15=CB$5&amp;CC$5,1,0),
IF(AND(CB15=CB$5,CC$6&gt;=$D$115),1,0),
IF(AND(CC15=CB$5,CC$6&gt;=$D$115),1,0),
IF(AND(CD15=CB$5,CC$6&gt;=$D$115),1,0),
IF(CB15&amp;CE15=CF$5,1,0),
IF(CC15=CB$5,2,0),
IF(CD15=CB$5,1,0),
IF(OR(CB15&amp;CC15&amp;CD15=CB$5&amp;CC$5&amp;CD$5,CB15&amp;CC15&amp;CD15=CB$5&amp;CD$5&amp;CC$5,CB15&amp;CC15&amp;CD15=CC$5&amp;CB$5&amp;CD$5,CB15&amp;CC15&amp;CD15=CC$5&amp;CD$5&amp;CB$5,CB15&amp;CC15&amp;CD15=CD$5&amp;CB$5&amp;CC$5,CB15&amp;CC15&amp;CD15=CD$5&amp;CC$5&amp;CB$5),2,0),IF(AND(CB15=CB$5,CC$6&gt;=$D$129),1,0),IF(AND(CC15=CB$5,CC$6&gt;=$D$129),1,0),IF(AND(CD15=CB$5,CC$6&gt;=$D$129),1,0),IF(CB15&amp;CE15=CE$5,4,0),IF(AND(CB15=CB$5,CC$6&lt;=$D$104),-0.5,0),IF(AND(CC15=CB$5,CC$6&lt;=$D$104),-0.5,0),IF(AND(CD15=CB$5,CC$6&lt;=$D$104),-0.5,0))</f>
        <v/>
      </c>
      <c r="CG15" s="164">
        <f>IF(SEMANA2[[#This Row],[1]]="",0,$B$4)</f>
        <v/>
      </c>
      <c r="CH15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5" s="166">
        <f>IF(SEMANA2[[#This Row],[Columna14]]=0,0,(CH15/CG15))</f>
        <v/>
      </c>
      <c r="CJ15" s="165">
        <f>IF(SEMANA2[[#This Row],[1]]="",0,$B$4)</f>
        <v/>
      </c>
      <c r="CK15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5" s="166">
        <f>IF(SEMANA2[[#This Row],[Columna14]]=0,0,(CK15/CJ15))</f>
        <v/>
      </c>
      <c r="CM15" s="164">
        <f>IF(SEMANA2[[#This Row],[1]]="",0,$B$4)</f>
        <v/>
      </c>
      <c r="CN15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5" s="166">
        <f>IF(SEMANA2[[#This Row],[Columna14]]=0,0,(CN15/CM15))</f>
        <v/>
      </c>
      <c r="CP15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5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Row],[Columna25]],$AX$5,BA15,"SF")+COUNTIFS(SEMANA2[[#This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5" s="166">
        <f>IFERROR(IF(SEMANA2[[#This Row],[Columna14]]=0,0,(CQ15/CP15)),0)</f>
        <v/>
      </c>
      <c r="CS15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5" s="95">
        <f>_xlfn.XLOOKUP(SEMANA2[[#This Row],[COD]],BASE01[COD],BASE01[Columna33])</f>
        <v/>
      </c>
      <c r="CU15" s="604">
        <f>SUM(CS15,CT15)</f>
        <v/>
      </c>
      <c r="CV15" s="450">
        <f>IF(SEMANA2[[#This Row],[TIPO]]="PREMIO",$O$3,"0,00")</f>
        <v/>
      </c>
      <c r="CW15" s="576" t="n"/>
      <c r="CY15" s="393" t="n">
        <v>8</v>
      </c>
      <c r="CZ15" s="354">
        <f>AO$6</f>
        <v/>
      </c>
      <c r="DB15" s="605">
        <f>SEMANA2[[#This Row],[COD]]</f>
        <v/>
      </c>
      <c r="DC15" s="395">
        <f t="array" ref="DC15">IFERROR(IF(AND(INDEX($E$8:$CE$57, MATCH($C15, $C$8:$C$57, 0), (COLUMNS($DC15:DC15)-1)*5 + 1) = INDEX($E$5:$CE$5, 1, (COLUMNS($DC15:DC15)-1)*5 + 1), INDEX($E$8:$CE$57, MATCH($C15, $C$8:$C$57, 0), (COLUMNS($DC15:DC15)-1)*5 + 4) = "F"), INDEX($CZ$8:$CZ$23, COLUMNS($DC15:DC15)), "0"), "")</f>
        <v/>
      </c>
      <c r="DD15" s="395">
        <f t="array" ref="DD15">IFERROR(IF(AND(INDEX($E$8:$CE$57, MATCH($C15, $C$8:$C$57, 0), (COLUMNS($DC15:DD15)-1)*5 + 1) = INDEX($E$5:$CE$5, 1, (COLUMNS($DC15:DD15)-1)*5 + 1), INDEX($E$8:$CE$57, MATCH($C15, $C$8:$C$57, 0), (COLUMNS($DC15:DD15)-1)*5 + 4) = "F"), INDEX($CZ$8:$CZ$23, COLUMNS($DC15:DD15)), "0"), "")</f>
        <v/>
      </c>
      <c r="DE15" s="395">
        <f t="array" ref="DE15">IFERROR(IF(AND(INDEX($E$8:$CE$57, MATCH($C15, $C$8:$C$57, 0), (COLUMNS($DC15:DE15)-1)*5 + 1) = INDEX($E$5:$CE$5, 1, (COLUMNS($DC15:DE15)-1)*5 + 1), INDEX($E$8:$CE$57, MATCH($C15, $C$8:$C$57, 0), (COLUMNS($DC15:DE15)-1)*5 + 4) = "F"), INDEX($CZ$8:$CZ$23, COLUMNS($DC15:DE15)), "0"), "")</f>
        <v/>
      </c>
      <c r="DF15" s="395">
        <f t="array" ref="DF15">IFERROR(IF(AND(INDEX($E$8:$CE$57, MATCH($C15, $C$8:$C$57, 0), (COLUMNS($DC15:DF15)-1)*5 + 1) = INDEX($E$5:$CE$5, 1, (COLUMNS($DC15:DF15)-1)*5 + 1), INDEX($E$8:$CE$57, MATCH($C15, $C$8:$C$57, 0), (COLUMNS($DC15:DF15)-1)*5 + 4) = "F"), INDEX($CZ$8:$CZ$23, COLUMNS($DC15:DF15)), "0"), "")</f>
        <v/>
      </c>
      <c r="DG15" s="395">
        <f t="array" ref="DG15">IFERROR(IF(AND(INDEX($E$8:$CE$57, MATCH($C15, $C$8:$C$57, 0), (COLUMNS($DC15:DG15)-1)*5 + 1) = INDEX($E$5:$CE$5, 1, (COLUMNS($DC15:DG15)-1)*5 + 1), INDEX($E$8:$CE$57, MATCH($C15, $C$8:$C$57, 0), (COLUMNS($DC15:DG15)-1)*5 + 4) = "F"), INDEX($CZ$8:$CZ$23, COLUMNS($DC15:DG15)), "0"), "")</f>
        <v/>
      </c>
      <c r="DH15" s="395">
        <f t="array" ref="DH15">IFERROR(IF(AND(INDEX($E$8:$CE$57, MATCH($C15, $C$8:$C$57, 0), (COLUMNS($DC15:DH15)-1)*5 + 1) = INDEX($E$5:$CE$5, 1, (COLUMNS($DC15:DH15)-1)*5 + 1), INDEX($E$8:$CE$57, MATCH($C15, $C$8:$C$57, 0), (COLUMNS($DC15:DH15)-1)*5 + 4) = "F"), INDEX($CZ$8:$CZ$23, COLUMNS($DC15:DH15)), "0"), "")</f>
        <v/>
      </c>
      <c r="DI15" s="395">
        <f t="array" ref="DI15">IFERROR(IF(AND(INDEX($E$8:$CE$57, MATCH($C15, $C$8:$C$57, 0), (COLUMNS($DC15:DI15)-1)*5 + 1) = INDEX($E$5:$CE$5, 1, (COLUMNS($DC15:DI15)-1)*5 + 1), INDEX($E$8:$CE$57, MATCH($C15, $C$8:$C$57, 0), (COLUMNS($DC15:DI15)-1)*5 + 4) = "F"), INDEX($CZ$8:$CZ$23, COLUMNS($DC15:DI15)), "0"), "")</f>
        <v/>
      </c>
      <c r="DJ15" s="395">
        <f t="array" ref="DJ15">IFERROR(IF(AND(INDEX($E$8:$CE$57, MATCH($C15, $C$8:$C$57, 0), (COLUMNS($DC15:DJ15)-1)*5 + 1) = INDEX($E$5:$CE$5, 1, (COLUMNS($DC15:DJ15)-1)*5 + 1), INDEX($E$8:$CE$57, MATCH($C15, $C$8:$C$57, 0), (COLUMNS($DC15:DJ15)-1)*5 + 4) = "F"), INDEX($CZ$8:$CZ$23, COLUMNS($DC15:DJ15)), "0"), "")</f>
        <v/>
      </c>
      <c r="DK15" s="395">
        <f t="array" ref="DK15">IFERROR(IF(AND(INDEX($E$8:$CE$57, MATCH($C15, $C$8:$C$57, 0), (COLUMNS($DC15:DK15)-1)*5 + 1) = INDEX($E$5:$CE$5, 1, (COLUMNS($DC15:DK15)-1)*5 + 1), INDEX($E$8:$CE$57, MATCH($C15, $C$8:$C$57, 0), (COLUMNS($DC15:DK15)-1)*5 + 4) = "F"), INDEX($CZ$8:$CZ$23, COLUMNS($DC15:DK15)), "0"), "")</f>
        <v/>
      </c>
      <c r="DL15" s="395">
        <f t="array" ref="DL15">IFERROR(IF(AND(INDEX($E$8:$CE$57, MATCH($C15, $C$8:$C$57, 0), (COLUMNS($DC15:DL15)-1)*5 + 1) = INDEX($E$5:$CE$5, 1, (COLUMNS($DC15:DL15)-1)*5 + 1), INDEX($E$8:$CE$57, MATCH($C15, $C$8:$C$57, 0), (COLUMNS($DC15:DL15)-1)*5 + 4) = "F"), INDEX($CZ$8:$CZ$23, COLUMNS($DC15:DL15)), "0"), "")</f>
        <v/>
      </c>
      <c r="DM15" s="395">
        <f t="array" ref="DM15">IFERROR(IF(AND(INDEX($E$8:$CE$57, MATCH($C15, $C$8:$C$57, 0), (COLUMNS($DC15:DM15)-1)*5 + 1) = INDEX($E$5:$CE$5, 1, (COLUMNS($DC15:DM15)-1)*5 + 1), INDEX($E$8:$CE$57, MATCH($C15, $C$8:$C$57, 0), (COLUMNS($DC15:DM15)-1)*5 + 4) = "F"), INDEX($CZ$8:$CZ$23, COLUMNS($DC15:DM15)), "0"), "")</f>
        <v/>
      </c>
      <c r="DN15" s="395">
        <f t="array" ref="DN15">IFERROR(IF(AND(INDEX($E$8:$CE$57, MATCH($C15, $C$8:$C$57, 0), (COLUMNS($DC15:DN15)-1)*5 + 1) = INDEX($E$5:$CE$5, 1, (COLUMNS($DC15:DN15)-1)*5 + 1), INDEX($E$8:$CE$57, MATCH($C15, $C$8:$C$57, 0), (COLUMNS($DC15:DN15)-1)*5 + 4) = "F"), INDEX($CZ$8:$CZ$23, COLUMNS($DC15:DN15)), "0"), "")</f>
        <v/>
      </c>
      <c r="DO15" s="395">
        <f t="array" ref="DO15">IFERROR(IF(AND(INDEX($E$8:$CE$57, MATCH($C15, $C$8:$C$57, 0), (COLUMNS($DC15:DO15)-1)*5 + 1) = INDEX($E$5:$CE$5, 1, (COLUMNS($DC15:DO15)-1)*5 + 1), INDEX($E$8:$CE$57, MATCH($C15, $C$8:$C$57, 0), (COLUMNS($DC15:DO15)-1)*5 + 4) = "F"), INDEX($CZ$8:$CZ$23, COLUMNS($DC15:DO15)), "0"), "")</f>
        <v/>
      </c>
      <c r="DP15" s="395">
        <f t="array" ref="DP15">IFERROR(IF(AND(INDEX($E$8:$CE$57, MATCH($C15, $C$8:$C$57, 0), (COLUMNS($DC15:DP15)-1)*5 + 1) = INDEX($E$5:$CE$5, 1, (COLUMNS($DC15:DP15)-1)*5 + 1), INDEX($E$8:$CE$57, MATCH($C15, $C$8:$C$57, 0), (COLUMNS($DC15:DP15)-1)*5 + 4) = "F"), INDEX($CZ$8:$CZ$23, COLUMNS($DC15:DP15)), "0"), "")</f>
        <v/>
      </c>
      <c r="DQ15" s="395">
        <f t="array" ref="DQ15">IFERROR(IF(AND(INDEX($E$8:$CE$57, MATCH($C15, $C$8:$C$57, 0), (COLUMNS($DC15:DQ15)-1)*5 + 1) = INDEX($E$5:$CE$5, 1, (COLUMNS($DC15:DQ15)-1)*5 + 1), INDEX($E$8:$CE$57, MATCH($C15, $C$8:$C$57, 0), (COLUMNS($DC15:DQ15)-1)*5 + 4) = "F"), INDEX($CZ$8:$CZ$23, COLUMNS($DC15:DQ15)), "0"), "")</f>
        <v/>
      </c>
      <c r="DR15" s="395">
        <f t="array" ref="DR15">IFERROR(IF(AND(INDEX($E$8:$CE$57, MATCH($C15, $C$8:$C$57, 0), (COLUMNS($DC15:DR15)-1)*5 + 1) = INDEX($E$5:$CE$5, 1, (COLUMNS($DC15:DR15)-1)*5 + 1), INDEX($E$8:$CE$57, MATCH($C15, $C$8:$C$57, 0), (COLUMNS($DC15:DR15)-1)*5 + 4) = "F"), INDEX($CZ$8:$CZ$23, COLUMNS($DC15:DR15)), "0"), "")</f>
        <v/>
      </c>
      <c r="DT15" s="605">
        <f>SEMANA2[[#This Row],[COD]]</f>
        <v/>
      </c>
      <c r="DU15" s="395">
        <f t="array" ref="DU15">IFERROR(IF(AND(INDEX($E$8:$CE$57, MATCH($C15, $C$8:$C$57, 0), (COLUMNS($DU15:DU15)-1)*5 + 1) = INDEX($E$5:$CE$5, 1, (COLUMNS($DU15:DU15)-1)*5 + 1), INDEX($E$8:$CE$57, MATCH($C15, $C$8:$C$57, 0), (COLUMNS($DU15:DU15)-1)*5 + 4) = "SF"), INDEX($CZ$8:$CZ$23, COLUMNS($DU15:DU15)), "0"), "")</f>
        <v/>
      </c>
      <c r="DV15" s="395">
        <f t="array" ref="DV15">IFERROR(IF(AND(INDEX($E$8:$CE$57, MATCH($C15, $C$8:$C$57, 0), (COLUMNS($DU15:DV15)-1)*5 + 1) = INDEX($E$5:$CE$5, 1, (COLUMNS($DU15:DV15)-1)*5 + 1), INDEX($E$8:$CE$57, MATCH($C15, $C$8:$C$57, 0), (COLUMNS($DU15:DV15)-1)*5 + 4) = "SF"), INDEX($CZ$8:$CZ$23, COLUMNS($DU15:DV15)), "0"), "")</f>
        <v/>
      </c>
      <c r="DW15" s="395">
        <f t="array" ref="DW15">IFERROR(IF(AND(INDEX($E$8:$CE$57, MATCH($C15, $C$8:$C$57, 0), (COLUMNS($DU15:DW15)-1)*5 + 1) = INDEX($E$5:$CE$5, 1, (COLUMNS($DU15:DW15)-1)*5 + 1), INDEX($E$8:$CE$57, MATCH($C15, $C$8:$C$57, 0), (COLUMNS($DU15:DW15)-1)*5 + 4) = "SF"), INDEX($CZ$8:$CZ$23, COLUMNS($DU15:DW15)), "0"), "")</f>
        <v/>
      </c>
      <c r="DX15" s="395">
        <f t="array" ref="DX15">IFERROR(IF(AND(INDEX($E$8:$CE$57, MATCH($C15, $C$8:$C$57, 0), (COLUMNS($DU15:DX15)-1)*5 + 1) = INDEX($E$5:$CE$5, 1, (COLUMNS($DU15:DX15)-1)*5 + 1), INDEX($E$8:$CE$57, MATCH($C15, $C$8:$C$57, 0), (COLUMNS($DU15:DX15)-1)*5 + 4) = "SF"), INDEX($CZ$8:$CZ$23, COLUMNS($DU15:DX15)), "0"), "")</f>
        <v/>
      </c>
      <c r="DY15" s="395">
        <f t="array" ref="DY15">IFERROR(IF(AND(INDEX($E$8:$CE$57, MATCH($C15, $C$8:$C$57, 0), (COLUMNS($DU15:DY15)-1)*5 + 1) = INDEX($E$5:$CE$5, 1, (COLUMNS($DU15:DY15)-1)*5 + 1), INDEX($E$8:$CE$57, MATCH($C15, $C$8:$C$57, 0), (COLUMNS($DU15:DY15)-1)*5 + 4) = "SF"), INDEX($CZ$8:$CZ$23, COLUMNS($DU15:DY15)), "0"), "")</f>
        <v/>
      </c>
      <c r="DZ15" s="395">
        <f t="array" ref="DZ15">IFERROR(IF(AND(INDEX($E$8:$CE$57, MATCH($C15, $C$8:$C$57, 0), (COLUMNS($DU15:DZ15)-1)*5 + 1) = INDEX($E$5:$CE$5, 1, (COLUMNS($DU15:DZ15)-1)*5 + 1), INDEX($E$8:$CE$57, MATCH($C15, $C$8:$C$57, 0), (COLUMNS($DU15:DZ15)-1)*5 + 4) = "SF"), INDEX($CZ$8:$CZ$23, COLUMNS($DU15:DZ15)), "0"), "")</f>
        <v/>
      </c>
      <c r="EA15" s="395">
        <f t="array" ref="EA15">IFERROR(IF(AND(INDEX($E$8:$CE$57, MATCH($C15, $C$8:$C$57, 0), (COLUMNS($DU15:EA15)-1)*5 + 1) = INDEX($E$5:$CE$5, 1, (COLUMNS($DU15:EA15)-1)*5 + 1), INDEX($E$8:$CE$57, MATCH($C15, $C$8:$C$57, 0), (COLUMNS($DU15:EA15)-1)*5 + 4) = "SF"), INDEX($CZ$8:$CZ$23, COLUMNS($DU15:EA15)), "0"), "")</f>
        <v/>
      </c>
      <c r="EB15" s="395">
        <f t="array" ref="EB15">IFERROR(IF(AND(INDEX($E$8:$CE$57, MATCH($C15, $C$8:$C$57, 0), (COLUMNS($DU15:EB15)-1)*5 + 1) = INDEX($E$5:$CE$5, 1, (COLUMNS($DU15:EB15)-1)*5 + 1), INDEX($E$8:$CE$57, MATCH($C15, $C$8:$C$57, 0), (COLUMNS($DU15:EB15)-1)*5 + 4) = "SF"), INDEX($CZ$8:$CZ$23, COLUMNS($DU15:EB15)), "0"), "")</f>
        <v/>
      </c>
      <c r="EC15" s="395">
        <f t="array" ref="EC15">IFERROR(IF(AND(INDEX($E$8:$CE$57, MATCH($C15, $C$8:$C$57, 0), (COLUMNS($DU15:EC15)-1)*5 + 1) = INDEX($E$5:$CE$5, 1, (COLUMNS($DU15:EC15)-1)*5 + 1), INDEX($E$8:$CE$57, MATCH($C15, $C$8:$C$57, 0), (COLUMNS($DU15:EC15)-1)*5 + 4) = "SF"), INDEX($CZ$8:$CZ$23, COLUMNS($DU15:EC15)), "0"), "")</f>
        <v/>
      </c>
      <c r="ED15" s="395">
        <f t="array" ref="ED15">IFERROR(IF(AND(INDEX($E$8:$CE$57, MATCH($C15, $C$8:$C$57, 0), (COLUMNS($DU15:ED15)-1)*5 + 1) = INDEX($E$5:$CE$5, 1, (COLUMNS($DU15:ED15)-1)*5 + 1), INDEX($E$8:$CE$57, MATCH($C15, $C$8:$C$57, 0), (COLUMNS($DU15:ED15)-1)*5 + 4) = "SF"), INDEX($CZ$8:$CZ$23, COLUMNS($DU15:ED15)), "0"), "")</f>
        <v/>
      </c>
      <c r="EE15" s="395">
        <f t="array" ref="EE15">IFERROR(IF(AND(INDEX($E$8:$CE$57, MATCH($C15, $C$8:$C$57, 0), (COLUMNS($DU15:EE15)-1)*5 + 1) = INDEX($E$5:$CE$5, 1, (COLUMNS($DU15:EE15)-1)*5 + 1), INDEX($E$8:$CE$57, MATCH($C15, $C$8:$C$57, 0), (COLUMNS($DU15:EE15)-1)*5 + 4) = "SF"), INDEX($CZ$8:$CZ$23, COLUMNS($DU15:EE15)), "0"), "")</f>
        <v/>
      </c>
      <c r="EF15" s="395">
        <f t="array" ref="EF15">IFERROR(IF(AND(INDEX($E$8:$CE$57, MATCH($C15, $C$8:$C$57, 0), (COLUMNS($DU15:EF15)-1)*5 + 1) = INDEX($E$5:$CE$5, 1, (COLUMNS($DU15:EF15)-1)*5 + 1), INDEX($E$8:$CE$57, MATCH($C15, $C$8:$C$57, 0), (COLUMNS($DU15:EF15)-1)*5 + 4) = "SF"), INDEX($CZ$8:$CZ$23, COLUMNS($DU15:EF15)), "0"), "")</f>
        <v/>
      </c>
      <c r="EG15" s="395">
        <f t="array" ref="EG15">IFERROR(IF(AND(INDEX($E$8:$CE$57, MATCH($C15, $C$8:$C$57, 0), (COLUMNS($DU15:EG15)-1)*5 + 1) = INDEX($E$5:$CE$5, 1, (COLUMNS($DU15:EG15)-1)*5 + 1), INDEX($E$8:$CE$57, MATCH($C15, $C$8:$C$57, 0), (COLUMNS($DU15:EG15)-1)*5 + 4) = "SF"), INDEX($CZ$8:$CZ$23, COLUMNS($DU15:EG15)), "0"), "")</f>
        <v/>
      </c>
      <c r="EH15" s="395">
        <f t="array" ref="EH15">IFERROR(IF(AND(INDEX($E$8:$CE$57, MATCH($C15, $C$8:$C$57, 0), (COLUMNS($DU15:EH15)-1)*5 + 1) = INDEX($E$5:$CE$5, 1, (COLUMNS($DU15:EH15)-1)*5 + 1), INDEX($E$8:$CE$57, MATCH($C15, $C$8:$C$57, 0), (COLUMNS($DU15:EH15)-1)*5 + 4) = "SF"), INDEX($CZ$8:$CZ$23, COLUMNS($DU15:EH15)), "0"), "")</f>
        <v/>
      </c>
      <c r="EI15" s="395">
        <f t="array" ref="EI15">IFERROR(IF(AND(INDEX($E$8:$CE$57, MATCH($C15, $C$8:$C$57, 0), (COLUMNS($DU15:EI15)-1)*5 + 1) = INDEX($E$5:$CE$5, 1, (COLUMNS($DU15:EI15)-1)*5 + 1), INDEX($E$8:$CE$57, MATCH($C15, $C$8:$C$57, 0), (COLUMNS($DU15:EI15)-1)*5 + 4) = "SF"), INDEX($CZ$8:$CZ$23, COLUMNS($DU15:EI15)), "0"), "")</f>
        <v/>
      </c>
      <c r="EJ15" s="395">
        <f t="array" ref="EJ15">IFERROR(IF(AND(INDEX($E$8:$CE$57, MATCH($C15, $C$8:$C$57, 0), (COLUMNS($DU15:EJ15)-1)*5 + 1) = INDEX($E$5:$CE$5, 1, (COLUMNS($DU15:EJ15)-1)*5 + 1), INDEX($E$8:$CE$57, MATCH($C15, $C$8:$C$57, 0), (COLUMNS($DU15:EJ15)-1)*5 + 4) = "SF"), INDEX($CZ$8:$CZ$23, COLUMNS($DU15:EJ15)), "0"), "")</f>
        <v/>
      </c>
    </row>
    <row r="16" ht="20.1" customHeight="1" s="568">
      <c r="A16" s="576" t="n"/>
      <c r="B16" s="449">
        <f>IF(SEMANA2[[#This Row],[COD]]&lt;&gt;"",B15+1,"")</f>
        <v/>
      </c>
      <c r="C16" s="622" t="inlineStr">
        <is>
          <t>COD 09</t>
        </is>
      </c>
      <c r="D16" s="415">
        <f t="array" ref="D16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6" s="416" t="n">
        <v>9</v>
      </c>
      <c r="F16" s="418" t="n">
        <v>6</v>
      </c>
      <c r="G16" s="418" t="n">
        <v>2</v>
      </c>
      <c r="H16" s="418" t="n"/>
      <c r="I16" s="602">
        <f>SUM(IF(E16=E$5,4,0),IF(E16&amp;F16=E$5&amp;F$5,1,0),
IF(AND(E16=E$5,F$6&gt;=$D$115),1,0),
IF(AND(F16=E$5,F$6&gt;=$D$115),1,0),
IF(AND(G16=E$5,F$6&gt;=$D$115),1,0),
IF(E16&amp;H16=I$5,1,0),
IF(F16=E$5,2,0),
IF(G16=E$5,1,0),
IF(OR(E16&amp;F16&amp;G16=E$5&amp;F$5&amp;G$5,E16&amp;F16&amp;G16=E$5&amp;G$5&amp;F$5,E16&amp;F16&amp;G16=F$5&amp;E$5&amp;G$5,E16&amp;F16&amp;G16=F$5&amp;G$5&amp;E$5,E16&amp;F16&amp;G16=G$5&amp;E$5&amp;F$5,E16&amp;F16&amp;G16=G$5&amp;F$5&amp;E$5),2,0),IF(AND(E16=E$5,F$6&gt;=$D$129),1,0),IF(AND(F16=E$5,F$6&gt;=$D$129),1,0),IF(AND(G16=E$5,F$6&gt;=$D$129),1,0),IF(E16&amp;H16=H$5,4,0),IF(AND(E16=E$5,F$6&lt;=$D$104),-0.5,0),IF(AND(F16=E$5,F$6&lt;=$D$104),-0.5,0),IF(AND(G16=E$5,F$6&lt;=$D$104),-0.5,0))</f>
        <v/>
      </c>
      <c r="J16" s="416" t="n">
        <v>1</v>
      </c>
      <c r="K16" s="418" t="n">
        <v>10</v>
      </c>
      <c r="L16" s="418" t="n">
        <v>7</v>
      </c>
      <c r="M16" s="418" t="n"/>
      <c r="N16" s="602">
        <f>SUM(IF(J16=J$5,4,0),IF(J16&amp;K16=J$5&amp;K$5,1,0),
IF(AND(J16=J$5,K$6&gt;=$D$115),1,0),
IF(AND(K16=J$5,K$6&gt;=$D$115),1,0),
IF(AND(L16=J$5,K$6&gt;=$D$115),1,0),
IF(J16&amp;M16=N$5,1,0),
IF(K16=J$5,2,0),
IF(L16=J$5,1,0),
IF(OR(J16&amp;K16&amp;L16=J$5&amp;K$5&amp;L$5,J16&amp;K16&amp;L16=J$5&amp;L$5&amp;K$5,J16&amp;K16&amp;L16=K$5&amp;J$5&amp;L$5,J16&amp;K16&amp;L16=K$5&amp;L$5&amp;J$5,J16&amp;K16&amp;L16=L$5&amp;J$5&amp;K$5,J16&amp;K16&amp;L16=L$5&amp;K$5&amp;J$5),2,0),IF(AND(J16=J$5,K$6&gt;=$D$129),1,0),IF(AND(K16=J$5,K$6&gt;=$D$129),1,0),IF(AND(L16=J$5,K$6&gt;=$D$129),1,0),IF(J16&amp;M16=M$5,4,0),IF(AND(J16=J$5,K$6&lt;=$D$104),-0.5,0),IF(AND(K16=J$5,K$6&lt;=$D$104),-0.5,0),IF(AND(L16=J$5,K$6&lt;=$D$104),-0.5,0))</f>
        <v/>
      </c>
      <c r="O16" s="416" t="n">
        <v>5</v>
      </c>
      <c r="P16" s="418" t="n">
        <v>8</v>
      </c>
      <c r="Q16" s="418" t="n">
        <v>1</v>
      </c>
      <c r="R16" s="418" t="n"/>
      <c r="S16" s="602">
        <f>SUM(IF(O16=O$5,4,0),IF(O16&amp;P16=O$5&amp;P$5,1,0),
IF(AND(O16=O$5,P$6&gt;=$D$115),1,0),
IF(AND(P16=O$5,P$6&gt;=$D$115),1,0),
IF(AND(Q16=O$5,P$6&gt;=$D$115),1,0),
IF(O16&amp;R16=S$5,1,0),
IF(P16=O$5,2,0),
IF(Q16=O$5,1,0),
IF(OR(O16&amp;P16&amp;Q16=O$5&amp;P$5&amp;Q$5,O16&amp;P16&amp;Q16=O$5&amp;Q$5&amp;P$5,O16&amp;P16&amp;Q16=P$5&amp;O$5&amp;Q$5,O16&amp;P16&amp;Q16=P$5&amp;Q$5&amp;O$5,O16&amp;P16&amp;Q16=Q$5&amp;O$5&amp;P$5,O16&amp;P16&amp;Q16=Q$5&amp;P$5&amp;O$5),2,0),IF(AND(O16=O$5,P$6&gt;=$D$129),1,0),IF(AND(P16=O$5,P$6&gt;=$D$129),1,0),IF(AND(Q16=O$5,P$6&gt;=$D$129),1,0),IF(O16&amp;R16=R$5,4,0),IF(AND(O16=O$5,P$6&lt;=$D$104),-0.5,0),IF(AND(P16=O$5,P$6&lt;=$D$104),-0.5,0),IF(AND(Q16=O$5,P$6&lt;=$D$104),-0.5,0))</f>
        <v/>
      </c>
      <c r="T16" s="416" t="n">
        <v>3</v>
      </c>
      <c r="U16" s="418" t="n">
        <v>4</v>
      </c>
      <c r="V16" s="418" t="n">
        <v>5</v>
      </c>
      <c r="W16" s="418" t="inlineStr">
        <is>
          <t>F</t>
        </is>
      </c>
      <c r="X16" s="602">
        <f>SUM(IF(T16=T$5,4,0),IF(T16&amp;U16=T$5&amp;U$5,1,0),
IF(AND(T16=T$5,U$6&gt;=$D$115),1,0),
IF(AND(U16=T$5,U$6&gt;=$D$115),1,0),
IF(AND(V16=T$5,U$6&gt;=$D$115),1,0),
IF(T16&amp;W16=X$5,1,0),
IF(U16=T$5,2,0),
IF(V16=T$5,1,0),
IF(OR(T16&amp;U16&amp;V16=T$5&amp;U$5&amp;V$5,T16&amp;U16&amp;V16=T$5&amp;V$5&amp;U$5,T16&amp;U16&amp;V16=U$5&amp;T$5&amp;V$5,T16&amp;U16&amp;V16=U$5&amp;V$5&amp;T$5,T16&amp;U16&amp;V16=V$5&amp;T$5&amp;U$5,T16&amp;U16&amp;V16=V$5&amp;U$5&amp;T$5),2,0),IF(AND(T16=T$5,U$6&gt;=$D$129),1,0),IF(AND(U16=T$5,U$6&gt;=$D$129),1,0),IF(AND(V16=T$5,U$6&gt;=$D$129),1,0),IF(T16&amp;W16=W$5,4,0),IF(AND(T16=T$5,U$6&lt;=$D$104),-0.5,0),IF(AND(U16=T$5,U$6&lt;=$D$104),-0.5,0),IF(AND(V16=T$5,U$6&lt;=$D$104),-0.5,0))</f>
        <v/>
      </c>
      <c r="Y16" s="416" t="n">
        <v>2</v>
      </c>
      <c r="Z16" s="418" t="n">
        <v>7</v>
      </c>
      <c r="AA16" s="418" t="n">
        <v>6</v>
      </c>
      <c r="AB16" s="418" t="n"/>
      <c r="AC16" s="602">
        <f>SUM(IF(Y16=Y$5,4,0),IF(Y16&amp;Z16=Y$5&amp;Z$5,1,0),
IF(AND(Y16=Y$5,Z$6&gt;=$D$115),1,0),
IF(AND(Z16=Y$5,Z$6&gt;=$D$115),1,0),
IF(AND(AA16=Y$5,Z$6&gt;=$D$115),1,0),
IF(Y16&amp;AB16=AC$5,1,0),
IF(Z16=Y$5,2,0),
IF(AA16=Y$5,1,0),
IF(OR(Y16&amp;Z16&amp;AA16=Y$5&amp;Z$5&amp;AA$5,Y16&amp;Z16&amp;AA16=Y$5&amp;AA$5&amp;Z$5,Y16&amp;Z16&amp;AA16=Z$5&amp;Y$5&amp;AA$5,Y16&amp;Z16&amp;AA16=Z$5&amp;AA$5&amp;Y$5,Y16&amp;Z16&amp;AA16=AA$5&amp;Y$5&amp;Z$5,Y16&amp;Z16&amp;AA16=AA$5&amp;Z$5&amp;Y$5),2,0),IF(AND(Y16=Y$5,Z$6&gt;=$D$129),1,0),IF(AND(Z16=Y$5,Z$6&gt;=$D$129),1,0),IF(AND(AA16=Y$5,Z$6&gt;=$D$129),1,0),IF(Y16&amp;AB16=AB$5,4,0),IF(AND(Y16=Y$5,Z$6&lt;=$D$104),-0.5,0),IF(AND(Z16=Y$5,Z$6&lt;=$D$104),-0.5,0),IF(AND(AA16=Y$5,Z$6&lt;=$D$104),-0.5,0))</f>
        <v/>
      </c>
      <c r="AD16" s="416" t="n">
        <v>3</v>
      </c>
      <c r="AE16" s="418" t="n">
        <v>4</v>
      </c>
      <c r="AF16" s="418" t="n">
        <v>5</v>
      </c>
      <c r="AG16" s="418" t="n"/>
      <c r="AH16" s="602">
        <f>SUM(IF(AD16=AD$5,4,0),IF(AD16&amp;AE16=AD$5&amp;AE$5,1,0),
IF(AND(AD16=AD$5,AE$6&gt;=$D$115),1,0),
IF(AND(AE16=AD$5,AE$6&gt;=$D$115),1,0),
IF(AND(AF16=AD$5,AE$6&gt;=$D$115),1,0),
IF(AD16&amp;AG16=AH$5,1,0),
IF(AE16=AD$5,2,0),
IF(AF16=AD$5,1,0),
IF(OR(AD16&amp;AE16&amp;AF16=AD$5&amp;AE$5&amp;AF$5,AD16&amp;AE16&amp;AF16=AD$5&amp;AF$5&amp;AE$5,AD16&amp;AE16&amp;AF16=AE$5&amp;AD$5&amp;AF$5,AD16&amp;AE16&amp;AF16=AE$5&amp;AF$5&amp;AD$5,AD16&amp;AE16&amp;AF16=AF$5&amp;AD$5&amp;AE$5,AD16&amp;AE16&amp;AF16=AF$5&amp;AE$5&amp;AD$5),2,0),IF(AND(AD16=AD$5,AE$6&gt;=$D$129),1,0),IF(AND(AE16=AD$5,AE$6&gt;=$D$129),1,0),IF(AND(AF16=AD$5,AE$6&gt;=$D$129),1,0),IF(AD16&amp;AG16=AG$5,4,0),IF(AND(AD16=AD$5,AE$6&lt;=$D$104),-0.5,0),IF(AND(AE16=AD$5,AE$6&lt;=$D$104),-0.5,0),IF(AND(AF16=AD$5,AE$6&lt;=$D$104),-0.5,0))</f>
        <v/>
      </c>
      <c r="AI16" s="416" t="n">
        <v>3</v>
      </c>
      <c r="AJ16" s="418" t="n">
        <v>7</v>
      </c>
      <c r="AK16" s="418" t="n">
        <v>6</v>
      </c>
      <c r="AL16" s="418" t="n"/>
      <c r="AM16" s="602">
        <f>SUM(IF(AI16=AI$5,4,0),IF(AI16&amp;AJ16=AI$5&amp;AJ$5,1,0),
IF(AND(AI16=AI$5,AJ$6&gt;=$D$115),1,0),
IF(AND(AJ16=AI$5,AJ$6&gt;=$D$115),1,0),
IF(AND(AK16=AI$5,AJ$6&gt;=$D$115),1,0),
IF(AI16&amp;AL16=AM$5,1,0),
IF(AJ16=AI$5,2,0),
IF(AK16=AI$5,1,0),
IF(OR(AI16&amp;AJ16&amp;AK16=AI$5&amp;AJ$5&amp;AK$5,AI16&amp;AJ16&amp;AK16=AI$5&amp;AK$5&amp;AJ$5,AI16&amp;AJ16&amp;AK16=AJ$5&amp;AI$5&amp;AK$5,AI16&amp;AJ16&amp;AK16=AJ$5&amp;AK$5&amp;AI$5,AI16&amp;AJ16&amp;AK16=AK$5&amp;AI$5&amp;AJ$5,AI16&amp;AJ16&amp;AK16=AK$5&amp;AJ$5&amp;AI$5),2,0),IF(AND(AI16=AI$5,AJ$6&gt;=$D$129),1,0),IF(AND(AJ16=AI$5,AJ$6&gt;=$D$129),1,0),IF(AND(AK16=AI$5,AJ$6&gt;=$D$129),1,0),IF(AI16&amp;AL16=AL$5,4,0),IF(AND(AI16=AI$5,AJ$6&lt;=$D$104),-0.5,0),IF(AND(AJ16=AI$5,AJ$6&lt;=$D$104),-0.5,0),IF(AND(AK16=AI$5,AJ$6&lt;=$D$104),-0.5,0))</f>
        <v/>
      </c>
      <c r="AN16" s="416" t="n">
        <v>8</v>
      </c>
      <c r="AO16" s="418" t="n"/>
      <c r="AP16" s="418" t="n"/>
      <c r="AQ16" s="418" t="inlineStr">
        <is>
          <t>SF</t>
        </is>
      </c>
      <c r="AR16" s="602">
        <f>SUM(IF(AN16=AN$5,4,0),IF(AN16&amp;AO16=AN$5&amp;AO$5,1,0),
IF(AND(AN16=AN$5,AO$6&gt;=$D$115),1,0),
IF(AND(AO16=AN$5,AO$6&gt;=$D$115),1,0),
IF(AND(AP16=AN$5,AO$6&gt;=$D$115),1,0),
IF(AN16&amp;AQ16=AR$5,1,0),
IF(AO16=AN$5,2,0),
IF(AP16=AN$5,1,0),
IF(OR(AN16&amp;AO16&amp;AP16=AN$5&amp;AO$5&amp;AP$5,AN16&amp;AO16&amp;AP16=AN$5&amp;AP$5&amp;AO$5,AN16&amp;AO16&amp;AP16=AO$5&amp;AN$5&amp;AP$5,AN16&amp;AO16&amp;AP16=AO$5&amp;AP$5&amp;AN$5,AN16&amp;AO16&amp;AP16=AP$5&amp;AN$5&amp;AO$5,AN16&amp;AO16&amp;AP16=AP$5&amp;AO$5&amp;AN$5),2,0),IF(AND(AN16=AN$5,AO$6&gt;=$D$129),1,0),IF(AND(AO16=AN$5,AO$6&gt;=$D$129),1,0),IF(AND(AP16=AN$5,AO$6&gt;=$D$129),1,0),IF(AN16&amp;AQ16=AQ$5,4,0),IF(AND(AN16=AN$5,AO$6&lt;=$D$104),-0.5,0),IF(AND(AO16=AN$5,AO$6&lt;=$D$104),-0.5,0),IF(AND(AP16=AN$5,AO$6&lt;=$D$104),-0.5,0))</f>
        <v/>
      </c>
      <c r="AS16" s="416" t="n">
        <v>1</v>
      </c>
      <c r="AT16" s="418" t="n">
        <v>6</v>
      </c>
      <c r="AU16" s="418" t="n">
        <v>2</v>
      </c>
      <c r="AV16" s="418" t="n"/>
      <c r="AW16" s="602">
        <f>SUM(IF(AS16=AS$5,4,0),IF(AS16&amp;AT16=AS$5&amp;AT$5,1,0),
IF(AND(AS16=AS$5,AT$6&gt;=$D$115),1,0),
IF(AND(AT16=AS$5,AT$6&gt;=$D$115),1,0),
IF(AND(AU16=AS$5,AT$6&gt;=$D$115),1,0),
IF(AS16&amp;AV16=AW$5,1,0),
IF(AT16=AS$5,2,0),
IF(AU16=AS$5,1,0),
IF(OR(AS16&amp;AT16&amp;AU16=AS$5&amp;AT$5&amp;AU$5,AS16&amp;AT16&amp;AU16=AS$5&amp;AU$5&amp;AT$5,AS16&amp;AT16&amp;AU16=AT$5&amp;AS$5&amp;AU$5,AS16&amp;AT16&amp;AU16=AT$5&amp;AU$5&amp;AS$5,AS16&amp;AT16&amp;AU16=AU$5&amp;AS$5&amp;AT$5,AS16&amp;AT16&amp;AU16=AU$5&amp;AT$5&amp;AS$5),2,0),IF(AND(AS16=AS$5,AT$6&gt;=$D$129),1,0),IF(AND(AT16=AS$5,AT$6&gt;=$D$129),1,0),IF(AND(AU16=AS$5,AT$6&gt;=$D$129),1,0),IF(AS16&amp;AV16=AV$5,4,0),IF(AND(AS16=AS$5,AT$6&lt;=$D$104),-0.5,0),IF(AND(AT16=AS$5,AT$6&lt;=$D$104),-0.5,0),IF(AND(AU16=AS$5,AT$6&lt;=$D$104),-0.5,0))</f>
        <v/>
      </c>
      <c r="AX16" s="416" t="n">
        <v>2</v>
      </c>
      <c r="AY16" s="418" t="n">
        <v>1</v>
      </c>
      <c r="AZ16" s="418" t="n">
        <v>6</v>
      </c>
      <c r="BA16" s="418" t="n"/>
      <c r="BB16" s="602">
        <f>SUM(IF(AX16=AX$5,4,0),IF(AX16&amp;AY16=AX$5&amp;AY$5,1,0),
IF(AND(AX16=AX$5,AY$6&gt;=$D$115),1,0),
IF(AND(AY16=AX$5,AY$6&gt;=$D$115),1,0),
IF(AND(AZ16=AX$5,AY$6&gt;=$D$115),1,0),
IF(AX16&amp;BA16=BB$5,1,0),
IF(AY16=AX$5,2,0),
IF(AZ16=AX$5,1,0),
IF(OR(AX16&amp;AY16&amp;AZ16=AX$5&amp;AY$5&amp;AZ$5,AX16&amp;AY16&amp;AZ16=AX$5&amp;AZ$5&amp;AY$5,AX16&amp;AY16&amp;AZ16=AY$5&amp;AX$5&amp;AZ$5,AX16&amp;AY16&amp;AZ16=AY$5&amp;AZ$5&amp;AX$5,AX16&amp;AY16&amp;AZ16=AZ$5&amp;AX$5&amp;AY$5,AX16&amp;AY16&amp;AZ16=AZ$5&amp;AY$5&amp;AX$5),2,0),IF(AND(AX16=AX$5,AY$6&gt;=$D$129),1,0),IF(AND(AY16=AX$5,AY$6&gt;=$D$129),1,0),IF(AND(AZ16=AX$5,AY$6&gt;=$D$129),1,0),IF(AX16&amp;BA16=BA$5,4,0),IF(AND(AX16=AX$5,AY$6&lt;=$D$104),-0.5,0),IF(AND(AY16=AX$5,AY$6&lt;=$D$104),-0.5,0),IF(AND(AZ16=AX$5,AY$6&lt;=$D$104),-0.5,0))</f>
        <v/>
      </c>
      <c r="BC16" s="416" t="n">
        <v>7</v>
      </c>
      <c r="BD16" s="418" t="n">
        <v>5</v>
      </c>
      <c r="BE16" s="418" t="n">
        <v>3</v>
      </c>
      <c r="BF16" s="418" t="inlineStr">
        <is>
          <t>F</t>
        </is>
      </c>
      <c r="BG16" s="602">
        <f>SUM(IF(BC16=BC$5,4,0),IF(BC16&amp;BD16=BC$5&amp;BD$5,1,0),
IF(AND(BC16=BC$5,BD$6&gt;=$D$115),1,0),
IF(AND(BD16=BC$5,BD$6&gt;=$D$115),1,0),
IF(AND(BE16=BC$5,BD$6&gt;=$D$115),1,0),
IF(BC16&amp;BF16=BG$5,1,0),
IF(BD16=BC$5,2,0),
IF(BE16=BC$5,1,0),
IF(OR(BC16&amp;BD16&amp;BE16=BC$5&amp;BD$5&amp;BE$5,BC16&amp;BD16&amp;BE16=BC$5&amp;BE$5&amp;BD$5,BC16&amp;BD16&amp;BE16=BD$5&amp;BC$5&amp;BE$5,BC16&amp;BD16&amp;BE16=BD$5&amp;BE$5&amp;BC$5,BC16&amp;BD16&amp;BE16=BE$5&amp;BC$5&amp;BD$5,BC16&amp;BD16&amp;BE16=BE$5&amp;BD$5&amp;BC$5),2,0),IF(AND(BC16=BC$5,BD$6&gt;=$D$129),1,0),IF(AND(BD16=BC$5,BD$6&gt;=$D$129),1,0),IF(AND(BE16=BC$5,BD$6&gt;=$D$129),1,0),IF(BC16&amp;BF16=BF$5,4,0),IF(AND(BC16=BC$5,BD$6&lt;=$D$104),-0.5,0),IF(AND(BD16=BC$5,BD$6&lt;=$D$104),-0.5,0),IF(AND(BE16=BC$5,BD$6&lt;=$D$104),-0.5,0))</f>
        <v/>
      </c>
      <c r="BH16" s="416" t="n">
        <v>1</v>
      </c>
      <c r="BI16" s="418" t="n">
        <v>6</v>
      </c>
      <c r="BJ16" s="418" t="n">
        <v>2</v>
      </c>
      <c r="BK16" s="418" t="n"/>
      <c r="BL16" s="602">
        <f>SUM(IF(BH16=BH$5,4,0),IF(BH16&amp;BI16=BH$5&amp;BI$5,1,0),
IF(AND(BH16=BH$5,BI$6&gt;=$D$115),1,0),
IF(AND(BI16=BH$5,BI$6&gt;=$D$115),1,0),
IF(AND(BJ16=BH$5,BI$6&gt;=$D$115),1,0),
IF(BH16&amp;BK16=BL$5,1,0),
IF(BI16=BH$5,2,0),
IF(BJ16=BH$5,1,0),
IF(OR(BH16&amp;BI16&amp;BJ16=BH$5&amp;BI$5&amp;BJ$5,BH16&amp;BI16&amp;BJ16=BH$5&amp;BJ$5&amp;BI$5,BH16&amp;BI16&amp;BJ16=BI$5&amp;BH$5&amp;BJ$5,BH16&amp;BI16&amp;BJ16=BI$5&amp;BJ$5&amp;BH$5,BH16&amp;BI16&amp;BJ16=BJ$5&amp;BH$5&amp;BI$5,BH16&amp;BI16&amp;BJ16=BJ$5&amp;BI$5&amp;BH$5),2,0),IF(AND(BH16=BH$5,BI$6&gt;=$D$129),1,0),IF(AND(BI16=BH$5,BI$6&gt;=$D$129),1,0),IF(AND(BJ16=BH$5,BI$6&gt;=$D$129),1,0),IF(BH16&amp;BK16=BK$5,4,0),IF(AND(BH16=BH$5,BI$6&lt;=$D$104),-0.5,0),IF(AND(BI16=BH$5,BI$6&lt;=$D$104),-0.5,0),IF(AND(BJ16=BH$5,BI$6&lt;=$D$104),-0.5,0))</f>
        <v/>
      </c>
      <c r="BM16" s="416" t="n">
        <v>4</v>
      </c>
      <c r="BN16" s="418" t="n">
        <v>3</v>
      </c>
      <c r="BO16" s="418" t="n">
        <v>9</v>
      </c>
      <c r="BP16" s="418" t="n"/>
      <c r="BQ16" s="602">
        <f>SUM(IF(BM16=BM$5,4,0),IF(BM16&amp;BN16=BM$5&amp;BN$5,1,0),
IF(AND(BM16=BM$5,BN$6&gt;=$D$115),1,0),
IF(AND(BN16=BM$5,BN$6&gt;=$D$115),1,0),
IF(AND(BO16=BM$5,BN$6&gt;=$D$115),1,0),
IF(BM16&amp;BP16=BQ$5,1,0),
IF(BN16=BM$5,2,0),
IF(BO16=BM$5,1,0),
IF(OR(BM16&amp;BN16&amp;BO16=BM$5&amp;BN$5&amp;BO$5,BM16&amp;BN16&amp;BO16=BM$5&amp;BO$5&amp;BN$5,BM16&amp;BN16&amp;BO16=BN$5&amp;BM$5&amp;BO$5,BM16&amp;BN16&amp;BO16=BN$5&amp;BO$5&amp;BM$5,BM16&amp;BN16&amp;BO16=BO$5&amp;BM$5&amp;BN$5,BM16&amp;BN16&amp;BO16=BO$5&amp;BN$5&amp;BM$5),2,0),IF(AND(BM16=BM$5,BN$6&gt;=$D$129),1,0),IF(AND(BN16=BM$5,BN$6&gt;=$D$129),1,0),IF(AND(BO16=BM$5,BN$6&gt;=$D$129),1,0),IF(BM16&amp;BP16=BP$5,4,0),IF(AND(BM16=BM$5,BN$6&lt;=$D$104),-0.5,0),IF(AND(BN16=BM$5,BN$6&lt;=$D$104),-0.5,0),IF(AND(BO16=BM$5,BN$6&lt;=$D$104),-0.5,0))</f>
        <v/>
      </c>
      <c r="BR16" s="416" t="n">
        <v>1</v>
      </c>
      <c r="BS16" s="418" t="n">
        <v>5</v>
      </c>
      <c r="BT16" s="418" t="n">
        <v>2</v>
      </c>
      <c r="BU16" s="418" t="n"/>
      <c r="BV16" s="602">
        <f>SUM(IF(BR16=BR$5,4,0),IF(BR16&amp;BS16=BR$5&amp;BS$5,1,0),
IF(AND(BR16=BR$5,BS$6&gt;=$D$115),1,0),
IF(AND(BS16=BR$5,BS$6&gt;=$D$115),1,0),
IF(AND(BT16=BR$5,BS$6&gt;=$D$115),1,0),
IF(BR16&amp;BU16=BV$5,1,0),
IF(BS16=BR$5,2,0),
IF(BT16=BR$5,1,0),
IF(OR(BR16&amp;BS16&amp;BT16=BR$5&amp;BS$5&amp;BT$5,BR16&amp;BS16&amp;BT16=BR$5&amp;BT$5&amp;BS$5,BR16&amp;BS16&amp;BT16=BS$5&amp;BR$5&amp;BT$5,BR16&amp;BS16&amp;BT16=BS$5&amp;BT$5&amp;BR$5,BR16&amp;BS16&amp;BT16=BT$5&amp;BR$5&amp;BS$5,BR16&amp;BS16&amp;BT16=BT$5&amp;BS$5&amp;BR$5),2,0),IF(AND(BR16=BR$5,BS$6&gt;=$D$129),1,0),IF(AND(BS16=BR$5,BS$6&gt;=$D$129),1,0),IF(AND(BT16=BR$5,BS$6&gt;=$D$129),1,0),IF(BR16&amp;BU16=BU$5,4,0),IF(AND(BR16=BR$5,BS$6&lt;=$D$104),-0.5,0),IF(AND(BS16=BR$5,BS$6&lt;=$D$104),-0.5,0),IF(AND(BT16=BR$5,BS$6&lt;=$D$104),-0.5,0))</f>
        <v/>
      </c>
      <c r="BW16" s="416" t="n"/>
      <c r="BX16" s="418" t="n"/>
      <c r="BY16" s="418" t="n"/>
      <c r="BZ16" s="418" t="n"/>
      <c r="CA16" s="602">
        <f>SUM(IF(BW16=BW$5,4,0),IF(BW16&amp;BX16=BW$5&amp;BX$5,1,0),
IF(AND(BW16=BW$5,BX$6&gt;=$D$115),1,0),
IF(AND(BX16=BW$5,BX$6&gt;=$D$115),1,0),
IF(AND(BY16=BW$5,BX$6&gt;=$D$115),1,0),
IF(BW16&amp;BZ16=CA$5,1,0),
IF(BX16=BW$5,2,0),
IF(BY16=BW$5,1,0),
IF(OR(BW16&amp;BX16&amp;BY16=BW$5&amp;BX$5&amp;BY$5,BW16&amp;BX16&amp;BY16=BW$5&amp;BY$5&amp;BX$5,BW16&amp;BX16&amp;BY16=BX$5&amp;BW$5&amp;BY$5,BW16&amp;BX16&amp;BY16=BX$5&amp;BY$5&amp;BW$5,BW16&amp;BX16&amp;BY16=BY$5&amp;BW$5&amp;BX$5,BW16&amp;BX16&amp;BY16=BY$5&amp;BX$5&amp;BW$5),2,0),IF(AND(BW16=BW$5,BX$6&gt;=$D$129),1,0),IF(AND(BX16=BW$5,BX$6&gt;=$D$129),1,0),IF(AND(BY16=BW$5,BX$6&gt;=$D$129),1,0),IF(BW16&amp;BZ16=BZ$5,4,0),IF(AND(BW16=BW$5,BX$6&lt;=$D$104),-0.5,0),IF(AND(BX16=BW$5,BX$6&lt;=$D$104),-0.5,0),IF(AND(BY16=BW$5,BX$6&lt;=$D$104),-0.5,0))</f>
        <v/>
      </c>
      <c r="CB16" s="416" t="n"/>
      <c r="CC16" s="418" t="n"/>
      <c r="CD16" s="418" t="n"/>
      <c r="CE16" s="418" t="n"/>
      <c r="CF16" s="602">
        <f>SUM(IF(CB16=CB$5,4,0),IF(CB16&amp;CC16=CB$5&amp;CC$5,1,0),
IF(AND(CB16=CB$5,CC$6&gt;=$D$115),1,0),
IF(AND(CC16=CB$5,CC$6&gt;=$D$115),1,0),
IF(AND(CD16=CB$5,CC$6&gt;=$D$115),1,0),
IF(CB16&amp;CE16=CF$5,1,0),
IF(CC16=CB$5,2,0),
IF(CD16=CB$5,1,0),
IF(OR(CB16&amp;CC16&amp;CD16=CB$5&amp;CC$5&amp;CD$5,CB16&amp;CC16&amp;CD16=CB$5&amp;CD$5&amp;CC$5,CB16&amp;CC16&amp;CD16=CC$5&amp;CB$5&amp;CD$5,CB16&amp;CC16&amp;CD16=CC$5&amp;CD$5&amp;CB$5,CB16&amp;CC16&amp;CD16=CD$5&amp;CB$5&amp;CC$5,CB16&amp;CC16&amp;CD16=CD$5&amp;CC$5&amp;CB$5),2,0),IF(AND(CB16=CB$5,CC$6&gt;=$D$129),1,0),IF(AND(CC16=CB$5,CC$6&gt;=$D$129),1,0),IF(AND(CD16=CB$5,CC$6&gt;=$D$129),1,0),IF(CB16&amp;CE16=CE$5,4,0),IF(AND(CB16=CB$5,CC$6&lt;=$D$104),-0.5,0),IF(AND(CC16=CB$5,CC$6&lt;=$D$104),-0.5,0),IF(AND(CD16=CB$5,CC$6&lt;=$D$104),-0.5,0))</f>
        <v/>
      </c>
      <c r="CG16" s="164">
        <f>IF(SEMANA2[[#This Row],[1]]="",0,$B$4)</f>
        <v/>
      </c>
      <c r="CH16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6" s="166">
        <f>IF(SEMANA2[[#This Row],[Columna14]]=0,0,(CH16/CG16))</f>
        <v/>
      </c>
      <c r="CJ16" s="165">
        <f>IF(SEMANA2[[#This Row],[1]]="",0,$B$4)</f>
        <v/>
      </c>
      <c r="CK16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6" s="166">
        <f>IF(SEMANA2[[#This Row],[Columna14]]=0,0,(CK16/CJ16))</f>
        <v/>
      </c>
      <c r="CM16" s="164">
        <f>IF(SEMANA2[[#This Row],[1]]="",0,$B$4)</f>
        <v/>
      </c>
      <c r="CN16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6" s="166">
        <f>IF(SEMANA2[[#This Row],[Columna14]]=0,0,(CN16/CM16))</f>
        <v/>
      </c>
      <c r="CP16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6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Row],[Columna25]],$AX$5,BA16,"SF")+COUNTIFS(SEMANA2[[#This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6" s="166">
        <f>IFERROR(IF(SEMANA2[[#This Row],[Columna14]]=0,0,(CQ16/CP16)),0)</f>
        <v/>
      </c>
      <c r="CS16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6" s="95">
        <f>_xlfn.XLOOKUP(SEMANA2[[#This Row],[COD]],BASE01[COD],BASE01[Columna33])</f>
        <v/>
      </c>
      <c r="CU16" s="604">
        <f>SUM(CS16,CT16)</f>
        <v/>
      </c>
      <c r="CV16" s="450">
        <f>IF(SEMANA2[[#This Row],[TIPO]]="PREMIO",$O$3,"0,00")</f>
        <v/>
      </c>
      <c r="CW16" s="576" t="n"/>
      <c r="CY16" s="393" t="n">
        <v>9</v>
      </c>
      <c r="CZ16" s="354">
        <f>AT$6</f>
        <v/>
      </c>
      <c r="DB16" s="605">
        <f>SEMANA2[[#This Row],[COD]]</f>
        <v/>
      </c>
      <c r="DC16" s="395">
        <f t="array" ref="DC16">IFERROR(IF(AND(INDEX($E$8:$CE$57, MATCH($C16, $C$8:$C$57, 0), (COLUMNS($DC16:DC16)-1)*5 + 1) = INDEX($E$5:$CE$5, 1, (COLUMNS($DC16:DC16)-1)*5 + 1), INDEX($E$8:$CE$57, MATCH($C16, $C$8:$C$57, 0), (COLUMNS($DC16:DC16)-1)*5 + 4) = "F"), INDEX($CZ$8:$CZ$23, COLUMNS($DC16:DC16)), "0"), "")</f>
        <v/>
      </c>
      <c r="DD16" s="395">
        <f t="array" ref="DD16">IFERROR(IF(AND(INDEX($E$8:$CE$57, MATCH($C16, $C$8:$C$57, 0), (COLUMNS($DC16:DD16)-1)*5 + 1) = INDEX($E$5:$CE$5, 1, (COLUMNS($DC16:DD16)-1)*5 + 1), INDEX($E$8:$CE$57, MATCH($C16, $C$8:$C$57, 0), (COLUMNS($DC16:DD16)-1)*5 + 4) = "F"), INDEX($CZ$8:$CZ$23, COLUMNS($DC16:DD16)), "0"), "")</f>
        <v/>
      </c>
      <c r="DE16" s="395">
        <f t="array" ref="DE16">IFERROR(IF(AND(INDEX($E$8:$CE$57, MATCH($C16, $C$8:$C$57, 0), (COLUMNS($DC16:DE16)-1)*5 + 1) = INDEX($E$5:$CE$5, 1, (COLUMNS($DC16:DE16)-1)*5 + 1), INDEX($E$8:$CE$57, MATCH($C16, $C$8:$C$57, 0), (COLUMNS($DC16:DE16)-1)*5 + 4) = "F"), INDEX($CZ$8:$CZ$23, COLUMNS($DC16:DE16)), "0"), "")</f>
        <v/>
      </c>
      <c r="DF16" s="395">
        <f t="array" ref="DF16">IFERROR(IF(AND(INDEX($E$8:$CE$57, MATCH($C16, $C$8:$C$57, 0), (COLUMNS($DC16:DF16)-1)*5 + 1) = INDEX($E$5:$CE$5, 1, (COLUMNS($DC16:DF16)-1)*5 + 1), INDEX($E$8:$CE$57, MATCH($C16, $C$8:$C$57, 0), (COLUMNS($DC16:DF16)-1)*5 + 4) = "F"), INDEX($CZ$8:$CZ$23, COLUMNS($DC16:DF16)), "0"), "")</f>
        <v/>
      </c>
      <c r="DG16" s="395">
        <f t="array" ref="DG16">IFERROR(IF(AND(INDEX($E$8:$CE$57, MATCH($C16, $C$8:$C$57, 0), (COLUMNS($DC16:DG16)-1)*5 + 1) = INDEX($E$5:$CE$5, 1, (COLUMNS($DC16:DG16)-1)*5 + 1), INDEX($E$8:$CE$57, MATCH($C16, $C$8:$C$57, 0), (COLUMNS($DC16:DG16)-1)*5 + 4) = "F"), INDEX($CZ$8:$CZ$23, COLUMNS($DC16:DG16)), "0"), "")</f>
        <v/>
      </c>
      <c r="DH16" s="395">
        <f t="array" ref="DH16">IFERROR(IF(AND(INDEX($E$8:$CE$57, MATCH($C16, $C$8:$C$57, 0), (COLUMNS($DC16:DH16)-1)*5 + 1) = INDEX($E$5:$CE$5, 1, (COLUMNS($DC16:DH16)-1)*5 + 1), INDEX($E$8:$CE$57, MATCH($C16, $C$8:$C$57, 0), (COLUMNS($DC16:DH16)-1)*5 + 4) = "F"), INDEX($CZ$8:$CZ$23, COLUMNS($DC16:DH16)), "0"), "")</f>
        <v/>
      </c>
      <c r="DI16" s="395">
        <f t="array" ref="DI16">IFERROR(IF(AND(INDEX($E$8:$CE$57, MATCH($C16, $C$8:$C$57, 0), (COLUMNS($DC16:DI16)-1)*5 + 1) = INDEX($E$5:$CE$5, 1, (COLUMNS($DC16:DI16)-1)*5 + 1), INDEX($E$8:$CE$57, MATCH($C16, $C$8:$C$57, 0), (COLUMNS($DC16:DI16)-1)*5 + 4) = "F"), INDEX($CZ$8:$CZ$23, COLUMNS($DC16:DI16)), "0"), "")</f>
        <v/>
      </c>
      <c r="DJ16" s="395">
        <f t="array" ref="DJ16">IFERROR(IF(AND(INDEX($E$8:$CE$57, MATCH($C16, $C$8:$C$57, 0), (COLUMNS($DC16:DJ16)-1)*5 + 1) = INDEX($E$5:$CE$5, 1, (COLUMNS($DC16:DJ16)-1)*5 + 1), INDEX($E$8:$CE$57, MATCH($C16, $C$8:$C$57, 0), (COLUMNS($DC16:DJ16)-1)*5 + 4) = "F"), INDEX($CZ$8:$CZ$23, COLUMNS($DC16:DJ16)), "0"), "")</f>
        <v/>
      </c>
      <c r="DK16" s="395">
        <f t="array" ref="DK16">IFERROR(IF(AND(INDEX($E$8:$CE$57, MATCH($C16, $C$8:$C$57, 0), (COLUMNS($DC16:DK16)-1)*5 + 1) = INDEX($E$5:$CE$5, 1, (COLUMNS($DC16:DK16)-1)*5 + 1), INDEX($E$8:$CE$57, MATCH($C16, $C$8:$C$57, 0), (COLUMNS($DC16:DK16)-1)*5 + 4) = "F"), INDEX($CZ$8:$CZ$23, COLUMNS($DC16:DK16)), "0"), "")</f>
        <v/>
      </c>
      <c r="DL16" s="395">
        <f t="array" ref="DL16">IFERROR(IF(AND(INDEX($E$8:$CE$57, MATCH($C16, $C$8:$C$57, 0), (COLUMNS($DC16:DL16)-1)*5 + 1) = INDEX($E$5:$CE$5, 1, (COLUMNS($DC16:DL16)-1)*5 + 1), INDEX($E$8:$CE$57, MATCH($C16, $C$8:$C$57, 0), (COLUMNS($DC16:DL16)-1)*5 + 4) = "F"), INDEX($CZ$8:$CZ$23, COLUMNS($DC16:DL16)), "0"), "")</f>
        <v/>
      </c>
      <c r="DM16" s="395">
        <f t="array" ref="DM16">IFERROR(IF(AND(INDEX($E$8:$CE$57, MATCH($C16, $C$8:$C$57, 0), (COLUMNS($DC16:DM16)-1)*5 + 1) = INDEX($E$5:$CE$5, 1, (COLUMNS($DC16:DM16)-1)*5 + 1), INDEX($E$8:$CE$57, MATCH($C16, $C$8:$C$57, 0), (COLUMNS($DC16:DM16)-1)*5 + 4) = "F"), INDEX($CZ$8:$CZ$23, COLUMNS($DC16:DM16)), "0"), "")</f>
        <v/>
      </c>
      <c r="DN16" s="395">
        <f t="array" ref="DN16">IFERROR(IF(AND(INDEX($E$8:$CE$57, MATCH($C16, $C$8:$C$57, 0), (COLUMNS($DC16:DN16)-1)*5 + 1) = INDEX($E$5:$CE$5, 1, (COLUMNS($DC16:DN16)-1)*5 + 1), INDEX($E$8:$CE$57, MATCH($C16, $C$8:$C$57, 0), (COLUMNS($DC16:DN16)-1)*5 + 4) = "F"), INDEX($CZ$8:$CZ$23, COLUMNS($DC16:DN16)), "0"), "")</f>
        <v/>
      </c>
      <c r="DO16" s="395">
        <f t="array" ref="DO16">IFERROR(IF(AND(INDEX($E$8:$CE$57, MATCH($C16, $C$8:$C$57, 0), (COLUMNS($DC16:DO16)-1)*5 + 1) = INDEX($E$5:$CE$5, 1, (COLUMNS($DC16:DO16)-1)*5 + 1), INDEX($E$8:$CE$57, MATCH($C16, $C$8:$C$57, 0), (COLUMNS($DC16:DO16)-1)*5 + 4) = "F"), INDEX($CZ$8:$CZ$23, COLUMNS($DC16:DO16)), "0"), "")</f>
        <v/>
      </c>
      <c r="DP16" s="395">
        <f t="array" ref="DP16">IFERROR(IF(AND(INDEX($E$8:$CE$57, MATCH($C16, $C$8:$C$57, 0), (COLUMNS($DC16:DP16)-1)*5 + 1) = INDEX($E$5:$CE$5, 1, (COLUMNS($DC16:DP16)-1)*5 + 1), INDEX($E$8:$CE$57, MATCH($C16, $C$8:$C$57, 0), (COLUMNS($DC16:DP16)-1)*5 + 4) = "F"), INDEX($CZ$8:$CZ$23, COLUMNS($DC16:DP16)), "0"), "")</f>
        <v/>
      </c>
      <c r="DQ16" s="395">
        <f t="array" ref="DQ16">IFERROR(IF(AND(INDEX($E$8:$CE$57, MATCH($C16, $C$8:$C$57, 0), (COLUMNS($DC16:DQ16)-1)*5 + 1) = INDEX($E$5:$CE$5, 1, (COLUMNS($DC16:DQ16)-1)*5 + 1), INDEX($E$8:$CE$57, MATCH($C16, $C$8:$C$57, 0), (COLUMNS($DC16:DQ16)-1)*5 + 4) = "F"), INDEX($CZ$8:$CZ$23, COLUMNS($DC16:DQ16)), "0"), "")</f>
        <v/>
      </c>
      <c r="DR16" s="395">
        <f t="array" ref="DR16">IFERROR(IF(AND(INDEX($E$8:$CE$57, MATCH($C16, $C$8:$C$57, 0), (COLUMNS($DC16:DR16)-1)*5 + 1) = INDEX($E$5:$CE$5, 1, (COLUMNS($DC16:DR16)-1)*5 + 1), INDEX($E$8:$CE$57, MATCH($C16, $C$8:$C$57, 0), (COLUMNS($DC16:DR16)-1)*5 + 4) = "F"), INDEX($CZ$8:$CZ$23, COLUMNS($DC16:DR16)), "0"), "")</f>
        <v/>
      </c>
      <c r="DT16" s="605">
        <f>SEMANA2[[#This Row],[COD]]</f>
        <v/>
      </c>
      <c r="DU16" s="395">
        <f t="array" ref="DU16">IFERROR(IF(AND(INDEX($E$8:$CE$57, MATCH($C16, $C$8:$C$57, 0), (COLUMNS($DU16:DU16)-1)*5 + 1) = INDEX($E$5:$CE$5, 1, (COLUMNS($DU16:DU16)-1)*5 + 1), INDEX($E$8:$CE$57, MATCH($C16, $C$8:$C$57, 0), (COLUMNS($DU16:DU16)-1)*5 + 4) = "SF"), INDEX($CZ$8:$CZ$23, COLUMNS($DU16:DU16)), "0"), "")</f>
        <v/>
      </c>
      <c r="DV16" s="395">
        <f t="array" ref="DV16">IFERROR(IF(AND(INDEX($E$8:$CE$57, MATCH($C16, $C$8:$C$57, 0), (COLUMNS($DU16:DV16)-1)*5 + 1) = INDEX($E$5:$CE$5, 1, (COLUMNS($DU16:DV16)-1)*5 + 1), INDEX($E$8:$CE$57, MATCH($C16, $C$8:$C$57, 0), (COLUMNS($DU16:DV16)-1)*5 + 4) = "SF"), INDEX($CZ$8:$CZ$23, COLUMNS($DU16:DV16)), "0"), "")</f>
        <v/>
      </c>
      <c r="DW16" s="395">
        <f t="array" ref="DW16">IFERROR(IF(AND(INDEX($E$8:$CE$57, MATCH($C16, $C$8:$C$57, 0), (COLUMNS($DU16:DW16)-1)*5 + 1) = INDEX($E$5:$CE$5, 1, (COLUMNS($DU16:DW16)-1)*5 + 1), INDEX($E$8:$CE$57, MATCH($C16, $C$8:$C$57, 0), (COLUMNS($DU16:DW16)-1)*5 + 4) = "SF"), INDEX($CZ$8:$CZ$23, COLUMNS($DU16:DW16)), "0"), "")</f>
        <v/>
      </c>
      <c r="DX16" s="395">
        <f t="array" ref="DX16">IFERROR(IF(AND(INDEX($E$8:$CE$57, MATCH($C16, $C$8:$C$57, 0), (COLUMNS($DU16:DX16)-1)*5 + 1) = INDEX($E$5:$CE$5, 1, (COLUMNS($DU16:DX16)-1)*5 + 1), INDEX($E$8:$CE$57, MATCH($C16, $C$8:$C$57, 0), (COLUMNS($DU16:DX16)-1)*5 + 4) = "SF"), INDEX($CZ$8:$CZ$23, COLUMNS($DU16:DX16)), "0"), "")</f>
        <v/>
      </c>
      <c r="DY16" s="395">
        <f t="array" ref="DY16">IFERROR(IF(AND(INDEX($E$8:$CE$57, MATCH($C16, $C$8:$C$57, 0), (COLUMNS($DU16:DY16)-1)*5 + 1) = INDEX($E$5:$CE$5, 1, (COLUMNS($DU16:DY16)-1)*5 + 1), INDEX($E$8:$CE$57, MATCH($C16, $C$8:$C$57, 0), (COLUMNS($DU16:DY16)-1)*5 + 4) = "SF"), INDEX($CZ$8:$CZ$23, COLUMNS($DU16:DY16)), "0"), "")</f>
        <v/>
      </c>
      <c r="DZ16" s="395">
        <f t="array" ref="DZ16">IFERROR(IF(AND(INDEX($E$8:$CE$57, MATCH($C16, $C$8:$C$57, 0), (COLUMNS($DU16:DZ16)-1)*5 + 1) = INDEX($E$5:$CE$5, 1, (COLUMNS($DU16:DZ16)-1)*5 + 1), INDEX($E$8:$CE$57, MATCH($C16, $C$8:$C$57, 0), (COLUMNS($DU16:DZ16)-1)*5 + 4) = "SF"), INDEX($CZ$8:$CZ$23, COLUMNS($DU16:DZ16)), "0"), "")</f>
        <v/>
      </c>
      <c r="EA16" s="395">
        <f t="array" ref="EA16">IFERROR(IF(AND(INDEX($E$8:$CE$57, MATCH($C16, $C$8:$C$57, 0), (COLUMNS($DU16:EA16)-1)*5 + 1) = INDEX($E$5:$CE$5, 1, (COLUMNS($DU16:EA16)-1)*5 + 1), INDEX($E$8:$CE$57, MATCH($C16, $C$8:$C$57, 0), (COLUMNS($DU16:EA16)-1)*5 + 4) = "SF"), INDEX($CZ$8:$CZ$23, COLUMNS($DU16:EA16)), "0"), "")</f>
        <v/>
      </c>
      <c r="EB16" s="395">
        <f t="array" ref="EB16">IFERROR(IF(AND(INDEX($E$8:$CE$57, MATCH($C16, $C$8:$C$57, 0), (COLUMNS($DU16:EB16)-1)*5 + 1) = INDEX($E$5:$CE$5, 1, (COLUMNS($DU16:EB16)-1)*5 + 1), INDEX($E$8:$CE$57, MATCH($C16, $C$8:$C$57, 0), (COLUMNS($DU16:EB16)-1)*5 + 4) = "SF"), INDEX($CZ$8:$CZ$23, COLUMNS($DU16:EB16)), "0"), "")</f>
        <v/>
      </c>
      <c r="EC16" s="395">
        <f t="array" ref="EC16">IFERROR(IF(AND(INDEX($E$8:$CE$57, MATCH($C16, $C$8:$C$57, 0), (COLUMNS($DU16:EC16)-1)*5 + 1) = INDEX($E$5:$CE$5, 1, (COLUMNS($DU16:EC16)-1)*5 + 1), INDEX($E$8:$CE$57, MATCH($C16, $C$8:$C$57, 0), (COLUMNS($DU16:EC16)-1)*5 + 4) = "SF"), INDEX($CZ$8:$CZ$23, COLUMNS($DU16:EC16)), "0"), "")</f>
        <v/>
      </c>
      <c r="ED16" s="395">
        <f t="array" ref="ED16">IFERROR(IF(AND(INDEX($E$8:$CE$57, MATCH($C16, $C$8:$C$57, 0), (COLUMNS($DU16:ED16)-1)*5 + 1) = INDEX($E$5:$CE$5, 1, (COLUMNS($DU16:ED16)-1)*5 + 1), INDEX($E$8:$CE$57, MATCH($C16, $C$8:$C$57, 0), (COLUMNS($DU16:ED16)-1)*5 + 4) = "SF"), INDEX($CZ$8:$CZ$23, COLUMNS($DU16:ED16)), "0"), "")</f>
        <v/>
      </c>
      <c r="EE16" s="395">
        <f t="array" ref="EE16">IFERROR(IF(AND(INDEX($E$8:$CE$57, MATCH($C16, $C$8:$C$57, 0), (COLUMNS($DU16:EE16)-1)*5 + 1) = INDEX($E$5:$CE$5, 1, (COLUMNS($DU16:EE16)-1)*5 + 1), INDEX($E$8:$CE$57, MATCH($C16, $C$8:$C$57, 0), (COLUMNS($DU16:EE16)-1)*5 + 4) = "SF"), INDEX($CZ$8:$CZ$23, COLUMNS($DU16:EE16)), "0"), "")</f>
        <v/>
      </c>
      <c r="EF16" s="395">
        <f t="array" ref="EF16">IFERROR(IF(AND(INDEX($E$8:$CE$57, MATCH($C16, $C$8:$C$57, 0), (COLUMNS($DU16:EF16)-1)*5 + 1) = INDEX($E$5:$CE$5, 1, (COLUMNS($DU16:EF16)-1)*5 + 1), INDEX($E$8:$CE$57, MATCH($C16, $C$8:$C$57, 0), (COLUMNS($DU16:EF16)-1)*5 + 4) = "SF"), INDEX($CZ$8:$CZ$23, COLUMNS($DU16:EF16)), "0"), "")</f>
        <v/>
      </c>
      <c r="EG16" s="395">
        <f t="array" ref="EG16">IFERROR(IF(AND(INDEX($E$8:$CE$57, MATCH($C16, $C$8:$C$57, 0), (COLUMNS($DU16:EG16)-1)*5 + 1) = INDEX($E$5:$CE$5, 1, (COLUMNS($DU16:EG16)-1)*5 + 1), INDEX($E$8:$CE$57, MATCH($C16, $C$8:$C$57, 0), (COLUMNS($DU16:EG16)-1)*5 + 4) = "SF"), INDEX($CZ$8:$CZ$23, COLUMNS($DU16:EG16)), "0"), "")</f>
        <v/>
      </c>
      <c r="EH16" s="395">
        <f t="array" ref="EH16">IFERROR(IF(AND(INDEX($E$8:$CE$57, MATCH($C16, $C$8:$C$57, 0), (COLUMNS($DU16:EH16)-1)*5 + 1) = INDEX($E$5:$CE$5, 1, (COLUMNS($DU16:EH16)-1)*5 + 1), INDEX($E$8:$CE$57, MATCH($C16, $C$8:$C$57, 0), (COLUMNS($DU16:EH16)-1)*5 + 4) = "SF"), INDEX($CZ$8:$CZ$23, COLUMNS($DU16:EH16)), "0"), "")</f>
        <v/>
      </c>
      <c r="EI16" s="395">
        <f t="array" ref="EI16">IFERROR(IF(AND(INDEX($E$8:$CE$57, MATCH($C16, $C$8:$C$57, 0), (COLUMNS($DU16:EI16)-1)*5 + 1) = INDEX($E$5:$CE$5, 1, (COLUMNS($DU16:EI16)-1)*5 + 1), INDEX($E$8:$CE$57, MATCH($C16, $C$8:$C$57, 0), (COLUMNS($DU16:EI16)-1)*5 + 4) = "SF"), INDEX($CZ$8:$CZ$23, COLUMNS($DU16:EI16)), "0"), "")</f>
        <v/>
      </c>
      <c r="EJ16" s="395">
        <f t="array" ref="EJ16">IFERROR(IF(AND(INDEX($E$8:$CE$57, MATCH($C16, $C$8:$C$57, 0), (COLUMNS($DU16:EJ16)-1)*5 + 1) = INDEX($E$5:$CE$5, 1, (COLUMNS($DU16:EJ16)-1)*5 + 1), INDEX($E$8:$CE$57, MATCH($C16, $C$8:$C$57, 0), (COLUMNS($DU16:EJ16)-1)*5 + 4) = "SF"), INDEX($CZ$8:$CZ$23, COLUMNS($DU16:EJ16)), "0"), "")</f>
        <v/>
      </c>
    </row>
    <row r="17" ht="20.1" customHeight="1" s="568">
      <c r="A17" s="576" t="n"/>
      <c r="B17" s="449">
        <f>IF(SEMANA2[[#This Row],[COD]]&lt;&gt;"",B16+1,"")</f>
        <v/>
      </c>
      <c r="C17" s="622" t="inlineStr">
        <is>
          <t>COD 10</t>
        </is>
      </c>
      <c r="D17" s="415">
        <f t="array" ref="D17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7" s="416" t="n">
        <v>2</v>
      </c>
      <c r="F17" s="418" t="n">
        <v>9</v>
      </c>
      <c r="G17" s="418" t="n">
        <v>3</v>
      </c>
      <c r="H17" s="418" t="n"/>
      <c r="I17" s="602">
        <f>SUM(IF(E17=E$5,4,0),IF(E17&amp;F17=E$5&amp;F$5,1,0),
IF(AND(E17=E$5,F$6&gt;=$D$115),1,0),
IF(AND(F17=E$5,F$6&gt;=$D$115),1,0),
IF(AND(G17=E$5,F$6&gt;=$D$115),1,0),
IF(E17&amp;H17=I$5,1,0),
IF(F17=E$5,2,0),
IF(G17=E$5,1,0),
IF(OR(E17&amp;F17&amp;G17=E$5&amp;F$5&amp;G$5,E17&amp;F17&amp;G17=E$5&amp;G$5&amp;F$5,E17&amp;F17&amp;G17=F$5&amp;E$5&amp;G$5,E17&amp;F17&amp;G17=F$5&amp;G$5&amp;E$5,E17&amp;F17&amp;G17=G$5&amp;E$5&amp;F$5,E17&amp;F17&amp;G17=G$5&amp;F$5&amp;E$5),2,0),IF(AND(E17=E$5,F$6&gt;=$D$129),1,0),IF(AND(F17=E$5,F$6&gt;=$D$129),1,0),IF(AND(G17=E$5,F$6&gt;=$D$129),1,0),IF(E17&amp;H17=H$5,4,0),IF(AND(E17=E$5,F$6&lt;=$D$104),-0.5,0),IF(AND(F17=E$5,F$6&lt;=$D$104),-0.5,0),IF(AND(G17=E$5,F$6&lt;=$D$104),-0.5,0))</f>
        <v/>
      </c>
      <c r="J17" s="416" t="n">
        <v>1</v>
      </c>
      <c r="K17" s="418" t="n">
        <v>7</v>
      </c>
      <c r="L17" s="418" t="n">
        <v>2</v>
      </c>
      <c r="M17" s="418" t="inlineStr">
        <is>
          <t>F</t>
        </is>
      </c>
      <c r="N17" s="602">
        <f>SUM(IF(J17=J$5,4,0),IF(J17&amp;K17=J$5&amp;K$5,1,0),
IF(AND(J17=J$5,K$6&gt;=$D$115),1,0),
IF(AND(K17=J$5,K$6&gt;=$D$115),1,0),
IF(AND(L17=J$5,K$6&gt;=$D$115),1,0),
IF(J17&amp;M17=N$5,1,0),
IF(K17=J$5,2,0),
IF(L17=J$5,1,0),
IF(OR(J17&amp;K17&amp;L17=J$5&amp;K$5&amp;L$5,J17&amp;K17&amp;L17=J$5&amp;L$5&amp;K$5,J17&amp;K17&amp;L17=K$5&amp;J$5&amp;L$5,J17&amp;K17&amp;L17=K$5&amp;L$5&amp;J$5,J17&amp;K17&amp;L17=L$5&amp;J$5&amp;K$5,J17&amp;K17&amp;L17=L$5&amp;K$5&amp;J$5),2,0),IF(AND(J17=J$5,K$6&gt;=$D$129),1,0),IF(AND(K17=J$5,K$6&gt;=$D$129),1,0),IF(AND(L17=J$5,K$6&gt;=$D$129),1,0),IF(J17&amp;M17=M$5,4,0),IF(AND(J17=J$5,K$6&lt;=$D$104),-0.5,0),IF(AND(K17=J$5,K$6&lt;=$D$104),-0.5,0),IF(AND(L17=J$5,K$6&lt;=$D$104),-0.5,0))</f>
        <v/>
      </c>
      <c r="O17" s="416" t="n">
        <v>5</v>
      </c>
      <c r="P17" s="418" t="n">
        <v>1</v>
      </c>
      <c r="Q17" s="418" t="n">
        <v>7</v>
      </c>
      <c r="R17" s="418" t="n"/>
      <c r="S17" s="602">
        <f>SUM(IF(O17=O$5,4,0),IF(O17&amp;P17=O$5&amp;P$5,1,0),
IF(AND(O17=O$5,P$6&gt;=$D$115),1,0),
IF(AND(P17=O$5,P$6&gt;=$D$115),1,0),
IF(AND(Q17=O$5,P$6&gt;=$D$115),1,0),
IF(O17&amp;R17=S$5,1,0),
IF(P17=O$5,2,0),
IF(Q17=O$5,1,0),
IF(OR(O17&amp;P17&amp;Q17=O$5&amp;P$5&amp;Q$5,O17&amp;P17&amp;Q17=O$5&amp;Q$5&amp;P$5,O17&amp;P17&amp;Q17=P$5&amp;O$5&amp;Q$5,O17&amp;P17&amp;Q17=P$5&amp;Q$5&amp;O$5,O17&amp;P17&amp;Q17=Q$5&amp;O$5&amp;P$5,O17&amp;P17&amp;Q17=Q$5&amp;P$5&amp;O$5),2,0),IF(AND(O17=O$5,P$6&gt;=$D$129),1,0),IF(AND(P17=O$5,P$6&gt;=$D$129),1,0),IF(AND(Q17=O$5,P$6&gt;=$D$129),1,0),IF(O17&amp;R17=R$5,4,0),IF(AND(O17=O$5,P$6&lt;=$D$104),-0.5,0),IF(AND(P17=O$5,P$6&lt;=$D$104),-0.5,0),IF(AND(Q17=O$5,P$6&lt;=$D$104),-0.5,0))</f>
        <v/>
      </c>
      <c r="T17" s="416" t="n">
        <v>3</v>
      </c>
      <c r="U17" s="418" t="n">
        <v>4</v>
      </c>
      <c r="V17" s="418" t="n">
        <v>5</v>
      </c>
      <c r="W17" s="418" t="n"/>
      <c r="X17" s="602">
        <f>SUM(IF(T17=T$5,4,0),IF(T17&amp;U17=T$5&amp;U$5,1,0),
IF(AND(T17=T$5,U$6&gt;=$D$115),1,0),
IF(AND(U17=T$5,U$6&gt;=$D$115),1,0),
IF(AND(V17=T$5,U$6&gt;=$D$115),1,0),
IF(T17&amp;W17=X$5,1,0),
IF(U17=T$5,2,0),
IF(V17=T$5,1,0),
IF(OR(T17&amp;U17&amp;V17=T$5&amp;U$5&amp;V$5,T17&amp;U17&amp;V17=T$5&amp;V$5&amp;U$5,T17&amp;U17&amp;V17=U$5&amp;T$5&amp;V$5,T17&amp;U17&amp;V17=U$5&amp;V$5&amp;T$5,T17&amp;U17&amp;V17=V$5&amp;T$5&amp;U$5,T17&amp;U17&amp;V17=V$5&amp;U$5&amp;T$5),2,0),IF(AND(T17=T$5,U$6&gt;=$D$129),1,0),IF(AND(U17=T$5,U$6&gt;=$D$129),1,0),IF(AND(V17=T$5,U$6&gt;=$D$129),1,0),IF(T17&amp;W17=W$5,4,0),IF(AND(T17=T$5,U$6&lt;=$D$104),-0.5,0),IF(AND(U17=T$5,U$6&lt;=$D$104),-0.5,0),IF(AND(V17=T$5,U$6&lt;=$D$104),-0.5,0))</f>
        <v/>
      </c>
      <c r="Y17" s="416" t="n">
        <v>1</v>
      </c>
      <c r="Z17" s="418" t="n">
        <v>2</v>
      </c>
      <c r="AA17" s="418" t="n">
        <v>4</v>
      </c>
      <c r="AB17" s="418" t="n"/>
      <c r="AC17" s="602">
        <f>SUM(IF(Y17=Y$5,4,0),IF(Y17&amp;Z17=Y$5&amp;Z$5,1,0),
IF(AND(Y17=Y$5,Z$6&gt;=$D$115),1,0),
IF(AND(Z17=Y$5,Z$6&gt;=$D$115),1,0),
IF(AND(AA17=Y$5,Z$6&gt;=$D$115),1,0),
IF(Y17&amp;AB17=AC$5,1,0),
IF(Z17=Y$5,2,0),
IF(AA17=Y$5,1,0),
IF(OR(Y17&amp;Z17&amp;AA17=Y$5&amp;Z$5&amp;AA$5,Y17&amp;Z17&amp;AA17=Y$5&amp;AA$5&amp;Z$5,Y17&amp;Z17&amp;AA17=Z$5&amp;Y$5&amp;AA$5,Y17&amp;Z17&amp;AA17=Z$5&amp;AA$5&amp;Y$5,Y17&amp;Z17&amp;AA17=AA$5&amp;Y$5&amp;Z$5,Y17&amp;Z17&amp;AA17=AA$5&amp;Z$5&amp;Y$5),2,0),IF(AND(Y17=Y$5,Z$6&gt;=$D$129),1,0),IF(AND(Z17=Y$5,Z$6&gt;=$D$129),1,0),IF(AND(AA17=Y$5,Z$6&gt;=$D$129),1,0),IF(Y17&amp;AB17=AB$5,4,0),IF(AND(Y17=Y$5,Z$6&lt;=$D$104),-0.5,0),IF(AND(Z17=Y$5,Z$6&lt;=$D$104),-0.5,0),IF(AND(AA17=Y$5,Z$6&lt;=$D$104),-0.5,0))</f>
        <v/>
      </c>
      <c r="AD17" s="416" t="n">
        <v>4</v>
      </c>
      <c r="AE17" s="418" t="n">
        <v>5</v>
      </c>
      <c r="AF17" s="418" t="n">
        <v>3</v>
      </c>
      <c r="AG17" s="418" t="n"/>
      <c r="AH17" s="602">
        <f>SUM(IF(AD17=AD$5,4,0),IF(AD17&amp;AE17=AD$5&amp;AE$5,1,0),
IF(AND(AD17=AD$5,AE$6&gt;=$D$115),1,0),
IF(AND(AE17=AD$5,AE$6&gt;=$D$115),1,0),
IF(AND(AF17=AD$5,AE$6&gt;=$D$115),1,0),
IF(AD17&amp;AG17=AH$5,1,0),
IF(AE17=AD$5,2,0),
IF(AF17=AD$5,1,0),
IF(OR(AD17&amp;AE17&amp;AF17=AD$5&amp;AE$5&amp;AF$5,AD17&amp;AE17&amp;AF17=AD$5&amp;AF$5&amp;AE$5,AD17&amp;AE17&amp;AF17=AE$5&amp;AD$5&amp;AF$5,AD17&amp;AE17&amp;AF17=AE$5&amp;AF$5&amp;AD$5,AD17&amp;AE17&amp;AF17=AF$5&amp;AD$5&amp;AE$5,AD17&amp;AE17&amp;AF17=AF$5&amp;AE$5&amp;AD$5),2,0),IF(AND(AD17=AD$5,AE$6&gt;=$D$129),1,0),IF(AND(AE17=AD$5,AE$6&gt;=$D$129),1,0),IF(AND(AF17=AD$5,AE$6&gt;=$D$129),1,0),IF(AD17&amp;AG17=AG$5,4,0),IF(AND(AD17=AD$5,AE$6&lt;=$D$104),-0.5,0),IF(AND(AE17=AD$5,AE$6&lt;=$D$104),-0.5,0),IF(AND(AF17=AD$5,AE$6&lt;=$D$104),-0.5,0))</f>
        <v/>
      </c>
      <c r="AI17" s="416" t="n">
        <v>7</v>
      </c>
      <c r="AJ17" s="418" t="n">
        <v>6</v>
      </c>
      <c r="AK17" s="418" t="n">
        <v>10</v>
      </c>
      <c r="AL17" s="418" t="n"/>
      <c r="AM17" s="602">
        <f>SUM(IF(AI17=AI$5,4,0),IF(AI17&amp;AJ17=AI$5&amp;AJ$5,1,0),
IF(AND(AI17=AI$5,AJ$6&gt;=$D$115),1,0),
IF(AND(AJ17=AI$5,AJ$6&gt;=$D$115),1,0),
IF(AND(AK17=AI$5,AJ$6&gt;=$D$115),1,0),
IF(AI17&amp;AL17=AM$5,1,0),
IF(AJ17=AI$5,2,0),
IF(AK17=AI$5,1,0),
IF(OR(AI17&amp;AJ17&amp;AK17=AI$5&amp;AJ$5&amp;AK$5,AI17&amp;AJ17&amp;AK17=AI$5&amp;AK$5&amp;AJ$5,AI17&amp;AJ17&amp;AK17=AJ$5&amp;AI$5&amp;AK$5,AI17&amp;AJ17&amp;AK17=AJ$5&amp;AK$5&amp;AI$5,AI17&amp;AJ17&amp;AK17=AK$5&amp;AI$5&amp;AJ$5,AI17&amp;AJ17&amp;AK17=AK$5&amp;AJ$5&amp;AI$5),2,0),IF(AND(AI17=AI$5,AJ$6&gt;=$D$129),1,0),IF(AND(AJ17=AI$5,AJ$6&gt;=$D$129),1,0),IF(AND(AK17=AI$5,AJ$6&gt;=$D$129),1,0),IF(AI17&amp;AL17=AL$5,4,0),IF(AND(AI17=AI$5,AJ$6&lt;=$D$104),-0.5,0),IF(AND(AJ17=AI$5,AJ$6&lt;=$D$104),-0.5,0),IF(AND(AK17=AI$5,AJ$6&lt;=$D$104),-0.5,0))</f>
        <v/>
      </c>
      <c r="AN17" s="416" t="n">
        <v>8</v>
      </c>
      <c r="AO17" s="418" t="n"/>
      <c r="AP17" s="418" t="n"/>
      <c r="AQ17" s="418" t="inlineStr">
        <is>
          <t>SF</t>
        </is>
      </c>
      <c r="AR17" s="602">
        <f>SUM(IF(AN17=AN$5,4,0),IF(AN17&amp;AO17=AN$5&amp;AO$5,1,0),
IF(AND(AN17=AN$5,AO$6&gt;=$D$115),1,0),
IF(AND(AO17=AN$5,AO$6&gt;=$D$115),1,0),
IF(AND(AP17=AN$5,AO$6&gt;=$D$115),1,0),
IF(AN17&amp;AQ17=AR$5,1,0),
IF(AO17=AN$5,2,0),
IF(AP17=AN$5,1,0),
IF(OR(AN17&amp;AO17&amp;AP17=AN$5&amp;AO$5&amp;AP$5,AN17&amp;AO17&amp;AP17=AN$5&amp;AP$5&amp;AO$5,AN17&amp;AO17&amp;AP17=AO$5&amp;AN$5&amp;AP$5,AN17&amp;AO17&amp;AP17=AO$5&amp;AP$5&amp;AN$5,AN17&amp;AO17&amp;AP17=AP$5&amp;AN$5&amp;AO$5,AN17&amp;AO17&amp;AP17=AP$5&amp;AO$5&amp;AN$5),2,0),IF(AND(AN17=AN$5,AO$6&gt;=$D$129),1,0),IF(AND(AO17=AN$5,AO$6&gt;=$D$129),1,0),IF(AND(AP17=AN$5,AO$6&gt;=$D$129),1,0),IF(AN17&amp;AQ17=AQ$5,4,0),IF(AND(AN17=AN$5,AO$6&lt;=$D$104),-0.5,0),IF(AND(AO17=AN$5,AO$6&lt;=$D$104),-0.5,0),IF(AND(AP17=AN$5,AO$6&lt;=$D$104),-0.5,0))</f>
        <v/>
      </c>
      <c r="AS17" s="416" t="n">
        <v>2</v>
      </c>
      <c r="AT17" s="418" t="n">
        <v>10</v>
      </c>
      <c r="AU17" s="418" t="n">
        <v>9</v>
      </c>
      <c r="AV17" s="418" t="n"/>
      <c r="AW17" s="602">
        <f>SUM(IF(AS17=AS$5,4,0),IF(AS17&amp;AT17=AS$5&amp;AT$5,1,0),
IF(AND(AS17=AS$5,AT$6&gt;=$D$115),1,0),
IF(AND(AT17=AS$5,AT$6&gt;=$D$115),1,0),
IF(AND(AU17=AS$5,AT$6&gt;=$D$115),1,0),
IF(AS17&amp;AV17=AW$5,1,0),
IF(AT17=AS$5,2,0),
IF(AU17=AS$5,1,0),
IF(OR(AS17&amp;AT17&amp;AU17=AS$5&amp;AT$5&amp;AU$5,AS17&amp;AT17&amp;AU17=AS$5&amp;AU$5&amp;AT$5,AS17&amp;AT17&amp;AU17=AT$5&amp;AS$5&amp;AU$5,AS17&amp;AT17&amp;AU17=AT$5&amp;AU$5&amp;AS$5,AS17&amp;AT17&amp;AU17=AU$5&amp;AS$5&amp;AT$5,AS17&amp;AT17&amp;AU17=AU$5&amp;AT$5&amp;AS$5),2,0),IF(AND(AS17=AS$5,AT$6&gt;=$D$129),1,0),IF(AND(AT17=AS$5,AT$6&gt;=$D$129),1,0),IF(AND(AU17=AS$5,AT$6&gt;=$D$129),1,0),IF(AS17&amp;AV17=AV$5,4,0),IF(AND(AS17=AS$5,AT$6&lt;=$D$104),-0.5,0),IF(AND(AT17=AS$5,AT$6&lt;=$D$104),-0.5,0),IF(AND(AU17=AS$5,AT$6&lt;=$D$104),-0.5,0))</f>
        <v/>
      </c>
      <c r="AX17" s="416" t="n">
        <v>1</v>
      </c>
      <c r="AY17" s="418" t="n">
        <v>2</v>
      </c>
      <c r="AZ17" s="418" t="n">
        <v>10</v>
      </c>
      <c r="BA17" s="418" t="n"/>
      <c r="BB17" s="602">
        <f>SUM(IF(AX17=AX$5,4,0),IF(AX17&amp;AY17=AX$5&amp;AY$5,1,0),
IF(AND(AX17=AX$5,AY$6&gt;=$D$115),1,0),
IF(AND(AY17=AX$5,AY$6&gt;=$D$115),1,0),
IF(AND(AZ17=AX$5,AY$6&gt;=$D$115),1,0),
IF(AX17&amp;BA17=BB$5,1,0),
IF(AY17=AX$5,2,0),
IF(AZ17=AX$5,1,0),
IF(OR(AX17&amp;AY17&amp;AZ17=AX$5&amp;AY$5&amp;AZ$5,AX17&amp;AY17&amp;AZ17=AX$5&amp;AZ$5&amp;AY$5,AX17&amp;AY17&amp;AZ17=AY$5&amp;AX$5&amp;AZ$5,AX17&amp;AY17&amp;AZ17=AY$5&amp;AZ$5&amp;AX$5,AX17&amp;AY17&amp;AZ17=AZ$5&amp;AX$5&amp;AY$5,AX17&amp;AY17&amp;AZ17=AZ$5&amp;AY$5&amp;AX$5),2,0),IF(AND(AX17=AX$5,AY$6&gt;=$D$129),1,0),IF(AND(AY17=AX$5,AY$6&gt;=$D$129),1,0),IF(AND(AZ17=AX$5,AY$6&gt;=$D$129),1,0),IF(AX17&amp;BA17=BA$5,4,0),IF(AND(AX17=AX$5,AY$6&lt;=$D$104),-0.5,0),IF(AND(AY17=AX$5,AY$6&lt;=$D$104),-0.5,0),IF(AND(AZ17=AX$5,AY$6&lt;=$D$104),-0.5,0))</f>
        <v/>
      </c>
      <c r="BC17" s="416" t="n">
        <v>7</v>
      </c>
      <c r="BD17" s="418" t="n">
        <v>5</v>
      </c>
      <c r="BE17" s="418" t="n">
        <v>4</v>
      </c>
      <c r="BF17" s="418" t="n"/>
      <c r="BG17" s="602">
        <f>SUM(IF(BC17=BC$5,4,0),IF(BC17&amp;BD17=BC$5&amp;BD$5,1,0),
IF(AND(BC17=BC$5,BD$6&gt;=$D$115),1,0),
IF(AND(BD17=BC$5,BD$6&gt;=$D$115),1,0),
IF(AND(BE17=BC$5,BD$6&gt;=$D$115),1,0),
IF(BC17&amp;BF17=BG$5,1,0),
IF(BD17=BC$5,2,0),
IF(BE17=BC$5,1,0),
IF(OR(BC17&amp;BD17&amp;BE17=BC$5&amp;BD$5&amp;BE$5,BC17&amp;BD17&amp;BE17=BC$5&amp;BE$5&amp;BD$5,BC17&amp;BD17&amp;BE17=BD$5&amp;BC$5&amp;BE$5,BC17&amp;BD17&amp;BE17=BD$5&amp;BE$5&amp;BC$5,BC17&amp;BD17&amp;BE17=BE$5&amp;BC$5&amp;BD$5,BC17&amp;BD17&amp;BE17=BE$5&amp;BD$5&amp;BC$5),2,0),IF(AND(BC17=BC$5,BD$6&gt;=$D$129),1,0),IF(AND(BD17=BC$5,BD$6&gt;=$D$129),1,0),IF(AND(BE17=BC$5,BD$6&gt;=$D$129),1,0),IF(BC17&amp;BF17=BF$5,4,0),IF(AND(BC17=BC$5,BD$6&lt;=$D$104),-0.5,0),IF(AND(BD17=BC$5,BD$6&lt;=$D$104),-0.5,0),IF(AND(BE17=BC$5,BD$6&lt;=$D$104),-0.5,0))</f>
        <v/>
      </c>
      <c r="BH17" s="416" t="n">
        <v>6</v>
      </c>
      <c r="BI17" s="418" t="n">
        <v>9</v>
      </c>
      <c r="BJ17" s="418" t="n">
        <v>1</v>
      </c>
      <c r="BK17" s="418" t="inlineStr">
        <is>
          <t>F</t>
        </is>
      </c>
      <c r="BL17" s="602">
        <f>SUM(IF(BH17=BH$5,4,0),IF(BH17&amp;BI17=BH$5&amp;BI$5,1,0),
IF(AND(BH17=BH$5,BI$6&gt;=$D$115),1,0),
IF(AND(BI17=BH$5,BI$6&gt;=$D$115),1,0),
IF(AND(BJ17=BH$5,BI$6&gt;=$D$115),1,0),
IF(BH17&amp;BK17=BL$5,1,0),
IF(BI17=BH$5,2,0),
IF(BJ17=BH$5,1,0),
IF(OR(BH17&amp;BI17&amp;BJ17=BH$5&amp;BI$5&amp;BJ$5,BH17&amp;BI17&amp;BJ17=BH$5&amp;BJ$5&amp;BI$5,BH17&amp;BI17&amp;BJ17=BI$5&amp;BH$5&amp;BJ$5,BH17&amp;BI17&amp;BJ17=BI$5&amp;BJ$5&amp;BH$5,BH17&amp;BI17&amp;BJ17=BJ$5&amp;BH$5&amp;BI$5,BH17&amp;BI17&amp;BJ17=BJ$5&amp;BI$5&amp;BH$5),2,0),IF(AND(BH17=BH$5,BI$6&gt;=$D$129),1,0),IF(AND(BI17=BH$5,BI$6&gt;=$D$129),1,0),IF(AND(BJ17=BH$5,BI$6&gt;=$D$129),1,0),IF(BH17&amp;BK17=BK$5,4,0),IF(AND(BH17=BH$5,BI$6&lt;=$D$104),-0.5,0),IF(AND(BI17=BH$5,BI$6&lt;=$D$104),-0.5,0),IF(AND(BJ17=BH$5,BI$6&lt;=$D$104),-0.5,0))</f>
        <v/>
      </c>
      <c r="BM17" s="416" t="n">
        <v>4</v>
      </c>
      <c r="BN17" s="418" t="n">
        <v>9</v>
      </c>
      <c r="BO17" s="418" t="n">
        <v>1</v>
      </c>
      <c r="BP17" s="418" t="n"/>
      <c r="BQ17" s="602">
        <f>SUM(IF(BM17=BM$5,4,0),IF(BM17&amp;BN17=BM$5&amp;BN$5,1,0),
IF(AND(BM17=BM$5,BN$6&gt;=$D$115),1,0),
IF(AND(BN17=BM$5,BN$6&gt;=$D$115),1,0),
IF(AND(BO17=BM$5,BN$6&gt;=$D$115),1,0),
IF(BM17&amp;BP17=BQ$5,1,0),
IF(BN17=BM$5,2,0),
IF(BO17=BM$5,1,0),
IF(OR(BM17&amp;BN17&amp;BO17=BM$5&amp;BN$5&amp;BO$5,BM17&amp;BN17&amp;BO17=BM$5&amp;BO$5&amp;BN$5,BM17&amp;BN17&amp;BO17=BN$5&amp;BM$5&amp;BO$5,BM17&amp;BN17&amp;BO17=BN$5&amp;BO$5&amp;BM$5,BM17&amp;BN17&amp;BO17=BO$5&amp;BM$5&amp;BN$5,BM17&amp;BN17&amp;BO17=BO$5&amp;BN$5&amp;BM$5),2,0),IF(AND(BM17=BM$5,BN$6&gt;=$D$129),1,0),IF(AND(BN17=BM$5,BN$6&gt;=$D$129),1,0),IF(AND(BO17=BM$5,BN$6&gt;=$D$129),1,0),IF(BM17&amp;BP17=BP$5,4,0),IF(AND(BM17=BM$5,BN$6&lt;=$D$104),-0.5,0),IF(AND(BN17=BM$5,BN$6&lt;=$D$104),-0.5,0),IF(AND(BO17=BM$5,BN$6&lt;=$D$104),-0.5,0))</f>
        <v/>
      </c>
      <c r="BR17" s="416" t="n">
        <v>11</v>
      </c>
      <c r="BS17" s="418" t="n">
        <v>1</v>
      </c>
      <c r="BT17" s="418" t="n">
        <v>5</v>
      </c>
      <c r="BU17" s="418" t="n"/>
      <c r="BV17" s="602">
        <f>SUM(IF(BR17=BR$5,4,0),IF(BR17&amp;BS17=BR$5&amp;BS$5,1,0),
IF(AND(BR17=BR$5,BS$6&gt;=$D$115),1,0),
IF(AND(BS17=BR$5,BS$6&gt;=$D$115),1,0),
IF(AND(BT17=BR$5,BS$6&gt;=$D$115),1,0),
IF(BR17&amp;BU17=BV$5,1,0),
IF(BS17=BR$5,2,0),
IF(BT17=BR$5,1,0),
IF(OR(BR17&amp;BS17&amp;BT17=BR$5&amp;BS$5&amp;BT$5,BR17&amp;BS17&amp;BT17=BR$5&amp;BT$5&amp;BS$5,BR17&amp;BS17&amp;BT17=BS$5&amp;BR$5&amp;BT$5,BR17&amp;BS17&amp;BT17=BS$5&amp;BT$5&amp;BR$5,BR17&amp;BS17&amp;BT17=BT$5&amp;BR$5&amp;BS$5,BR17&amp;BS17&amp;BT17=BT$5&amp;BS$5&amp;BR$5),2,0),IF(AND(BR17=BR$5,BS$6&gt;=$D$129),1,0),IF(AND(BS17=BR$5,BS$6&gt;=$D$129),1,0),IF(AND(BT17=BR$5,BS$6&gt;=$D$129),1,0),IF(BR17&amp;BU17=BU$5,4,0),IF(AND(BR17=BR$5,BS$6&lt;=$D$104),-0.5,0),IF(AND(BS17=BR$5,BS$6&lt;=$D$104),-0.5,0),IF(AND(BT17=BR$5,BS$6&lt;=$D$104),-0.5,0))</f>
        <v/>
      </c>
      <c r="BW17" s="416" t="n"/>
      <c r="BX17" s="418" t="n"/>
      <c r="BY17" s="418" t="n"/>
      <c r="BZ17" s="418" t="n"/>
      <c r="CA17" s="602">
        <f>SUM(IF(BW17=BW$5,4,0),IF(BW17&amp;BX17=BW$5&amp;BX$5,1,0),
IF(AND(BW17=BW$5,BX$6&gt;=$D$115),1,0),
IF(AND(BX17=BW$5,BX$6&gt;=$D$115),1,0),
IF(AND(BY17=BW$5,BX$6&gt;=$D$115),1,0),
IF(BW17&amp;BZ17=CA$5,1,0),
IF(BX17=BW$5,2,0),
IF(BY17=BW$5,1,0),
IF(OR(BW17&amp;BX17&amp;BY17=BW$5&amp;BX$5&amp;BY$5,BW17&amp;BX17&amp;BY17=BW$5&amp;BY$5&amp;BX$5,BW17&amp;BX17&amp;BY17=BX$5&amp;BW$5&amp;BY$5,BW17&amp;BX17&amp;BY17=BX$5&amp;BY$5&amp;BW$5,BW17&amp;BX17&amp;BY17=BY$5&amp;BW$5&amp;BX$5,BW17&amp;BX17&amp;BY17=BY$5&amp;BX$5&amp;BW$5),2,0),IF(AND(BW17=BW$5,BX$6&gt;=$D$129),1,0),IF(AND(BX17=BW$5,BX$6&gt;=$D$129),1,0),IF(AND(BY17=BW$5,BX$6&gt;=$D$129),1,0),IF(BW17&amp;BZ17=BZ$5,4,0),IF(AND(BW17=BW$5,BX$6&lt;=$D$104),-0.5,0),IF(AND(BX17=BW$5,BX$6&lt;=$D$104),-0.5,0),IF(AND(BY17=BW$5,BX$6&lt;=$D$104),-0.5,0))</f>
        <v/>
      </c>
      <c r="CB17" s="416" t="n"/>
      <c r="CC17" s="418" t="n"/>
      <c r="CD17" s="418" t="n"/>
      <c r="CE17" s="418" t="n"/>
      <c r="CF17" s="602">
        <f>SUM(IF(CB17=CB$5,4,0),IF(CB17&amp;CC17=CB$5&amp;CC$5,1,0),
IF(AND(CB17=CB$5,CC$6&gt;=$D$115),1,0),
IF(AND(CC17=CB$5,CC$6&gt;=$D$115),1,0),
IF(AND(CD17=CB$5,CC$6&gt;=$D$115),1,0),
IF(CB17&amp;CE17=CF$5,1,0),
IF(CC17=CB$5,2,0),
IF(CD17=CB$5,1,0),
IF(OR(CB17&amp;CC17&amp;CD17=CB$5&amp;CC$5&amp;CD$5,CB17&amp;CC17&amp;CD17=CB$5&amp;CD$5&amp;CC$5,CB17&amp;CC17&amp;CD17=CC$5&amp;CB$5&amp;CD$5,CB17&amp;CC17&amp;CD17=CC$5&amp;CD$5&amp;CB$5,CB17&amp;CC17&amp;CD17=CD$5&amp;CB$5&amp;CC$5,CB17&amp;CC17&amp;CD17=CD$5&amp;CC$5&amp;CB$5),2,0),IF(AND(CB17=CB$5,CC$6&gt;=$D$129),1,0),IF(AND(CC17=CB$5,CC$6&gt;=$D$129),1,0),IF(AND(CD17=CB$5,CC$6&gt;=$D$129),1,0),IF(CB17&amp;CE17=CE$5,4,0),IF(AND(CB17=CB$5,CC$6&lt;=$D$104),-0.5,0),IF(AND(CC17=CB$5,CC$6&lt;=$D$104),-0.5,0),IF(AND(CD17=CB$5,CC$6&lt;=$D$104),-0.5,0))</f>
        <v/>
      </c>
      <c r="CG17" s="164">
        <f>IF(SEMANA2[[#This Row],[1]]="",0,$B$4)</f>
        <v/>
      </c>
      <c r="CH17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7" s="166">
        <f>IF(SEMANA2[[#This Row],[Columna14]]=0,0,(CH17/CG17))</f>
        <v/>
      </c>
      <c r="CJ17" s="165">
        <f>IF(SEMANA2[[#This Row],[1]]="",0,$B$4)</f>
        <v/>
      </c>
      <c r="CK17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7" s="166">
        <f>IF(SEMANA2[[#This Row],[Columna14]]=0,0,(CK17/CJ17))</f>
        <v/>
      </c>
      <c r="CM17" s="164">
        <f>IF(SEMANA2[[#This Row],[1]]="",0,$B$4)</f>
        <v/>
      </c>
      <c r="CN17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7" s="166">
        <f>IF(SEMANA2[[#This Row],[Columna14]]=0,0,(CN17/CM17))</f>
        <v/>
      </c>
      <c r="CP17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7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Row],[Columna25]],$AX$5,BA17,"SF")+COUNTIFS(SEMANA2[[#This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7" s="166">
        <f>IFERROR(IF(SEMANA2[[#This Row],[Columna14]]=0,0,(CQ17/CP17)),0)</f>
        <v/>
      </c>
      <c r="CS17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7" s="95">
        <f>_xlfn.XLOOKUP(SEMANA2[[#This Row],[COD]],BASE01[COD],BASE01[Columna33])</f>
        <v/>
      </c>
      <c r="CU17" s="604">
        <f>SUM(CS17,CT17)</f>
        <v/>
      </c>
      <c r="CV17" s="450">
        <f>IF(SEMANA2[[#This Row],[TIPO]]="PREMIO",$O$3,"0,00")</f>
        <v/>
      </c>
      <c r="CW17" s="576" t="n"/>
      <c r="CY17" s="393" t="n">
        <v>10</v>
      </c>
      <c r="CZ17" s="354">
        <f>$AY$6</f>
        <v/>
      </c>
      <c r="DB17" s="605">
        <f>SEMANA2[[#This Row],[COD]]</f>
        <v/>
      </c>
      <c r="DC17" s="395">
        <f t="array" ref="DC17">IFERROR(IF(AND(INDEX($E$8:$CE$57, MATCH($C17, $C$8:$C$57, 0), (COLUMNS($DC17:DC17)-1)*5 + 1) = INDEX($E$5:$CE$5, 1, (COLUMNS($DC17:DC17)-1)*5 + 1), INDEX($E$8:$CE$57, MATCH($C17, $C$8:$C$57, 0), (COLUMNS($DC17:DC17)-1)*5 + 4) = "F"), INDEX($CZ$8:$CZ$23, COLUMNS($DC17:DC17)), "0"), "")</f>
        <v/>
      </c>
      <c r="DD17" s="395">
        <f t="array" ref="DD17">IFERROR(IF(AND(INDEX($E$8:$CE$57, MATCH($C17, $C$8:$C$57, 0), (COLUMNS($DC17:DD17)-1)*5 + 1) = INDEX($E$5:$CE$5, 1, (COLUMNS($DC17:DD17)-1)*5 + 1), INDEX($E$8:$CE$57, MATCH($C17, $C$8:$C$57, 0), (COLUMNS($DC17:DD17)-1)*5 + 4) = "F"), INDEX($CZ$8:$CZ$23, COLUMNS($DC17:DD17)), "0"), "")</f>
        <v/>
      </c>
      <c r="DE17" s="395">
        <f t="array" ref="DE17">IFERROR(IF(AND(INDEX($E$8:$CE$57, MATCH($C17, $C$8:$C$57, 0), (COLUMNS($DC17:DE17)-1)*5 + 1) = INDEX($E$5:$CE$5, 1, (COLUMNS($DC17:DE17)-1)*5 + 1), INDEX($E$8:$CE$57, MATCH($C17, $C$8:$C$57, 0), (COLUMNS($DC17:DE17)-1)*5 + 4) = "F"), INDEX($CZ$8:$CZ$23, COLUMNS($DC17:DE17)), "0"), "")</f>
        <v/>
      </c>
      <c r="DF17" s="395">
        <f t="array" ref="DF17">IFERROR(IF(AND(INDEX($E$8:$CE$57, MATCH($C17, $C$8:$C$57, 0), (COLUMNS($DC17:DF17)-1)*5 + 1) = INDEX($E$5:$CE$5, 1, (COLUMNS($DC17:DF17)-1)*5 + 1), INDEX($E$8:$CE$57, MATCH($C17, $C$8:$C$57, 0), (COLUMNS($DC17:DF17)-1)*5 + 4) = "F"), INDEX($CZ$8:$CZ$23, COLUMNS($DC17:DF17)), "0"), "")</f>
        <v/>
      </c>
      <c r="DG17" s="395">
        <f t="array" ref="DG17">IFERROR(IF(AND(INDEX($E$8:$CE$57, MATCH($C17, $C$8:$C$57, 0), (COLUMNS($DC17:DG17)-1)*5 + 1) = INDEX($E$5:$CE$5, 1, (COLUMNS($DC17:DG17)-1)*5 + 1), INDEX($E$8:$CE$57, MATCH($C17, $C$8:$C$57, 0), (COLUMNS($DC17:DG17)-1)*5 + 4) = "F"), INDEX($CZ$8:$CZ$23, COLUMNS($DC17:DG17)), "0"), "")</f>
        <v/>
      </c>
      <c r="DH17" s="395">
        <f t="array" ref="DH17">IFERROR(IF(AND(INDEX($E$8:$CE$57, MATCH($C17, $C$8:$C$57, 0), (COLUMNS($DC17:DH17)-1)*5 + 1) = INDEX($E$5:$CE$5, 1, (COLUMNS($DC17:DH17)-1)*5 + 1), INDEX($E$8:$CE$57, MATCH($C17, $C$8:$C$57, 0), (COLUMNS($DC17:DH17)-1)*5 + 4) = "F"), INDEX($CZ$8:$CZ$23, COLUMNS($DC17:DH17)), "0"), "")</f>
        <v/>
      </c>
      <c r="DI17" s="395">
        <f t="array" ref="DI17">IFERROR(IF(AND(INDEX($E$8:$CE$57, MATCH($C17, $C$8:$C$57, 0), (COLUMNS($DC17:DI17)-1)*5 + 1) = INDEX($E$5:$CE$5, 1, (COLUMNS($DC17:DI17)-1)*5 + 1), INDEX($E$8:$CE$57, MATCH($C17, $C$8:$C$57, 0), (COLUMNS($DC17:DI17)-1)*5 + 4) = "F"), INDEX($CZ$8:$CZ$23, COLUMNS($DC17:DI17)), "0"), "")</f>
        <v/>
      </c>
      <c r="DJ17" s="395">
        <f t="array" ref="DJ17">IFERROR(IF(AND(INDEX($E$8:$CE$57, MATCH($C17, $C$8:$C$57, 0), (COLUMNS($DC17:DJ17)-1)*5 + 1) = INDEX($E$5:$CE$5, 1, (COLUMNS($DC17:DJ17)-1)*5 + 1), INDEX($E$8:$CE$57, MATCH($C17, $C$8:$C$57, 0), (COLUMNS($DC17:DJ17)-1)*5 + 4) = "F"), INDEX($CZ$8:$CZ$23, COLUMNS($DC17:DJ17)), "0"), "")</f>
        <v/>
      </c>
      <c r="DK17" s="395">
        <f t="array" ref="DK17">IFERROR(IF(AND(INDEX($E$8:$CE$57, MATCH($C17, $C$8:$C$57, 0), (COLUMNS($DC17:DK17)-1)*5 + 1) = INDEX($E$5:$CE$5, 1, (COLUMNS($DC17:DK17)-1)*5 + 1), INDEX($E$8:$CE$57, MATCH($C17, $C$8:$C$57, 0), (COLUMNS($DC17:DK17)-1)*5 + 4) = "F"), INDEX($CZ$8:$CZ$23, COLUMNS($DC17:DK17)), "0"), "")</f>
        <v/>
      </c>
      <c r="DL17" s="395">
        <f t="array" ref="DL17">IFERROR(IF(AND(INDEX($E$8:$CE$57, MATCH($C17, $C$8:$C$57, 0), (COLUMNS($DC17:DL17)-1)*5 + 1) = INDEX($E$5:$CE$5, 1, (COLUMNS($DC17:DL17)-1)*5 + 1), INDEX($E$8:$CE$57, MATCH($C17, $C$8:$C$57, 0), (COLUMNS($DC17:DL17)-1)*5 + 4) = "F"), INDEX($CZ$8:$CZ$23, COLUMNS($DC17:DL17)), "0"), "")</f>
        <v/>
      </c>
      <c r="DM17" s="395">
        <f t="array" ref="DM17">IFERROR(IF(AND(INDEX($E$8:$CE$57, MATCH($C17, $C$8:$C$57, 0), (COLUMNS($DC17:DM17)-1)*5 + 1) = INDEX($E$5:$CE$5, 1, (COLUMNS($DC17:DM17)-1)*5 + 1), INDEX($E$8:$CE$57, MATCH($C17, $C$8:$C$57, 0), (COLUMNS($DC17:DM17)-1)*5 + 4) = "F"), INDEX($CZ$8:$CZ$23, COLUMNS($DC17:DM17)), "0"), "")</f>
        <v/>
      </c>
      <c r="DN17" s="395">
        <f t="array" ref="DN17">IFERROR(IF(AND(INDEX($E$8:$CE$57, MATCH($C17, $C$8:$C$57, 0), (COLUMNS($DC17:DN17)-1)*5 + 1) = INDEX($E$5:$CE$5, 1, (COLUMNS($DC17:DN17)-1)*5 + 1), INDEX($E$8:$CE$57, MATCH($C17, $C$8:$C$57, 0), (COLUMNS($DC17:DN17)-1)*5 + 4) = "F"), INDEX($CZ$8:$CZ$23, COLUMNS($DC17:DN17)), "0"), "")</f>
        <v/>
      </c>
      <c r="DO17" s="395">
        <f t="array" ref="DO17">IFERROR(IF(AND(INDEX($E$8:$CE$57, MATCH($C17, $C$8:$C$57, 0), (COLUMNS($DC17:DO17)-1)*5 + 1) = INDEX($E$5:$CE$5, 1, (COLUMNS($DC17:DO17)-1)*5 + 1), INDEX($E$8:$CE$57, MATCH($C17, $C$8:$C$57, 0), (COLUMNS($DC17:DO17)-1)*5 + 4) = "F"), INDEX($CZ$8:$CZ$23, COLUMNS($DC17:DO17)), "0"), "")</f>
        <v/>
      </c>
      <c r="DP17" s="395">
        <f t="array" ref="DP17">IFERROR(IF(AND(INDEX($E$8:$CE$57, MATCH($C17, $C$8:$C$57, 0), (COLUMNS($DC17:DP17)-1)*5 + 1) = INDEX($E$5:$CE$5, 1, (COLUMNS($DC17:DP17)-1)*5 + 1), INDEX($E$8:$CE$57, MATCH($C17, $C$8:$C$57, 0), (COLUMNS($DC17:DP17)-1)*5 + 4) = "F"), INDEX($CZ$8:$CZ$23, COLUMNS($DC17:DP17)), "0"), "")</f>
        <v/>
      </c>
      <c r="DQ17" s="395">
        <f t="array" ref="DQ17">IFERROR(IF(AND(INDEX($E$8:$CE$57, MATCH($C17, $C$8:$C$57, 0), (COLUMNS($DC17:DQ17)-1)*5 + 1) = INDEX($E$5:$CE$5, 1, (COLUMNS($DC17:DQ17)-1)*5 + 1), INDEX($E$8:$CE$57, MATCH($C17, $C$8:$C$57, 0), (COLUMNS($DC17:DQ17)-1)*5 + 4) = "F"), INDEX($CZ$8:$CZ$23, COLUMNS($DC17:DQ17)), "0"), "")</f>
        <v/>
      </c>
      <c r="DR17" s="395">
        <f t="array" ref="DR17">IFERROR(IF(AND(INDEX($E$8:$CE$57, MATCH($C17, $C$8:$C$57, 0), (COLUMNS($DC17:DR17)-1)*5 + 1) = INDEX($E$5:$CE$5, 1, (COLUMNS($DC17:DR17)-1)*5 + 1), INDEX($E$8:$CE$57, MATCH($C17, $C$8:$C$57, 0), (COLUMNS($DC17:DR17)-1)*5 + 4) = "F"), INDEX($CZ$8:$CZ$23, COLUMNS($DC17:DR17)), "0"), "")</f>
        <v/>
      </c>
      <c r="DT17" s="605">
        <f>SEMANA2[[#This Row],[COD]]</f>
        <v/>
      </c>
      <c r="DU17" s="395">
        <f t="array" ref="DU17">IFERROR(IF(AND(INDEX($E$8:$CE$57, MATCH($C17, $C$8:$C$57, 0), (COLUMNS($DU17:DU17)-1)*5 + 1) = INDEX($E$5:$CE$5, 1, (COLUMNS($DU17:DU17)-1)*5 + 1), INDEX($E$8:$CE$57, MATCH($C17, $C$8:$C$57, 0), (COLUMNS($DU17:DU17)-1)*5 + 4) = "SF"), INDEX($CZ$8:$CZ$23, COLUMNS($DU17:DU17)), "0"), "")</f>
        <v/>
      </c>
      <c r="DV17" s="395">
        <f t="array" ref="DV17">IFERROR(IF(AND(INDEX($E$8:$CE$57, MATCH($C17, $C$8:$C$57, 0), (COLUMNS($DU17:DV17)-1)*5 + 1) = INDEX($E$5:$CE$5, 1, (COLUMNS($DU17:DV17)-1)*5 + 1), INDEX($E$8:$CE$57, MATCH($C17, $C$8:$C$57, 0), (COLUMNS($DU17:DV17)-1)*5 + 4) = "SF"), INDEX($CZ$8:$CZ$23, COLUMNS($DU17:DV17)), "0"), "")</f>
        <v/>
      </c>
      <c r="DW17" s="395">
        <f t="array" ref="DW17">IFERROR(IF(AND(INDEX($E$8:$CE$57, MATCH($C17, $C$8:$C$57, 0), (COLUMNS($DU17:DW17)-1)*5 + 1) = INDEX($E$5:$CE$5, 1, (COLUMNS($DU17:DW17)-1)*5 + 1), INDEX($E$8:$CE$57, MATCH($C17, $C$8:$C$57, 0), (COLUMNS($DU17:DW17)-1)*5 + 4) = "SF"), INDEX($CZ$8:$CZ$23, COLUMNS($DU17:DW17)), "0"), "")</f>
        <v/>
      </c>
      <c r="DX17" s="395">
        <f t="array" ref="DX17">IFERROR(IF(AND(INDEX($E$8:$CE$57, MATCH($C17, $C$8:$C$57, 0), (COLUMNS($DU17:DX17)-1)*5 + 1) = INDEX($E$5:$CE$5, 1, (COLUMNS($DU17:DX17)-1)*5 + 1), INDEX($E$8:$CE$57, MATCH($C17, $C$8:$C$57, 0), (COLUMNS($DU17:DX17)-1)*5 + 4) = "SF"), INDEX($CZ$8:$CZ$23, COLUMNS($DU17:DX17)), "0"), "")</f>
        <v/>
      </c>
      <c r="DY17" s="395">
        <f t="array" ref="DY17">IFERROR(IF(AND(INDEX($E$8:$CE$57, MATCH($C17, $C$8:$C$57, 0), (COLUMNS($DU17:DY17)-1)*5 + 1) = INDEX($E$5:$CE$5, 1, (COLUMNS($DU17:DY17)-1)*5 + 1), INDEX($E$8:$CE$57, MATCH($C17, $C$8:$C$57, 0), (COLUMNS($DU17:DY17)-1)*5 + 4) = "SF"), INDEX($CZ$8:$CZ$23, COLUMNS($DU17:DY17)), "0"), "")</f>
        <v/>
      </c>
      <c r="DZ17" s="395">
        <f t="array" ref="DZ17">IFERROR(IF(AND(INDEX($E$8:$CE$57, MATCH($C17, $C$8:$C$57, 0), (COLUMNS($DU17:DZ17)-1)*5 + 1) = INDEX($E$5:$CE$5, 1, (COLUMNS($DU17:DZ17)-1)*5 + 1), INDEX($E$8:$CE$57, MATCH($C17, $C$8:$C$57, 0), (COLUMNS($DU17:DZ17)-1)*5 + 4) = "SF"), INDEX($CZ$8:$CZ$23, COLUMNS($DU17:DZ17)), "0"), "")</f>
        <v/>
      </c>
      <c r="EA17" s="395">
        <f t="array" ref="EA17">IFERROR(IF(AND(INDEX($E$8:$CE$57, MATCH($C17, $C$8:$C$57, 0), (COLUMNS($DU17:EA17)-1)*5 + 1) = INDEX($E$5:$CE$5, 1, (COLUMNS($DU17:EA17)-1)*5 + 1), INDEX($E$8:$CE$57, MATCH($C17, $C$8:$C$57, 0), (COLUMNS($DU17:EA17)-1)*5 + 4) = "SF"), INDEX($CZ$8:$CZ$23, COLUMNS($DU17:EA17)), "0"), "")</f>
        <v/>
      </c>
      <c r="EB17" s="395">
        <f t="array" ref="EB17">IFERROR(IF(AND(INDEX($E$8:$CE$57, MATCH($C17, $C$8:$C$57, 0), (COLUMNS($DU17:EB17)-1)*5 + 1) = INDEX($E$5:$CE$5, 1, (COLUMNS($DU17:EB17)-1)*5 + 1), INDEX($E$8:$CE$57, MATCH($C17, $C$8:$C$57, 0), (COLUMNS($DU17:EB17)-1)*5 + 4) = "SF"), INDEX($CZ$8:$CZ$23, COLUMNS($DU17:EB17)), "0"), "")</f>
        <v/>
      </c>
      <c r="EC17" s="395">
        <f t="array" ref="EC17">IFERROR(IF(AND(INDEX($E$8:$CE$57, MATCH($C17, $C$8:$C$57, 0), (COLUMNS($DU17:EC17)-1)*5 + 1) = INDEX($E$5:$CE$5, 1, (COLUMNS($DU17:EC17)-1)*5 + 1), INDEX($E$8:$CE$57, MATCH($C17, $C$8:$C$57, 0), (COLUMNS($DU17:EC17)-1)*5 + 4) = "SF"), INDEX($CZ$8:$CZ$23, COLUMNS($DU17:EC17)), "0"), "")</f>
        <v/>
      </c>
      <c r="ED17" s="395">
        <f t="array" ref="ED17">IFERROR(IF(AND(INDEX($E$8:$CE$57, MATCH($C17, $C$8:$C$57, 0), (COLUMNS($DU17:ED17)-1)*5 + 1) = INDEX($E$5:$CE$5, 1, (COLUMNS($DU17:ED17)-1)*5 + 1), INDEX($E$8:$CE$57, MATCH($C17, $C$8:$C$57, 0), (COLUMNS($DU17:ED17)-1)*5 + 4) = "SF"), INDEX($CZ$8:$CZ$23, COLUMNS($DU17:ED17)), "0"), "")</f>
        <v/>
      </c>
      <c r="EE17" s="395">
        <f t="array" ref="EE17">IFERROR(IF(AND(INDEX($E$8:$CE$57, MATCH($C17, $C$8:$C$57, 0), (COLUMNS($DU17:EE17)-1)*5 + 1) = INDEX($E$5:$CE$5, 1, (COLUMNS($DU17:EE17)-1)*5 + 1), INDEX($E$8:$CE$57, MATCH($C17, $C$8:$C$57, 0), (COLUMNS($DU17:EE17)-1)*5 + 4) = "SF"), INDEX($CZ$8:$CZ$23, COLUMNS($DU17:EE17)), "0"), "")</f>
        <v/>
      </c>
      <c r="EF17" s="395">
        <f t="array" ref="EF17">IFERROR(IF(AND(INDEX($E$8:$CE$57, MATCH($C17, $C$8:$C$57, 0), (COLUMNS($DU17:EF17)-1)*5 + 1) = INDEX($E$5:$CE$5, 1, (COLUMNS($DU17:EF17)-1)*5 + 1), INDEX($E$8:$CE$57, MATCH($C17, $C$8:$C$57, 0), (COLUMNS($DU17:EF17)-1)*5 + 4) = "SF"), INDEX($CZ$8:$CZ$23, COLUMNS($DU17:EF17)), "0"), "")</f>
        <v/>
      </c>
      <c r="EG17" s="395">
        <f t="array" ref="EG17">IFERROR(IF(AND(INDEX($E$8:$CE$57, MATCH($C17, $C$8:$C$57, 0), (COLUMNS($DU17:EG17)-1)*5 + 1) = INDEX($E$5:$CE$5, 1, (COLUMNS($DU17:EG17)-1)*5 + 1), INDEX($E$8:$CE$57, MATCH($C17, $C$8:$C$57, 0), (COLUMNS($DU17:EG17)-1)*5 + 4) = "SF"), INDEX($CZ$8:$CZ$23, COLUMNS($DU17:EG17)), "0"), "")</f>
        <v/>
      </c>
      <c r="EH17" s="395">
        <f t="array" ref="EH17">IFERROR(IF(AND(INDEX($E$8:$CE$57, MATCH($C17, $C$8:$C$57, 0), (COLUMNS($DU17:EH17)-1)*5 + 1) = INDEX($E$5:$CE$5, 1, (COLUMNS($DU17:EH17)-1)*5 + 1), INDEX($E$8:$CE$57, MATCH($C17, $C$8:$C$57, 0), (COLUMNS($DU17:EH17)-1)*5 + 4) = "SF"), INDEX($CZ$8:$CZ$23, COLUMNS($DU17:EH17)), "0"), "")</f>
        <v/>
      </c>
      <c r="EI17" s="395">
        <f t="array" ref="EI17">IFERROR(IF(AND(INDEX($E$8:$CE$57, MATCH($C17, $C$8:$C$57, 0), (COLUMNS($DU17:EI17)-1)*5 + 1) = INDEX($E$5:$CE$5, 1, (COLUMNS($DU17:EI17)-1)*5 + 1), INDEX($E$8:$CE$57, MATCH($C17, $C$8:$C$57, 0), (COLUMNS($DU17:EI17)-1)*5 + 4) = "SF"), INDEX($CZ$8:$CZ$23, COLUMNS($DU17:EI17)), "0"), "")</f>
        <v/>
      </c>
      <c r="EJ17" s="395">
        <f t="array" ref="EJ17">IFERROR(IF(AND(INDEX($E$8:$CE$57, MATCH($C17, $C$8:$C$57, 0), (COLUMNS($DU17:EJ17)-1)*5 + 1) = INDEX($E$5:$CE$5, 1, (COLUMNS($DU17:EJ17)-1)*5 + 1), INDEX($E$8:$CE$57, MATCH($C17, $C$8:$C$57, 0), (COLUMNS($DU17:EJ17)-1)*5 + 4) = "SF"), INDEX($CZ$8:$CZ$23, COLUMNS($DU17:EJ17)), "0"), "")</f>
        <v/>
      </c>
    </row>
    <row r="18" ht="20.1" customHeight="1" s="568">
      <c r="A18" s="576" t="n"/>
      <c r="B18" s="449">
        <f>IF(SEMANA2[[#This Row],[COD]]&lt;&gt;"",B17+1,"")</f>
        <v/>
      </c>
      <c r="C18" s="622" t="inlineStr">
        <is>
          <t>COD 11</t>
        </is>
      </c>
      <c r="D18" s="415">
        <f t="array" ref="D18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8" s="416" t="n">
        <v>9</v>
      </c>
      <c r="F18" s="418" t="n">
        <v>6</v>
      </c>
      <c r="G18" s="418" t="n">
        <v>2</v>
      </c>
      <c r="H18" s="418" t="n"/>
      <c r="I18" s="602">
        <f>SUM(IF(E18=E$5,4,0),IF(E18&amp;F18=E$5&amp;F$5,1,0),
IF(AND(E18=E$5,F$6&gt;=$D$115),1,0),
IF(AND(F18=E$5,F$6&gt;=$D$115),1,0),
IF(AND(G18=E$5,F$6&gt;=$D$115),1,0),
IF(E18&amp;H18=I$5,1,0),
IF(F18=E$5,2,0),
IF(G18=E$5,1,0),
IF(OR(E18&amp;F18&amp;G18=E$5&amp;F$5&amp;G$5,E18&amp;F18&amp;G18=E$5&amp;G$5&amp;F$5,E18&amp;F18&amp;G18=F$5&amp;E$5&amp;G$5,E18&amp;F18&amp;G18=F$5&amp;G$5&amp;E$5,E18&amp;F18&amp;G18=G$5&amp;E$5&amp;F$5,E18&amp;F18&amp;G18=G$5&amp;F$5&amp;E$5),2,0),IF(AND(E18=E$5,F$6&gt;=$D$129),1,0),IF(AND(F18=E$5,F$6&gt;=$D$129),1,0),IF(AND(G18=E$5,F$6&gt;=$D$129),1,0),IF(E18&amp;H18=H$5,4,0),IF(AND(E18=E$5,F$6&lt;=$D$104),-0.5,0),IF(AND(F18=E$5,F$6&lt;=$D$104),-0.5,0),IF(AND(G18=E$5,F$6&lt;=$D$104),-0.5,0))</f>
        <v/>
      </c>
      <c r="J18" s="416" t="n">
        <v>1</v>
      </c>
      <c r="K18" s="418" t="n">
        <v>7</v>
      </c>
      <c r="L18" s="418" t="n">
        <v>2</v>
      </c>
      <c r="M18" s="418" t="inlineStr">
        <is>
          <t>F</t>
        </is>
      </c>
      <c r="N18" s="602">
        <f>SUM(IF(J18=J$5,4,0),IF(J18&amp;K18=J$5&amp;K$5,1,0),
IF(AND(J18=J$5,K$6&gt;=$D$115),1,0),
IF(AND(K18=J$5,K$6&gt;=$D$115),1,0),
IF(AND(L18=J$5,K$6&gt;=$D$115),1,0),
IF(J18&amp;M18=N$5,1,0),
IF(K18=J$5,2,0),
IF(L18=J$5,1,0),
IF(OR(J18&amp;K18&amp;L18=J$5&amp;K$5&amp;L$5,J18&amp;K18&amp;L18=J$5&amp;L$5&amp;K$5,J18&amp;K18&amp;L18=K$5&amp;J$5&amp;L$5,J18&amp;K18&amp;L18=K$5&amp;L$5&amp;J$5,J18&amp;K18&amp;L18=L$5&amp;J$5&amp;K$5,J18&amp;K18&amp;L18=L$5&amp;K$5&amp;J$5),2,0),IF(AND(J18=J$5,K$6&gt;=$D$129),1,0),IF(AND(K18=J$5,K$6&gt;=$D$129),1,0),IF(AND(L18=J$5,K$6&gt;=$D$129),1,0),IF(J18&amp;M18=M$5,4,0),IF(AND(J18=J$5,K$6&lt;=$D$104),-0.5,0),IF(AND(K18=J$5,K$6&lt;=$D$104),-0.5,0),IF(AND(L18=J$5,K$6&lt;=$D$104),-0.5,0))</f>
        <v/>
      </c>
      <c r="O18" s="416" t="n">
        <v>5</v>
      </c>
      <c r="P18" s="418" t="n">
        <v>1</v>
      </c>
      <c r="Q18" s="418" t="n">
        <v>3</v>
      </c>
      <c r="R18" s="418" t="n"/>
      <c r="S18" s="602">
        <f>SUM(IF(O18=O$5,4,0),IF(O18&amp;P18=O$5&amp;P$5,1,0),
IF(AND(O18=O$5,P$6&gt;=$D$115),1,0),
IF(AND(P18=O$5,P$6&gt;=$D$115),1,0),
IF(AND(Q18=O$5,P$6&gt;=$D$115),1,0),
IF(O18&amp;R18=S$5,1,0),
IF(P18=O$5,2,0),
IF(Q18=O$5,1,0),
IF(OR(O18&amp;P18&amp;Q18=O$5&amp;P$5&amp;Q$5,O18&amp;P18&amp;Q18=O$5&amp;Q$5&amp;P$5,O18&amp;P18&amp;Q18=P$5&amp;O$5&amp;Q$5,O18&amp;P18&amp;Q18=P$5&amp;Q$5&amp;O$5,O18&amp;P18&amp;Q18=Q$5&amp;O$5&amp;P$5,O18&amp;P18&amp;Q18=Q$5&amp;P$5&amp;O$5),2,0),IF(AND(O18=O$5,P$6&gt;=$D$129),1,0),IF(AND(P18=O$5,P$6&gt;=$D$129),1,0),IF(AND(Q18=O$5,P$6&gt;=$D$129),1,0),IF(O18&amp;R18=R$5,4,0),IF(AND(O18=O$5,P$6&lt;=$D$104),-0.5,0),IF(AND(P18=O$5,P$6&lt;=$D$104),-0.5,0),IF(AND(Q18=O$5,P$6&lt;=$D$104),-0.5,0))</f>
        <v/>
      </c>
      <c r="T18" s="416" t="n">
        <v>3</v>
      </c>
      <c r="U18" s="418" t="n">
        <v>5</v>
      </c>
      <c r="V18" s="418" t="n">
        <v>4</v>
      </c>
      <c r="W18" s="418" t="n"/>
      <c r="X18" s="602">
        <f>SUM(IF(T18=T$5,4,0),IF(T18&amp;U18=T$5&amp;U$5,1,0),
IF(AND(T18=T$5,U$6&gt;=$D$115),1,0),
IF(AND(U18=T$5,U$6&gt;=$D$115),1,0),
IF(AND(V18=T$5,U$6&gt;=$D$115),1,0),
IF(T18&amp;W18=X$5,1,0),
IF(U18=T$5,2,0),
IF(V18=T$5,1,0),
IF(OR(T18&amp;U18&amp;V18=T$5&amp;U$5&amp;V$5,T18&amp;U18&amp;V18=T$5&amp;V$5&amp;U$5,T18&amp;U18&amp;V18=U$5&amp;T$5&amp;V$5,T18&amp;U18&amp;V18=U$5&amp;V$5&amp;T$5,T18&amp;U18&amp;V18=V$5&amp;T$5&amp;U$5,T18&amp;U18&amp;V18=V$5&amp;U$5&amp;T$5),2,0),IF(AND(T18=T$5,U$6&gt;=$D$129),1,0),IF(AND(U18=T$5,U$6&gt;=$D$129),1,0),IF(AND(V18=T$5,U$6&gt;=$D$129),1,0),IF(T18&amp;W18=W$5,4,0),IF(AND(T18=T$5,U$6&lt;=$D$104),-0.5,0),IF(AND(U18=T$5,U$6&lt;=$D$104),-0.5,0),IF(AND(V18=T$5,U$6&lt;=$D$104),-0.5,0))</f>
        <v/>
      </c>
      <c r="Y18" s="416" t="n">
        <v>2</v>
      </c>
      <c r="Z18" s="418" t="n">
        <v>1</v>
      </c>
      <c r="AA18" s="418" t="n">
        <v>4</v>
      </c>
      <c r="AB18" s="418" t="n"/>
      <c r="AC18" s="602">
        <f>SUM(IF(Y18=Y$5,4,0),IF(Y18&amp;Z18=Y$5&amp;Z$5,1,0),
IF(AND(Y18=Y$5,Z$6&gt;=$D$115),1,0),
IF(AND(Z18=Y$5,Z$6&gt;=$D$115),1,0),
IF(AND(AA18=Y$5,Z$6&gt;=$D$115),1,0),
IF(Y18&amp;AB18=AC$5,1,0),
IF(Z18=Y$5,2,0),
IF(AA18=Y$5,1,0),
IF(OR(Y18&amp;Z18&amp;AA18=Y$5&amp;Z$5&amp;AA$5,Y18&amp;Z18&amp;AA18=Y$5&amp;AA$5&amp;Z$5,Y18&amp;Z18&amp;AA18=Z$5&amp;Y$5&amp;AA$5,Y18&amp;Z18&amp;AA18=Z$5&amp;AA$5&amp;Y$5,Y18&amp;Z18&amp;AA18=AA$5&amp;Y$5&amp;Z$5,Y18&amp;Z18&amp;AA18=AA$5&amp;Z$5&amp;Y$5),2,0),IF(AND(Y18=Y$5,Z$6&gt;=$D$129),1,0),IF(AND(Z18=Y$5,Z$6&gt;=$D$129),1,0),IF(AND(AA18=Y$5,Z$6&gt;=$D$129),1,0),IF(Y18&amp;AB18=AB$5,4,0),IF(AND(Y18=Y$5,Z$6&lt;=$D$104),-0.5,0),IF(AND(Z18=Y$5,Z$6&lt;=$D$104),-0.5,0),IF(AND(AA18=Y$5,Z$6&lt;=$D$104),-0.5,0))</f>
        <v/>
      </c>
      <c r="AD18" s="416" t="n">
        <v>4</v>
      </c>
      <c r="AE18" s="418" t="n">
        <v>5</v>
      </c>
      <c r="AF18" s="418" t="n">
        <v>2</v>
      </c>
      <c r="AG18" s="418" t="n"/>
      <c r="AH18" s="602">
        <f>SUM(IF(AD18=AD$5,4,0),IF(AD18&amp;AE18=AD$5&amp;AE$5,1,0),
IF(AND(AD18=AD$5,AE$6&gt;=$D$115),1,0),
IF(AND(AE18=AD$5,AE$6&gt;=$D$115),1,0),
IF(AND(AF18=AD$5,AE$6&gt;=$D$115),1,0),
IF(AD18&amp;AG18=AH$5,1,0),
IF(AE18=AD$5,2,0),
IF(AF18=AD$5,1,0),
IF(OR(AD18&amp;AE18&amp;AF18=AD$5&amp;AE$5&amp;AF$5,AD18&amp;AE18&amp;AF18=AD$5&amp;AF$5&amp;AE$5,AD18&amp;AE18&amp;AF18=AE$5&amp;AD$5&amp;AF$5,AD18&amp;AE18&amp;AF18=AE$5&amp;AF$5&amp;AD$5,AD18&amp;AE18&amp;AF18=AF$5&amp;AD$5&amp;AE$5,AD18&amp;AE18&amp;AF18=AF$5&amp;AE$5&amp;AD$5),2,0),IF(AND(AD18=AD$5,AE$6&gt;=$D$129),1,0),IF(AND(AE18=AD$5,AE$6&gt;=$D$129),1,0),IF(AND(AF18=AD$5,AE$6&gt;=$D$129),1,0),IF(AD18&amp;AG18=AG$5,4,0),IF(AND(AD18=AD$5,AE$6&lt;=$D$104),-0.5,0),IF(AND(AE18=AD$5,AE$6&lt;=$D$104),-0.5,0),IF(AND(AF18=AD$5,AE$6&lt;=$D$104),-0.5,0))</f>
        <v/>
      </c>
      <c r="AI18" s="416" t="n">
        <v>7</v>
      </c>
      <c r="AJ18" s="418" t="n">
        <v>6</v>
      </c>
      <c r="AK18" s="418" t="n">
        <v>3</v>
      </c>
      <c r="AL18" s="418" t="n"/>
      <c r="AM18" s="602">
        <f>SUM(IF(AI18=AI$5,4,0),IF(AI18&amp;AJ18=AI$5&amp;AJ$5,1,0),
IF(AND(AI18=AI$5,AJ$6&gt;=$D$115),1,0),
IF(AND(AJ18=AI$5,AJ$6&gt;=$D$115),1,0),
IF(AND(AK18=AI$5,AJ$6&gt;=$D$115),1,0),
IF(AI18&amp;AL18=AM$5,1,0),
IF(AJ18=AI$5,2,0),
IF(AK18=AI$5,1,0),
IF(OR(AI18&amp;AJ18&amp;AK18=AI$5&amp;AJ$5&amp;AK$5,AI18&amp;AJ18&amp;AK18=AI$5&amp;AK$5&amp;AJ$5,AI18&amp;AJ18&amp;AK18=AJ$5&amp;AI$5&amp;AK$5,AI18&amp;AJ18&amp;AK18=AJ$5&amp;AK$5&amp;AI$5,AI18&amp;AJ18&amp;AK18=AK$5&amp;AI$5&amp;AJ$5,AI18&amp;AJ18&amp;AK18=AK$5&amp;AJ$5&amp;AI$5),2,0),IF(AND(AI18=AI$5,AJ$6&gt;=$D$129),1,0),IF(AND(AJ18=AI$5,AJ$6&gt;=$D$129),1,0),IF(AND(AK18=AI$5,AJ$6&gt;=$D$129),1,0),IF(AI18&amp;AL18=AL$5,4,0),IF(AND(AI18=AI$5,AJ$6&lt;=$D$104),-0.5,0),IF(AND(AJ18=AI$5,AJ$6&lt;=$D$104),-0.5,0),IF(AND(AK18=AI$5,AJ$6&lt;=$D$104),-0.5,0))</f>
        <v/>
      </c>
      <c r="AN18" s="416" t="n">
        <v>8</v>
      </c>
      <c r="AO18" s="418" t="n"/>
      <c r="AP18" s="418" t="n"/>
      <c r="AQ18" s="418" t="inlineStr">
        <is>
          <t>SF</t>
        </is>
      </c>
      <c r="AR18" s="602">
        <f>SUM(IF(AN18=AN$5,4,0),IF(AN18&amp;AO18=AN$5&amp;AO$5,1,0),
IF(AND(AN18=AN$5,AO$6&gt;=$D$115),1,0),
IF(AND(AO18=AN$5,AO$6&gt;=$D$115),1,0),
IF(AND(AP18=AN$5,AO$6&gt;=$D$115),1,0),
IF(AN18&amp;AQ18=AR$5,1,0),
IF(AO18=AN$5,2,0),
IF(AP18=AN$5,1,0),
IF(OR(AN18&amp;AO18&amp;AP18=AN$5&amp;AO$5&amp;AP$5,AN18&amp;AO18&amp;AP18=AN$5&amp;AP$5&amp;AO$5,AN18&amp;AO18&amp;AP18=AO$5&amp;AN$5&amp;AP$5,AN18&amp;AO18&amp;AP18=AO$5&amp;AP$5&amp;AN$5,AN18&amp;AO18&amp;AP18=AP$5&amp;AN$5&amp;AO$5,AN18&amp;AO18&amp;AP18=AP$5&amp;AO$5&amp;AN$5),2,0),IF(AND(AN18=AN$5,AO$6&gt;=$D$129),1,0),IF(AND(AO18=AN$5,AO$6&gt;=$D$129),1,0),IF(AND(AP18=AN$5,AO$6&gt;=$D$129),1,0),IF(AN18&amp;AQ18=AQ$5,4,0),IF(AND(AN18=AN$5,AO$6&lt;=$D$104),-0.5,0),IF(AND(AO18=AN$5,AO$6&lt;=$D$104),-0.5,0),IF(AND(AP18=AN$5,AO$6&lt;=$D$104),-0.5,0))</f>
        <v/>
      </c>
      <c r="AS18" s="416" t="n">
        <v>2</v>
      </c>
      <c r="AT18" s="418" t="n">
        <v>1</v>
      </c>
      <c r="AU18" s="418" t="n">
        <v>11</v>
      </c>
      <c r="AV18" s="418" t="n"/>
      <c r="AW18" s="602">
        <f>SUM(IF(AS18=AS$5,4,0),IF(AS18&amp;AT18=AS$5&amp;AT$5,1,0),
IF(AND(AS18=AS$5,AT$6&gt;=$D$115),1,0),
IF(AND(AT18=AS$5,AT$6&gt;=$D$115),1,0),
IF(AND(AU18=AS$5,AT$6&gt;=$D$115),1,0),
IF(AS18&amp;AV18=AW$5,1,0),
IF(AT18=AS$5,2,0),
IF(AU18=AS$5,1,0),
IF(OR(AS18&amp;AT18&amp;AU18=AS$5&amp;AT$5&amp;AU$5,AS18&amp;AT18&amp;AU18=AS$5&amp;AU$5&amp;AT$5,AS18&amp;AT18&amp;AU18=AT$5&amp;AS$5&amp;AU$5,AS18&amp;AT18&amp;AU18=AT$5&amp;AU$5&amp;AS$5,AS18&amp;AT18&amp;AU18=AU$5&amp;AS$5&amp;AT$5,AS18&amp;AT18&amp;AU18=AU$5&amp;AT$5&amp;AS$5),2,0),IF(AND(AS18=AS$5,AT$6&gt;=$D$129),1,0),IF(AND(AT18=AS$5,AT$6&gt;=$D$129),1,0),IF(AND(AU18=AS$5,AT$6&gt;=$D$129),1,0),IF(AS18&amp;AV18=AV$5,4,0),IF(AND(AS18=AS$5,AT$6&lt;=$D$104),-0.5,0),IF(AND(AT18=AS$5,AT$6&lt;=$D$104),-0.5,0),IF(AND(AU18=AS$5,AT$6&lt;=$D$104),-0.5,0))</f>
        <v/>
      </c>
      <c r="AX18" s="416" t="n">
        <v>10</v>
      </c>
      <c r="AY18" s="418" t="n">
        <v>1</v>
      </c>
      <c r="AZ18" s="418" t="n">
        <v>2</v>
      </c>
      <c r="BA18" s="418" t="n"/>
      <c r="BB18" s="602">
        <f>SUM(IF(AX18=AX$5,4,0),IF(AX18&amp;AY18=AX$5&amp;AY$5,1,0),
IF(AND(AX18=AX$5,AY$6&gt;=$D$115),1,0),
IF(AND(AY18=AX$5,AY$6&gt;=$D$115),1,0),
IF(AND(AZ18=AX$5,AY$6&gt;=$D$115),1,0),
IF(AX18&amp;BA18=BB$5,1,0),
IF(AY18=AX$5,2,0),
IF(AZ18=AX$5,1,0),
IF(OR(AX18&amp;AY18&amp;AZ18=AX$5&amp;AY$5&amp;AZ$5,AX18&amp;AY18&amp;AZ18=AX$5&amp;AZ$5&amp;AY$5,AX18&amp;AY18&amp;AZ18=AY$5&amp;AX$5&amp;AZ$5,AX18&amp;AY18&amp;AZ18=AY$5&amp;AZ$5&amp;AX$5,AX18&amp;AY18&amp;AZ18=AZ$5&amp;AX$5&amp;AY$5,AX18&amp;AY18&amp;AZ18=AZ$5&amp;AY$5&amp;AX$5),2,0),IF(AND(AX18=AX$5,AY$6&gt;=$D$129),1,0),IF(AND(AY18=AX$5,AY$6&gt;=$D$129),1,0),IF(AND(AZ18=AX$5,AY$6&gt;=$D$129),1,0),IF(AX18&amp;BA18=BA$5,4,0),IF(AND(AX18=AX$5,AY$6&lt;=$D$104),-0.5,0),IF(AND(AY18=AX$5,AY$6&lt;=$D$104),-0.5,0),IF(AND(AZ18=AX$5,AY$6&lt;=$D$104),-0.5,0))</f>
        <v/>
      </c>
      <c r="BC18" s="416" t="n">
        <v>7</v>
      </c>
      <c r="BD18" s="418" t="n">
        <v>6</v>
      </c>
      <c r="BE18" s="418" t="n">
        <v>3</v>
      </c>
      <c r="BF18" s="418" t="inlineStr">
        <is>
          <t>F</t>
        </is>
      </c>
      <c r="BG18" s="602">
        <f>SUM(IF(BC18=BC$5,4,0),IF(BC18&amp;BD18=BC$5&amp;BD$5,1,0),
IF(AND(BC18=BC$5,BD$6&gt;=$D$115),1,0),
IF(AND(BD18=BC$5,BD$6&gt;=$D$115),1,0),
IF(AND(BE18=BC$5,BD$6&gt;=$D$115),1,0),
IF(BC18&amp;BF18=BG$5,1,0),
IF(BD18=BC$5,2,0),
IF(BE18=BC$5,1,0),
IF(OR(BC18&amp;BD18&amp;BE18=BC$5&amp;BD$5&amp;BE$5,BC18&amp;BD18&amp;BE18=BC$5&amp;BE$5&amp;BD$5,BC18&amp;BD18&amp;BE18=BD$5&amp;BC$5&amp;BE$5,BC18&amp;BD18&amp;BE18=BD$5&amp;BE$5&amp;BC$5,BC18&amp;BD18&amp;BE18=BE$5&amp;BC$5&amp;BD$5,BC18&amp;BD18&amp;BE18=BE$5&amp;BD$5&amp;BC$5),2,0),IF(AND(BC18=BC$5,BD$6&gt;=$D$129),1,0),IF(AND(BD18=BC$5,BD$6&gt;=$D$129),1,0),IF(AND(BE18=BC$5,BD$6&gt;=$D$129),1,0),IF(BC18&amp;BF18=BF$5,4,0),IF(AND(BC18=BC$5,BD$6&lt;=$D$104),-0.5,0),IF(AND(BD18=BC$5,BD$6&lt;=$D$104),-0.5,0),IF(AND(BE18=BC$5,BD$6&lt;=$D$104),-0.5,0))</f>
        <v/>
      </c>
      <c r="BH18" s="416" t="n">
        <v>6</v>
      </c>
      <c r="BI18" s="418" t="n">
        <v>2</v>
      </c>
      <c r="BJ18" s="418" t="n">
        <v>1</v>
      </c>
      <c r="BK18" s="418" t="n"/>
      <c r="BL18" s="602">
        <f>SUM(IF(BH18=BH$5,4,0),IF(BH18&amp;BI18=BH$5&amp;BI$5,1,0),
IF(AND(BH18=BH$5,BI$6&gt;=$D$115),1,0),
IF(AND(BI18=BH$5,BI$6&gt;=$D$115),1,0),
IF(AND(BJ18=BH$5,BI$6&gt;=$D$115),1,0),
IF(BH18&amp;BK18=BL$5,1,0),
IF(BI18=BH$5,2,0),
IF(BJ18=BH$5,1,0),
IF(OR(BH18&amp;BI18&amp;BJ18=BH$5&amp;BI$5&amp;BJ$5,BH18&amp;BI18&amp;BJ18=BH$5&amp;BJ$5&amp;BI$5,BH18&amp;BI18&amp;BJ18=BI$5&amp;BH$5&amp;BJ$5,BH18&amp;BI18&amp;BJ18=BI$5&amp;BJ$5&amp;BH$5,BH18&amp;BI18&amp;BJ18=BJ$5&amp;BH$5&amp;BI$5,BH18&amp;BI18&amp;BJ18=BJ$5&amp;BI$5&amp;BH$5),2,0),IF(AND(BH18=BH$5,BI$6&gt;=$D$129),1,0),IF(AND(BI18=BH$5,BI$6&gt;=$D$129),1,0),IF(AND(BJ18=BH$5,BI$6&gt;=$D$129),1,0),IF(BH18&amp;BK18=BK$5,4,0),IF(AND(BH18=BH$5,BI$6&lt;=$D$104),-0.5,0),IF(AND(BI18=BH$5,BI$6&lt;=$D$104),-0.5,0),IF(AND(BJ18=BH$5,BI$6&lt;=$D$104),-0.5,0))</f>
        <v/>
      </c>
      <c r="BM18" s="416" t="n">
        <v>3</v>
      </c>
      <c r="BN18" s="418" t="n">
        <v>4</v>
      </c>
      <c r="BO18" s="418" t="n">
        <v>9</v>
      </c>
      <c r="BP18" s="418" t="n"/>
      <c r="BQ18" s="602">
        <f>SUM(IF(BM18=BM$5,4,0),IF(BM18&amp;BN18=BM$5&amp;BN$5,1,0),
IF(AND(BM18=BM$5,BN$6&gt;=$D$115),1,0),
IF(AND(BN18=BM$5,BN$6&gt;=$D$115),1,0),
IF(AND(BO18=BM$5,BN$6&gt;=$D$115),1,0),
IF(BM18&amp;BP18=BQ$5,1,0),
IF(BN18=BM$5,2,0),
IF(BO18=BM$5,1,0),
IF(OR(BM18&amp;BN18&amp;BO18=BM$5&amp;BN$5&amp;BO$5,BM18&amp;BN18&amp;BO18=BM$5&amp;BO$5&amp;BN$5,BM18&amp;BN18&amp;BO18=BN$5&amp;BM$5&amp;BO$5,BM18&amp;BN18&amp;BO18=BN$5&amp;BO$5&amp;BM$5,BM18&amp;BN18&amp;BO18=BO$5&amp;BM$5&amp;BN$5,BM18&amp;BN18&amp;BO18=BO$5&amp;BN$5&amp;BM$5),2,0),IF(AND(BM18=BM$5,BN$6&gt;=$D$129),1,0),IF(AND(BN18=BM$5,BN$6&gt;=$D$129),1,0),IF(AND(BO18=BM$5,BN$6&gt;=$D$129),1,0),IF(BM18&amp;BP18=BP$5,4,0),IF(AND(BM18=BM$5,BN$6&lt;=$D$104),-0.5,0),IF(AND(BN18=BM$5,BN$6&lt;=$D$104),-0.5,0),IF(AND(BO18=BM$5,BN$6&lt;=$D$104),-0.5,0))</f>
        <v/>
      </c>
      <c r="BR18" s="416" t="n">
        <v>5</v>
      </c>
      <c r="BS18" s="418" t="n">
        <v>2</v>
      </c>
      <c r="BT18" s="418" t="n">
        <v>11</v>
      </c>
      <c r="BU18" s="418" t="n"/>
      <c r="BV18" s="602">
        <f>SUM(IF(BR18=BR$5,4,0),IF(BR18&amp;BS18=BR$5&amp;BS$5,1,0),
IF(AND(BR18=BR$5,BS$6&gt;=$D$115),1,0),
IF(AND(BS18=BR$5,BS$6&gt;=$D$115),1,0),
IF(AND(BT18=BR$5,BS$6&gt;=$D$115),1,0),
IF(BR18&amp;BU18=BV$5,1,0),
IF(BS18=BR$5,2,0),
IF(BT18=BR$5,1,0),
IF(OR(BR18&amp;BS18&amp;BT18=BR$5&amp;BS$5&amp;BT$5,BR18&amp;BS18&amp;BT18=BR$5&amp;BT$5&amp;BS$5,BR18&amp;BS18&amp;BT18=BS$5&amp;BR$5&amp;BT$5,BR18&amp;BS18&amp;BT18=BS$5&amp;BT$5&amp;BR$5,BR18&amp;BS18&amp;BT18=BT$5&amp;BR$5&amp;BS$5,BR18&amp;BS18&amp;BT18=BT$5&amp;BS$5&amp;BR$5),2,0),IF(AND(BR18=BR$5,BS$6&gt;=$D$129),1,0),IF(AND(BS18=BR$5,BS$6&gt;=$D$129),1,0),IF(AND(BT18=BR$5,BS$6&gt;=$D$129),1,0),IF(BR18&amp;BU18=BU$5,4,0),IF(AND(BR18=BR$5,BS$6&lt;=$D$104),-0.5,0),IF(AND(BS18=BR$5,BS$6&lt;=$D$104),-0.5,0),IF(AND(BT18=BR$5,BS$6&lt;=$D$104),-0.5,0))</f>
        <v/>
      </c>
      <c r="BW18" s="416" t="n"/>
      <c r="BX18" s="418" t="n"/>
      <c r="BY18" s="418" t="n"/>
      <c r="BZ18" s="418" t="n"/>
      <c r="CA18" s="602">
        <f>SUM(IF(BW18=BW$5,4,0),IF(BW18&amp;BX18=BW$5&amp;BX$5,1,0),
IF(AND(BW18=BW$5,BX$6&gt;=$D$115),1,0),
IF(AND(BX18=BW$5,BX$6&gt;=$D$115),1,0),
IF(AND(BY18=BW$5,BX$6&gt;=$D$115),1,0),
IF(BW18&amp;BZ18=CA$5,1,0),
IF(BX18=BW$5,2,0),
IF(BY18=BW$5,1,0),
IF(OR(BW18&amp;BX18&amp;BY18=BW$5&amp;BX$5&amp;BY$5,BW18&amp;BX18&amp;BY18=BW$5&amp;BY$5&amp;BX$5,BW18&amp;BX18&amp;BY18=BX$5&amp;BW$5&amp;BY$5,BW18&amp;BX18&amp;BY18=BX$5&amp;BY$5&amp;BW$5,BW18&amp;BX18&amp;BY18=BY$5&amp;BW$5&amp;BX$5,BW18&amp;BX18&amp;BY18=BY$5&amp;BX$5&amp;BW$5),2,0),IF(AND(BW18=BW$5,BX$6&gt;=$D$129),1,0),IF(AND(BX18=BW$5,BX$6&gt;=$D$129),1,0),IF(AND(BY18=BW$5,BX$6&gt;=$D$129),1,0),IF(BW18&amp;BZ18=BZ$5,4,0),IF(AND(BW18=BW$5,BX$6&lt;=$D$104),-0.5,0),IF(AND(BX18=BW$5,BX$6&lt;=$D$104),-0.5,0),IF(AND(BY18=BW$5,BX$6&lt;=$D$104),-0.5,0))</f>
        <v/>
      </c>
      <c r="CB18" s="416" t="n"/>
      <c r="CC18" s="418" t="n"/>
      <c r="CD18" s="418" t="n"/>
      <c r="CE18" s="418" t="n"/>
      <c r="CF18" s="602">
        <f>SUM(IF(CB18=CB$5,4,0),IF(CB18&amp;CC18=CB$5&amp;CC$5,1,0),
IF(AND(CB18=CB$5,CC$6&gt;=$D$115),1,0),
IF(AND(CC18=CB$5,CC$6&gt;=$D$115),1,0),
IF(AND(CD18=CB$5,CC$6&gt;=$D$115),1,0),
IF(CB18&amp;CE18=CF$5,1,0),
IF(CC18=CB$5,2,0),
IF(CD18=CB$5,1,0),
IF(OR(CB18&amp;CC18&amp;CD18=CB$5&amp;CC$5&amp;CD$5,CB18&amp;CC18&amp;CD18=CB$5&amp;CD$5&amp;CC$5,CB18&amp;CC18&amp;CD18=CC$5&amp;CB$5&amp;CD$5,CB18&amp;CC18&amp;CD18=CC$5&amp;CD$5&amp;CB$5,CB18&amp;CC18&amp;CD18=CD$5&amp;CB$5&amp;CC$5,CB18&amp;CC18&amp;CD18=CD$5&amp;CC$5&amp;CB$5),2,0),IF(AND(CB18=CB$5,CC$6&gt;=$D$129),1,0),IF(AND(CC18=CB$5,CC$6&gt;=$D$129),1,0),IF(AND(CD18=CB$5,CC$6&gt;=$D$129),1,0),IF(CB18&amp;CE18=CE$5,4,0),IF(AND(CB18=CB$5,CC$6&lt;=$D$104),-0.5,0),IF(AND(CC18=CB$5,CC$6&lt;=$D$104),-0.5,0),IF(AND(CD18=CB$5,CC$6&lt;=$D$104),-0.5,0))</f>
        <v/>
      </c>
      <c r="CG18" s="164">
        <f>IF(SEMANA2[[#This Row],[1]]="",0,$B$4)</f>
        <v/>
      </c>
      <c r="CH18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8" s="166">
        <f>IF(SEMANA2[[#This Row],[Columna14]]=0,0,(CH18/CG18))</f>
        <v/>
      </c>
      <c r="CJ18" s="165">
        <f>IF(SEMANA2[[#This Row],[1]]="",0,$B$4)</f>
        <v/>
      </c>
      <c r="CK18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8" s="166">
        <f>IF(SEMANA2[[#This Row],[Columna14]]=0,0,(CK18/CJ18))</f>
        <v/>
      </c>
      <c r="CM18" s="164">
        <f>IF(SEMANA2[[#This Row],[1]]="",0,$B$4)</f>
        <v/>
      </c>
      <c r="CN18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8" s="166">
        <f>IF(SEMANA2[[#This Row],[Columna14]]=0,0,(CN18/CM18))</f>
        <v/>
      </c>
      <c r="CP18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8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Row],[Columna25]],$AX$5,BA18,"SF")+COUNTIFS(SEMANA2[[#This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8" s="166">
        <f>IFERROR(IF(SEMANA2[[#This Row],[Columna14]]=0,0,(CQ18/CP18)),0)</f>
        <v/>
      </c>
      <c r="CS18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8" s="95">
        <f>_xlfn.XLOOKUP(SEMANA2[[#This Row],[COD]],BASE01[COD],BASE01[Columna33])</f>
        <v/>
      </c>
      <c r="CU18" s="604">
        <f>SUM(CS18,CT18)</f>
        <v/>
      </c>
      <c r="CV18" s="450">
        <f>IF(SEMANA2[[#This Row],[TIPO]]="PREMIO",$O$3,"0,00")</f>
        <v/>
      </c>
      <c r="CW18" s="576" t="n"/>
      <c r="CY18" s="393" t="n">
        <v>11</v>
      </c>
      <c r="CZ18" s="354">
        <f>BD$6</f>
        <v/>
      </c>
      <c r="DB18" s="605">
        <f>SEMANA2[[#This Row],[COD]]</f>
        <v/>
      </c>
      <c r="DC18" s="395">
        <f t="array" ref="DC18">IFERROR(IF(AND(INDEX($E$8:$CE$57, MATCH($C18, $C$8:$C$57, 0), (COLUMNS($DC18:DC18)-1)*5 + 1) = INDEX($E$5:$CE$5, 1, (COLUMNS($DC18:DC18)-1)*5 + 1), INDEX($E$8:$CE$57, MATCH($C18, $C$8:$C$57, 0), (COLUMNS($DC18:DC18)-1)*5 + 4) = "F"), INDEX($CZ$8:$CZ$23, COLUMNS($DC18:DC18)), "0"), "")</f>
        <v/>
      </c>
      <c r="DD18" s="395">
        <f t="array" ref="DD18">IFERROR(IF(AND(INDEX($E$8:$CE$57, MATCH($C18, $C$8:$C$57, 0), (COLUMNS($DC18:DD18)-1)*5 + 1) = INDEX($E$5:$CE$5, 1, (COLUMNS($DC18:DD18)-1)*5 + 1), INDEX($E$8:$CE$57, MATCH($C18, $C$8:$C$57, 0), (COLUMNS($DC18:DD18)-1)*5 + 4) = "F"), INDEX($CZ$8:$CZ$23, COLUMNS($DC18:DD18)), "0"), "")</f>
        <v/>
      </c>
      <c r="DE18" s="395">
        <f t="array" ref="DE18">IFERROR(IF(AND(INDEX($E$8:$CE$57, MATCH($C18, $C$8:$C$57, 0), (COLUMNS($DC18:DE18)-1)*5 + 1) = INDEX($E$5:$CE$5, 1, (COLUMNS($DC18:DE18)-1)*5 + 1), INDEX($E$8:$CE$57, MATCH($C18, $C$8:$C$57, 0), (COLUMNS($DC18:DE18)-1)*5 + 4) = "F"), INDEX($CZ$8:$CZ$23, COLUMNS($DC18:DE18)), "0"), "")</f>
        <v/>
      </c>
      <c r="DF18" s="395">
        <f t="array" ref="DF18">IFERROR(IF(AND(INDEX($E$8:$CE$57, MATCH($C18, $C$8:$C$57, 0), (COLUMNS($DC18:DF18)-1)*5 + 1) = INDEX($E$5:$CE$5, 1, (COLUMNS($DC18:DF18)-1)*5 + 1), INDEX($E$8:$CE$57, MATCH($C18, $C$8:$C$57, 0), (COLUMNS($DC18:DF18)-1)*5 + 4) = "F"), INDEX($CZ$8:$CZ$23, COLUMNS($DC18:DF18)), "0"), "")</f>
        <v/>
      </c>
      <c r="DG18" s="395">
        <f t="array" ref="DG18">IFERROR(IF(AND(INDEX($E$8:$CE$57, MATCH($C18, $C$8:$C$57, 0), (COLUMNS($DC18:DG18)-1)*5 + 1) = INDEX($E$5:$CE$5, 1, (COLUMNS($DC18:DG18)-1)*5 + 1), INDEX($E$8:$CE$57, MATCH($C18, $C$8:$C$57, 0), (COLUMNS($DC18:DG18)-1)*5 + 4) = "F"), INDEX($CZ$8:$CZ$23, COLUMNS($DC18:DG18)), "0"), "")</f>
        <v/>
      </c>
      <c r="DH18" s="395">
        <f t="array" ref="DH18">IFERROR(IF(AND(INDEX($E$8:$CE$57, MATCH($C18, $C$8:$C$57, 0), (COLUMNS($DC18:DH18)-1)*5 + 1) = INDEX($E$5:$CE$5, 1, (COLUMNS($DC18:DH18)-1)*5 + 1), INDEX($E$8:$CE$57, MATCH($C18, $C$8:$C$57, 0), (COLUMNS($DC18:DH18)-1)*5 + 4) = "F"), INDEX($CZ$8:$CZ$23, COLUMNS($DC18:DH18)), "0"), "")</f>
        <v/>
      </c>
      <c r="DI18" s="395">
        <f t="array" ref="DI18">IFERROR(IF(AND(INDEX($E$8:$CE$57, MATCH($C18, $C$8:$C$57, 0), (COLUMNS($DC18:DI18)-1)*5 + 1) = INDEX($E$5:$CE$5, 1, (COLUMNS($DC18:DI18)-1)*5 + 1), INDEX($E$8:$CE$57, MATCH($C18, $C$8:$C$57, 0), (COLUMNS($DC18:DI18)-1)*5 + 4) = "F"), INDEX($CZ$8:$CZ$23, COLUMNS($DC18:DI18)), "0"), "")</f>
        <v/>
      </c>
      <c r="DJ18" s="395">
        <f t="array" ref="DJ18">IFERROR(IF(AND(INDEX($E$8:$CE$57, MATCH($C18, $C$8:$C$57, 0), (COLUMNS($DC18:DJ18)-1)*5 + 1) = INDEX($E$5:$CE$5, 1, (COLUMNS($DC18:DJ18)-1)*5 + 1), INDEX($E$8:$CE$57, MATCH($C18, $C$8:$C$57, 0), (COLUMNS($DC18:DJ18)-1)*5 + 4) = "F"), INDEX($CZ$8:$CZ$23, COLUMNS($DC18:DJ18)), "0"), "")</f>
        <v/>
      </c>
      <c r="DK18" s="395">
        <f t="array" ref="DK18">IFERROR(IF(AND(INDEX($E$8:$CE$57, MATCH($C18, $C$8:$C$57, 0), (COLUMNS($DC18:DK18)-1)*5 + 1) = INDEX($E$5:$CE$5, 1, (COLUMNS($DC18:DK18)-1)*5 + 1), INDEX($E$8:$CE$57, MATCH($C18, $C$8:$C$57, 0), (COLUMNS($DC18:DK18)-1)*5 + 4) = "F"), INDEX($CZ$8:$CZ$23, COLUMNS($DC18:DK18)), "0"), "")</f>
        <v/>
      </c>
      <c r="DL18" s="395">
        <f t="array" ref="DL18">IFERROR(IF(AND(INDEX($E$8:$CE$57, MATCH($C18, $C$8:$C$57, 0), (COLUMNS($DC18:DL18)-1)*5 + 1) = INDEX($E$5:$CE$5, 1, (COLUMNS($DC18:DL18)-1)*5 + 1), INDEX($E$8:$CE$57, MATCH($C18, $C$8:$C$57, 0), (COLUMNS($DC18:DL18)-1)*5 + 4) = "F"), INDEX($CZ$8:$CZ$23, COLUMNS($DC18:DL18)), "0"), "")</f>
        <v/>
      </c>
      <c r="DM18" s="395">
        <f t="array" ref="DM18">IFERROR(IF(AND(INDEX($E$8:$CE$57, MATCH($C18, $C$8:$C$57, 0), (COLUMNS($DC18:DM18)-1)*5 + 1) = INDEX($E$5:$CE$5, 1, (COLUMNS($DC18:DM18)-1)*5 + 1), INDEX($E$8:$CE$57, MATCH($C18, $C$8:$C$57, 0), (COLUMNS($DC18:DM18)-1)*5 + 4) = "F"), INDEX($CZ$8:$CZ$23, COLUMNS($DC18:DM18)), "0"), "")</f>
        <v/>
      </c>
      <c r="DN18" s="395">
        <f t="array" ref="DN18">IFERROR(IF(AND(INDEX($E$8:$CE$57, MATCH($C18, $C$8:$C$57, 0), (COLUMNS($DC18:DN18)-1)*5 + 1) = INDEX($E$5:$CE$5, 1, (COLUMNS($DC18:DN18)-1)*5 + 1), INDEX($E$8:$CE$57, MATCH($C18, $C$8:$C$57, 0), (COLUMNS($DC18:DN18)-1)*5 + 4) = "F"), INDEX($CZ$8:$CZ$23, COLUMNS($DC18:DN18)), "0"), "")</f>
        <v/>
      </c>
      <c r="DO18" s="395">
        <f t="array" ref="DO18">IFERROR(IF(AND(INDEX($E$8:$CE$57, MATCH($C18, $C$8:$C$57, 0), (COLUMNS($DC18:DO18)-1)*5 + 1) = INDEX($E$5:$CE$5, 1, (COLUMNS($DC18:DO18)-1)*5 + 1), INDEX($E$8:$CE$57, MATCH($C18, $C$8:$C$57, 0), (COLUMNS($DC18:DO18)-1)*5 + 4) = "F"), INDEX($CZ$8:$CZ$23, COLUMNS($DC18:DO18)), "0"), "")</f>
        <v/>
      </c>
      <c r="DP18" s="395">
        <f t="array" ref="DP18">IFERROR(IF(AND(INDEX($E$8:$CE$57, MATCH($C18, $C$8:$C$57, 0), (COLUMNS($DC18:DP18)-1)*5 + 1) = INDEX($E$5:$CE$5, 1, (COLUMNS($DC18:DP18)-1)*5 + 1), INDEX($E$8:$CE$57, MATCH($C18, $C$8:$C$57, 0), (COLUMNS($DC18:DP18)-1)*5 + 4) = "F"), INDEX($CZ$8:$CZ$23, COLUMNS($DC18:DP18)), "0"), "")</f>
        <v/>
      </c>
      <c r="DQ18" s="395">
        <f t="array" ref="DQ18">IFERROR(IF(AND(INDEX($E$8:$CE$57, MATCH($C18, $C$8:$C$57, 0), (COLUMNS($DC18:DQ18)-1)*5 + 1) = INDEX($E$5:$CE$5, 1, (COLUMNS($DC18:DQ18)-1)*5 + 1), INDEX($E$8:$CE$57, MATCH($C18, $C$8:$C$57, 0), (COLUMNS($DC18:DQ18)-1)*5 + 4) = "F"), INDEX($CZ$8:$CZ$23, COLUMNS($DC18:DQ18)), "0"), "")</f>
        <v/>
      </c>
      <c r="DR18" s="395">
        <f t="array" ref="DR18">IFERROR(IF(AND(INDEX($E$8:$CE$57, MATCH($C18, $C$8:$C$57, 0), (COLUMNS($DC18:DR18)-1)*5 + 1) = INDEX($E$5:$CE$5, 1, (COLUMNS($DC18:DR18)-1)*5 + 1), INDEX($E$8:$CE$57, MATCH($C18, $C$8:$C$57, 0), (COLUMNS($DC18:DR18)-1)*5 + 4) = "F"), INDEX($CZ$8:$CZ$23, COLUMNS($DC18:DR18)), "0"), "")</f>
        <v/>
      </c>
      <c r="DT18" s="605">
        <f>SEMANA2[[#This Row],[COD]]</f>
        <v/>
      </c>
      <c r="DU18" s="395">
        <f t="array" ref="DU18">IFERROR(IF(AND(INDEX($E$8:$CE$57, MATCH($C18, $C$8:$C$57, 0), (COLUMNS($DU18:DU18)-1)*5 + 1) = INDEX($E$5:$CE$5, 1, (COLUMNS($DU18:DU18)-1)*5 + 1), INDEX($E$8:$CE$57, MATCH($C18, $C$8:$C$57, 0), (COLUMNS($DU18:DU18)-1)*5 + 4) = "SF"), INDEX($CZ$8:$CZ$23, COLUMNS($DU18:DU18)), "0"), "")</f>
        <v/>
      </c>
      <c r="DV18" s="395">
        <f t="array" ref="DV18">IFERROR(IF(AND(INDEX($E$8:$CE$57, MATCH($C18, $C$8:$C$57, 0), (COLUMNS($DU18:DV18)-1)*5 + 1) = INDEX($E$5:$CE$5, 1, (COLUMNS($DU18:DV18)-1)*5 + 1), INDEX($E$8:$CE$57, MATCH($C18, $C$8:$C$57, 0), (COLUMNS($DU18:DV18)-1)*5 + 4) = "SF"), INDEX($CZ$8:$CZ$23, COLUMNS($DU18:DV18)), "0"), "")</f>
        <v/>
      </c>
      <c r="DW18" s="395">
        <f t="array" ref="DW18">IFERROR(IF(AND(INDEX($E$8:$CE$57, MATCH($C18, $C$8:$C$57, 0), (COLUMNS($DU18:DW18)-1)*5 + 1) = INDEX($E$5:$CE$5, 1, (COLUMNS($DU18:DW18)-1)*5 + 1), INDEX($E$8:$CE$57, MATCH($C18, $C$8:$C$57, 0), (COLUMNS($DU18:DW18)-1)*5 + 4) = "SF"), INDEX($CZ$8:$CZ$23, COLUMNS($DU18:DW18)), "0"), "")</f>
        <v/>
      </c>
      <c r="DX18" s="395">
        <f t="array" ref="DX18">IFERROR(IF(AND(INDEX($E$8:$CE$57, MATCH($C18, $C$8:$C$57, 0), (COLUMNS($DU18:DX18)-1)*5 + 1) = INDEX($E$5:$CE$5, 1, (COLUMNS($DU18:DX18)-1)*5 + 1), INDEX($E$8:$CE$57, MATCH($C18, $C$8:$C$57, 0), (COLUMNS($DU18:DX18)-1)*5 + 4) = "SF"), INDEX($CZ$8:$CZ$23, COLUMNS($DU18:DX18)), "0"), "")</f>
        <v/>
      </c>
      <c r="DY18" s="395">
        <f t="array" ref="DY18">IFERROR(IF(AND(INDEX($E$8:$CE$57, MATCH($C18, $C$8:$C$57, 0), (COLUMNS($DU18:DY18)-1)*5 + 1) = INDEX($E$5:$CE$5, 1, (COLUMNS($DU18:DY18)-1)*5 + 1), INDEX($E$8:$CE$57, MATCH($C18, $C$8:$C$57, 0), (COLUMNS($DU18:DY18)-1)*5 + 4) = "SF"), INDEX($CZ$8:$CZ$23, COLUMNS($DU18:DY18)), "0"), "")</f>
        <v/>
      </c>
      <c r="DZ18" s="395">
        <f t="array" ref="DZ18">IFERROR(IF(AND(INDEX($E$8:$CE$57, MATCH($C18, $C$8:$C$57, 0), (COLUMNS($DU18:DZ18)-1)*5 + 1) = INDEX($E$5:$CE$5, 1, (COLUMNS($DU18:DZ18)-1)*5 + 1), INDEX($E$8:$CE$57, MATCH($C18, $C$8:$C$57, 0), (COLUMNS($DU18:DZ18)-1)*5 + 4) = "SF"), INDEX($CZ$8:$CZ$23, COLUMNS($DU18:DZ18)), "0"), "")</f>
        <v/>
      </c>
      <c r="EA18" s="395">
        <f t="array" ref="EA18">IFERROR(IF(AND(INDEX($E$8:$CE$57, MATCH($C18, $C$8:$C$57, 0), (COLUMNS($DU18:EA18)-1)*5 + 1) = INDEX($E$5:$CE$5, 1, (COLUMNS($DU18:EA18)-1)*5 + 1), INDEX($E$8:$CE$57, MATCH($C18, $C$8:$C$57, 0), (COLUMNS($DU18:EA18)-1)*5 + 4) = "SF"), INDEX($CZ$8:$CZ$23, COLUMNS($DU18:EA18)), "0"), "")</f>
        <v/>
      </c>
      <c r="EB18" s="395">
        <f t="array" ref="EB18">IFERROR(IF(AND(INDEX($E$8:$CE$57, MATCH($C18, $C$8:$C$57, 0), (COLUMNS($DU18:EB18)-1)*5 + 1) = INDEX($E$5:$CE$5, 1, (COLUMNS($DU18:EB18)-1)*5 + 1), INDEX($E$8:$CE$57, MATCH($C18, $C$8:$C$57, 0), (COLUMNS($DU18:EB18)-1)*5 + 4) = "SF"), INDEX($CZ$8:$CZ$23, COLUMNS($DU18:EB18)), "0"), "")</f>
        <v/>
      </c>
      <c r="EC18" s="395">
        <f t="array" ref="EC18">IFERROR(IF(AND(INDEX($E$8:$CE$57, MATCH($C18, $C$8:$C$57, 0), (COLUMNS($DU18:EC18)-1)*5 + 1) = INDEX($E$5:$CE$5, 1, (COLUMNS($DU18:EC18)-1)*5 + 1), INDEX($E$8:$CE$57, MATCH($C18, $C$8:$C$57, 0), (COLUMNS($DU18:EC18)-1)*5 + 4) = "SF"), INDEX($CZ$8:$CZ$23, COLUMNS($DU18:EC18)), "0"), "")</f>
        <v/>
      </c>
      <c r="ED18" s="395">
        <f t="array" ref="ED18">IFERROR(IF(AND(INDEX($E$8:$CE$57, MATCH($C18, $C$8:$C$57, 0), (COLUMNS($DU18:ED18)-1)*5 + 1) = INDEX($E$5:$CE$5, 1, (COLUMNS($DU18:ED18)-1)*5 + 1), INDEX($E$8:$CE$57, MATCH($C18, $C$8:$C$57, 0), (COLUMNS($DU18:ED18)-1)*5 + 4) = "SF"), INDEX($CZ$8:$CZ$23, COLUMNS($DU18:ED18)), "0"), "")</f>
        <v/>
      </c>
      <c r="EE18" s="395">
        <f t="array" ref="EE18">IFERROR(IF(AND(INDEX($E$8:$CE$57, MATCH($C18, $C$8:$C$57, 0), (COLUMNS($DU18:EE18)-1)*5 + 1) = INDEX($E$5:$CE$5, 1, (COLUMNS($DU18:EE18)-1)*5 + 1), INDEX($E$8:$CE$57, MATCH($C18, $C$8:$C$57, 0), (COLUMNS($DU18:EE18)-1)*5 + 4) = "SF"), INDEX($CZ$8:$CZ$23, COLUMNS($DU18:EE18)), "0"), "")</f>
        <v/>
      </c>
      <c r="EF18" s="395">
        <f t="array" ref="EF18">IFERROR(IF(AND(INDEX($E$8:$CE$57, MATCH($C18, $C$8:$C$57, 0), (COLUMNS($DU18:EF18)-1)*5 + 1) = INDEX($E$5:$CE$5, 1, (COLUMNS($DU18:EF18)-1)*5 + 1), INDEX($E$8:$CE$57, MATCH($C18, $C$8:$C$57, 0), (COLUMNS($DU18:EF18)-1)*5 + 4) = "SF"), INDEX($CZ$8:$CZ$23, COLUMNS($DU18:EF18)), "0"), "")</f>
        <v/>
      </c>
      <c r="EG18" s="395">
        <f t="array" ref="EG18">IFERROR(IF(AND(INDEX($E$8:$CE$57, MATCH($C18, $C$8:$C$57, 0), (COLUMNS($DU18:EG18)-1)*5 + 1) = INDEX($E$5:$CE$5, 1, (COLUMNS($DU18:EG18)-1)*5 + 1), INDEX($E$8:$CE$57, MATCH($C18, $C$8:$C$57, 0), (COLUMNS($DU18:EG18)-1)*5 + 4) = "SF"), INDEX($CZ$8:$CZ$23, COLUMNS($DU18:EG18)), "0"), "")</f>
        <v/>
      </c>
      <c r="EH18" s="395">
        <f t="array" ref="EH18">IFERROR(IF(AND(INDEX($E$8:$CE$57, MATCH($C18, $C$8:$C$57, 0), (COLUMNS($DU18:EH18)-1)*5 + 1) = INDEX($E$5:$CE$5, 1, (COLUMNS($DU18:EH18)-1)*5 + 1), INDEX($E$8:$CE$57, MATCH($C18, $C$8:$C$57, 0), (COLUMNS($DU18:EH18)-1)*5 + 4) = "SF"), INDEX($CZ$8:$CZ$23, COLUMNS($DU18:EH18)), "0"), "")</f>
        <v/>
      </c>
      <c r="EI18" s="395">
        <f t="array" ref="EI18">IFERROR(IF(AND(INDEX($E$8:$CE$57, MATCH($C18, $C$8:$C$57, 0), (COLUMNS($DU18:EI18)-1)*5 + 1) = INDEX($E$5:$CE$5, 1, (COLUMNS($DU18:EI18)-1)*5 + 1), INDEX($E$8:$CE$57, MATCH($C18, $C$8:$C$57, 0), (COLUMNS($DU18:EI18)-1)*5 + 4) = "SF"), INDEX($CZ$8:$CZ$23, COLUMNS($DU18:EI18)), "0"), "")</f>
        <v/>
      </c>
      <c r="EJ18" s="395">
        <f t="array" ref="EJ18">IFERROR(IF(AND(INDEX($E$8:$CE$57, MATCH($C18, $C$8:$C$57, 0), (COLUMNS($DU18:EJ18)-1)*5 + 1) = INDEX($E$5:$CE$5, 1, (COLUMNS($DU18:EJ18)-1)*5 + 1), INDEX($E$8:$CE$57, MATCH($C18, $C$8:$C$57, 0), (COLUMNS($DU18:EJ18)-1)*5 + 4) = "SF"), INDEX($CZ$8:$CZ$23, COLUMNS($DU18:EJ18)), "0"), "")</f>
        <v/>
      </c>
    </row>
    <row r="19" ht="20.1" customHeight="1" s="568">
      <c r="A19" s="576" t="n"/>
      <c r="B19" s="449">
        <f>IF(SEMANA2[[#This Row],[COD]]&lt;&gt;"",B18+1,"")</f>
        <v/>
      </c>
      <c r="C19" s="622" t="inlineStr">
        <is>
          <t>COD 12</t>
        </is>
      </c>
      <c r="D19" s="415">
        <f t="array" ref="D19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19" s="416" t="n">
        <v>9</v>
      </c>
      <c r="F19" s="416" t="n">
        <v>2</v>
      </c>
      <c r="G19" s="416" t="n">
        <v>6</v>
      </c>
      <c r="H19" s="416" t="n"/>
      <c r="I19" s="602">
        <f>SUM(IF(E19=E$5,4,0),IF(E19&amp;F19=E$5&amp;F$5,1,0),
IF(AND(E19=E$5,F$6&gt;=$D$115),1,0),
IF(AND(F19=E$5,F$6&gt;=$D$115),1,0),
IF(AND(G19=E$5,F$6&gt;=$D$115),1,0),
IF(E19&amp;H19=I$5,1,0),
IF(F19=E$5,2,0),
IF(G19=E$5,1,0),
IF(OR(E19&amp;F19&amp;G19=E$5&amp;F$5&amp;G$5,E19&amp;F19&amp;G19=E$5&amp;G$5&amp;F$5,E19&amp;F19&amp;G19=F$5&amp;E$5&amp;G$5,E19&amp;F19&amp;G19=F$5&amp;G$5&amp;E$5,E19&amp;F19&amp;G19=G$5&amp;E$5&amp;F$5,E19&amp;F19&amp;G19=G$5&amp;F$5&amp;E$5),2,0),IF(AND(E19=E$5,F$6&gt;=$D$129),1,0),IF(AND(F19=E$5,F$6&gt;=$D$129),1,0),IF(AND(G19=E$5,F$6&gt;=$D$129),1,0),IF(E19&amp;H19=H$5,4,0),IF(AND(E19=E$5,F$6&lt;=$D$104),-0.5,0),IF(AND(F19=E$5,F$6&lt;=$D$104),-0.5,0),IF(AND(G19=E$5,F$6&lt;=$D$104),-0.5,0))</f>
        <v/>
      </c>
      <c r="J19" s="416" t="n">
        <v>1</v>
      </c>
      <c r="K19" s="416" t="n">
        <v>2</v>
      </c>
      <c r="L19" s="416" t="n">
        <v>7</v>
      </c>
      <c r="M19" s="416" t="n"/>
      <c r="N19" s="602">
        <f>SUM(IF(J19=J$5,4,0),IF(J19&amp;K19=J$5&amp;K$5,1,0),
IF(AND(J19=J$5,K$6&gt;=$D$115),1,0),
IF(AND(K19=J$5,K$6&gt;=$D$115),1,0),
IF(AND(L19=J$5,K$6&gt;=$D$115),1,0),
IF(J19&amp;M19=N$5,1,0),
IF(K19=J$5,2,0),
IF(L19=J$5,1,0),
IF(OR(J19&amp;K19&amp;L19=J$5&amp;K$5&amp;L$5,J19&amp;K19&amp;L19=J$5&amp;L$5&amp;K$5,J19&amp;K19&amp;L19=K$5&amp;J$5&amp;L$5,J19&amp;K19&amp;L19=K$5&amp;L$5&amp;J$5,J19&amp;K19&amp;L19=L$5&amp;J$5&amp;K$5,J19&amp;K19&amp;L19=L$5&amp;K$5&amp;J$5),2,0),IF(AND(J19=J$5,K$6&gt;=$D$129),1,0),IF(AND(K19=J$5,K$6&gt;=$D$129),1,0),IF(AND(L19=J$5,K$6&gt;=$D$129),1,0),IF(J19&amp;M19=M$5,4,0),IF(AND(J19=J$5,K$6&lt;=$D$104),-0.5,0),IF(AND(K19=J$5,K$6&lt;=$D$104),-0.5,0),IF(AND(L19=J$5,K$6&lt;=$D$104),-0.5,0))</f>
        <v/>
      </c>
      <c r="O19" s="416" t="n">
        <v>5</v>
      </c>
      <c r="P19" s="416" t="n">
        <v>1</v>
      </c>
      <c r="Q19" s="416" t="n">
        <v>7</v>
      </c>
      <c r="R19" s="416" t="n"/>
      <c r="S19" s="602">
        <f>SUM(IF(O19=O$5,4,0),IF(O19&amp;P19=O$5&amp;P$5,1,0),
IF(AND(O19=O$5,P$6&gt;=$D$115),1,0),
IF(AND(P19=O$5,P$6&gt;=$D$115),1,0),
IF(AND(Q19=O$5,P$6&gt;=$D$115),1,0),
IF(O19&amp;R19=S$5,1,0),
IF(P19=O$5,2,0),
IF(Q19=O$5,1,0),
IF(OR(O19&amp;P19&amp;Q19=O$5&amp;P$5&amp;Q$5,O19&amp;P19&amp;Q19=O$5&amp;Q$5&amp;P$5,O19&amp;P19&amp;Q19=P$5&amp;O$5&amp;Q$5,O19&amp;P19&amp;Q19=P$5&amp;Q$5&amp;O$5,O19&amp;P19&amp;Q19=Q$5&amp;O$5&amp;P$5,O19&amp;P19&amp;Q19=Q$5&amp;P$5&amp;O$5),2,0),IF(AND(O19=O$5,P$6&gt;=$D$129),1,0),IF(AND(P19=O$5,P$6&gt;=$D$129),1,0),IF(AND(Q19=O$5,P$6&gt;=$D$129),1,0),IF(O19&amp;R19=R$5,4,0),IF(AND(O19=O$5,P$6&lt;=$D$104),-0.5,0),IF(AND(P19=O$5,P$6&lt;=$D$104),-0.5,0),IF(AND(Q19=O$5,P$6&lt;=$D$104),-0.5,0))</f>
        <v/>
      </c>
      <c r="T19" s="416" t="n">
        <v>4</v>
      </c>
      <c r="U19" s="416" t="n">
        <v>3</v>
      </c>
      <c r="V19" s="416" t="n">
        <v>5</v>
      </c>
      <c r="W19" s="416" t="n"/>
      <c r="X19" s="602">
        <f>SUM(IF(T19=T$5,4,0),IF(T19&amp;U19=T$5&amp;U$5,1,0),
IF(AND(T19=T$5,U$6&gt;=$D$115),1,0),
IF(AND(U19=T$5,U$6&gt;=$D$115),1,0),
IF(AND(V19=T$5,U$6&gt;=$D$115),1,0),
IF(T19&amp;W19=X$5,1,0),
IF(U19=T$5,2,0),
IF(V19=T$5,1,0),
IF(OR(T19&amp;U19&amp;V19=T$5&amp;U$5&amp;V$5,T19&amp;U19&amp;V19=T$5&amp;V$5&amp;U$5,T19&amp;U19&amp;V19=U$5&amp;T$5&amp;V$5,T19&amp;U19&amp;V19=U$5&amp;V$5&amp;T$5,T19&amp;U19&amp;V19=V$5&amp;T$5&amp;U$5,T19&amp;U19&amp;V19=V$5&amp;U$5&amp;T$5),2,0),IF(AND(T19=T$5,U$6&gt;=$D$129),1,0),IF(AND(U19=T$5,U$6&gt;=$D$129),1,0),IF(AND(V19=T$5,U$6&gt;=$D$129),1,0),IF(T19&amp;W19=W$5,4,0),IF(AND(T19=T$5,U$6&lt;=$D$104),-0.5,0),IF(AND(U19=T$5,U$6&lt;=$D$104),-0.5,0),IF(AND(V19=T$5,U$6&lt;=$D$104),-0.5,0))</f>
        <v/>
      </c>
      <c r="Y19" s="416" t="n">
        <v>2</v>
      </c>
      <c r="Z19" s="416" t="n">
        <v>4</v>
      </c>
      <c r="AA19" s="416" t="n">
        <v>7</v>
      </c>
      <c r="AB19" s="416" t="n"/>
      <c r="AC19" s="602">
        <f>SUM(IF(Y19=Y$5,4,0),IF(Y19&amp;Z19=Y$5&amp;Z$5,1,0),
IF(AND(Y19=Y$5,Z$6&gt;=$D$115),1,0),
IF(AND(Z19=Y$5,Z$6&gt;=$D$115),1,0),
IF(AND(AA19=Y$5,Z$6&gt;=$D$115),1,0),
IF(Y19&amp;AB19=AC$5,1,0),
IF(Z19=Y$5,2,0),
IF(AA19=Y$5,1,0),
IF(OR(Y19&amp;Z19&amp;AA19=Y$5&amp;Z$5&amp;AA$5,Y19&amp;Z19&amp;AA19=Y$5&amp;AA$5&amp;Z$5,Y19&amp;Z19&amp;AA19=Z$5&amp;Y$5&amp;AA$5,Y19&amp;Z19&amp;AA19=Z$5&amp;AA$5&amp;Y$5,Y19&amp;Z19&amp;AA19=AA$5&amp;Y$5&amp;Z$5,Y19&amp;Z19&amp;AA19=AA$5&amp;Z$5&amp;Y$5),2,0),IF(AND(Y19=Y$5,Z$6&gt;=$D$129),1,0),IF(AND(Z19=Y$5,Z$6&gt;=$D$129),1,0),IF(AND(AA19=Y$5,Z$6&gt;=$D$129),1,0),IF(Y19&amp;AB19=AB$5,4,0),IF(AND(Y19=Y$5,Z$6&lt;=$D$104),-0.5,0),IF(AND(Z19=Y$5,Z$6&lt;=$D$104),-0.5,0),IF(AND(AA19=Y$5,Z$6&lt;=$D$104),-0.5,0))</f>
        <v/>
      </c>
      <c r="AD19" s="416" t="n">
        <v>3</v>
      </c>
      <c r="AE19" s="416" t="n">
        <v>5</v>
      </c>
      <c r="AF19" s="416" t="n">
        <v>10</v>
      </c>
      <c r="AG19" s="416" t="n"/>
      <c r="AH19" s="602">
        <f>SUM(IF(AD19=AD$5,4,0),IF(AD19&amp;AE19=AD$5&amp;AE$5,1,0),
IF(AND(AD19=AD$5,AE$6&gt;=$D$115),1,0),
IF(AND(AE19=AD$5,AE$6&gt;=$D$115),1,0),
IF(AND(AF19=AD$5,AE$6&gt;=$D$115),1,0),
IF(AD19&amp;AG19=AH$5,1,0),
IF(AE19=AD$5,2,0),
IF(AF19=AD$5,1,0),
IF(OR(AD19&amp;AE19&amp;AF19=AD$5&amp;AE$5&amp;AF$5,AD19&amp;AE19&amp;AF19=AD$5&amp;AF$5&amp;AE$5,AD19&amp;AE19&amp;AF19=AE$5&amp;AD$5&amp;AF$5,AD19&amp;AE19&amp;AF19=AE$5&amp;AF$5&amp;AD$5,AD19&amp;AE19&amp;AF19=AF$5&amp;AD$5&amp;AE$5,AD19&amp;AE19&amp;AF19=AF$5&amp;AE$5&amp;AD$5),2,0),IF(AND(AD19=AD$5,AE$6&gt;=$D$129),1,0),IF(AND(AE19=AD$5,AE$6&gt;=$D$129),1,0),IF(AND(AF19=AD$5,AE$6&gt;=$D$129),1,0),IF(AD19&amp;AG19=AG$5,4,0),IF(AND(AD19=AD$5,AE$6&lt;=$D$104),-0.5,0),IF(AND(AE19=AD$5,AE$6&lt;=$D$104),-0.5,0),IF(AND(AF19=AD$5,AE$6&lt;=$D$104),-0.5,0))</f>
        <v/>
      </c>
      <c r="AI19" s="416" t="n">
        <v>7</v>
      </c>
      <c r="AJ19" s="416" t="n">
        <v>6</v>
      </c>
      <c r="AK19" s="416" t="n">
        <v>8</v>
      </c>
      <c r="AL19" s="416" t="inlineStr">
        <is>
          <t>F</t>
        </is>
      </c>
      <c r="AM19" s="602">
        <f>SUM(IF(AI19=AI$5,4,0),IF(AI19&amp;AJ19=AI$5&amp;AJ$5,1,0),
IF(AND(AI19=AI$5,AJ$6&gt;=$D$115),1,0),
IF(AND(AJ19=AI$5,AJ$6&gt;=$D$115),1,0),
IF(AND(AK19=AI$5,AJ$6&gt;=$D$115),1,0),
IF(AI19&amp;AL19=AM$5,1,0),
IF(AJ19=AI$5,2,0),
IF(AK19=AI$5,1,0),
IF(OR(AI19&amp;AJ19&amp;AK19=AI$5&amp;AJ$5&amp;AK$5,AI19&amp;AJ19&amp;AK19=AI$5&amp;AK$5&amp;AJ$5,AI19&amp;AJ19&amp;AK19=AJ$5&amp;AI$5&amp;AK$5,AI19&amp;AJ19&amp;AK19=AJ$5&amp;AK$5&amp;AI$5,AI19&amp;AJ19&amp;AK19=AK$5&amp;AI$5&amp;AJ$5,AI19&amp;AJ19&amp;AK19=AK$5&amp;AJ$5&amp;AI$5),2,0),IF(AND(AI19=AI$5,AJ$6&gt;=$D$129),1,0),IF(AND(AJ19=AI$5,AJ$6&gt;=$D$129),1,0),IF(AND(AK19=AI$5,AJ$6&gt;=$D$129),1,0),IF(AI19&amp;AL19=AL$5,4,0),IF(AND(AI19=AI$5,AJ$6&lt;=$D$104),-0.5,0),IF(AND(AJ19=AI$5,AJ$6&lt;=$D$104),-0.5,0),IF(AND(AK19=AI$5,AJ$6&lt;=$D$104),-0.5,0))</f>
        <v/>
      </c>
      <c r="AN19" s="416" t="n">
        <v>8</v>
      </c>
      <c r="AO19" s="416" t="n"/>
      <c r="AP19" s="416" t="n"/>
      <c r="AQ19" s="416" t="inlineStr">
        <is>
          <t>SF</t>
        </is>
      </c>
      <c r="AR19" s="602">
        <f>SUM(IF(AN19=AN$5,4,0),IF(AN19&amp;AO19=AN$5&amp;AO$5,1,0),
IF(AND(AN19=AN$5,AO$6&gt;=$D$115),1,0),
IF(AND(AO19=AN$5,AO$6&gt;=$D$115),1,0),
IF(AND(AP19=AN$5,AO$6&gt;=$D$115),1,0),
IF(AN19&amp;AQ19=AR$5,1,0),
IF(AO19=AN$5,2,0),
IF(AP19=AN$5,1,0),
IF(OR(AN19&amp;AO19&amp;AP19=AN$5&amp;AO$5&amp;AP$5,AN19&amp;AO19&amp;AP19=AN$5&amp;AP$5&amp;AO$5,AN19&amp;AO19&amp;AP19=AO$5&amp;AN$5&amp;AP$5,AN19&amp;AO19&amp;AP19=AO$5&amp;AP$5&amp;AN$5,AN19&amp;AO19&amp;AP19=AP$5&amp;AN$5&amp;AO$5,AN19&amp;AO19&amp;AP19=AP$5&amp;AO$5&amp;AN$5),2,0),IF(AND(AN19=AN$5,AO$6&gt;=$D$129),1,0),IF(AND(AO19=AN$5,AO$6&gt;=$D$129),1,0),IF(AND(AP19=AN$5,AO$6&gt;=$D$129),1,0),IF(AN19&amp;AQ19=AQ$5,4,0),IF(AND(AN19=AN$5,AO$6&lt;=$D$104),-0.5,0),IF(AND(AO19=AN$5,AO$6&lt;=$D$104),-0.5,0),IF(AND(AP19=AN$5,AO$6&lt;=$D$104),-0.5,0))</f>
        <v/>
      </c>
      <c r="AS19" s="416" t="n">
        <v>2</v>
      </c>
      <c r="AT19" s="416" t="n">
        <v>10</v>
      </c>
      <c r="AU19" s="416" t="n">
        <v>1</v>
      </c>
      <c r="AV19" s="416" t="n"/>
      <c r="AW19" s="602">
        <f>SUM(IF(AS19=AS$5,4,0),IF(AS19&amp;AT19=AS$5&amp;AT$5,1,0),
IF(AND(AS19=AS$5,AT$6&gt;=$D$115),1,0),
IF(AND(AT19=AS$5,AT$6&gt;=$D$115),1,0),
IF(AND(AU19=AS$5,AT$6&gt;=$D$115),1,0),
IF(AS19&amp;AV19=AW$5,1,0),
IF(AT19=AS$5,2,0),
IF(AU19=AS$5,1,0),
IF(OR(AS19&amp;AT19&amp;AU19=AS$5&amp;AT$5&amp;AU$5,AS19&amp;AT19&amp;AU19=AS$5&amp;AU$5&amp;AT$5,AS19&amp;AT19&amp;AU19=AT$5&amp;AS$5&amp;AU$5,AS19&amp;AT19&amp;AU19=AT$5&amp;AU$5&amp;AS$5,AS19&amp;AT19&amp;AU19=AU$5&amp;AS$5&amp;AT$5,AS19&amp;AT19&amp;AU19=AU$5&amp;AT$5&amp;AS$5),2,0),IF(AND(AS19=AS$5,AT$6&gt;=$D$129),1,0),IF(AND(AT19=AS$5,AT$6&gt;=$D$129),1,0),IF(AND(AU19=AS$5,AT$6&gt;=$D$129),1,0),IF(AS19&amp;AV19=AV$5,4,0),IF(AND(AS19=AS$5,AT$6&lt;=$D$104),-0.5,0),IF(AND(AT19=AS$5,AT$6&lt;=$D$104),-0.5,0),IF(AND(AU19=AS$5,AT$6&lt;=$D$104),-0.5,0))</f>
        <v/>
      </c>
      <c r="AX19" s="416" t="n">
        <v>10</v>
      </c>
      <c r="AY19" s="416" t="n">
        <v>6</v>
      </c>
      <c r="AZ19" s="416" t="n">
        <v>9</v>
      </c>
      <c r="BA19" s="416" t="n"/>
      <c r="BB19" s="602">
        <f>SUM(IF(AX19=AX$5,4,0),IF(AX19&amp;AY19=AX$5&amp;AY$5,1,0),
IF(AND(AX19=AX$5,AY$6&gt;=$D$115),1,0),
IF(AND(AY19=AX$5,AY$6&gt;=$D$115),1,0),
IF(AND(AZ19=AX$5,AY$6&gt;=$D$115),1,0),
IF(AX19&amp;BA19=BB$5,1,0),
IF(AY19=AX$5,2,0),
IF(AZ19=AX$5,1,0),
IF(OR(AX19&amp;AY19&amp;AZ19=AX$5&amp;AY$5&amp;AZ$5,AX19&amp;AY19&amp;AZ19=AX$5&amp;AZ$5&amp;AY$5,AX19&amp;AY19&amp;AZ19=AY$5&amp;AX$5&amp;AZ$5,AX19&amp;AY19&amp;AZ19=AY$5&amp;AZ$5&amp;AX$5,AX19&amp;AY19&amp;AZ19=AZ$5&amp;AX$5&amp;AY$5,AX19&amp;AY19&amp;AZ19=AZ$5&amp;AY$5&amp;AX$5),2,0),IF(AND(AX19=AX$5,AY$6&gt;=$D$129),1,0),IF(AND(AY19=AX$5,AY$6&gt;=$D$129),1,0),IF(AND(AZ19=AX$5,AY$6&gt;=$D$129),1,0),IF(AX19&amp;BA19=BA$5,4,0),IF(AND(AX19=AX$5,AY$6&lt;=$D$104),-0.5,0),IF(AND(AY19=AX$5,AY$6&lt;=$D$104),-0.5,0),IF(AND(AZ19=AX$5,AY$6&lt;=$D$104),-0.5,0))</f>
        <v/>
      </c>
      <c r="BC19" s="416" t="n">
        <v>5</v>
      </c>
      <c r="BD19" s="416" t="n">
        <v>7</v>
      </c>
      <c r="BE19" s="416" t="n">
        <v>4</v>
      </c>
      <c r="BF19" s="416" t="n"/>
      <c r="BG19" s="602">
        <f>SUM(IF(BC19=BC$5,4,0),IF(BC19&amp;BD19=BC$5&amp;BD$5,1,0),
IF(AND(BC19=BC$5,BD$6&gt;=$D$115),1,0),
IF(AND(BD19=BC$5,BD$6&gt;=$D$115),1,0),
IF(AND(BE19=BC$5,BD$6&gt;=$D$115),1,0),
IF(BC19&amp;BF19=BG$5,1,0),
IF(BD19=BC$5,2,0),
IF(BE19=BC$5,1,0),
IF(OR(BC19&amp;BD19&amp;BE19=BC$5&amp;BD$5&amp;BE$5,BC19&amp;BD19&amp;BE19=BC$5&amp;BE$5&amp;BD$5,BC19&amp;BD19&amp;BE19=BD$5&amp;BC$5&amp;BE$5,BC19&amp;BD19&amp;BE19=BD$5&amp;BE$5&amp;BC$5,BC19&amp;BD19&amp;BE19=BE$5&amp;BC$5&amp;BD$5,BC19&amp;BD19&amp;BE19=BE$5&amp;BD$5&amp;BC$5),2,0),IF(AND(BC19=BC$5,BD$6&gt;=$D$129),1,0),IF(AND(BD19=BC$5,BD$6&gt;=$D$129),1,0),IF(AND(BE19=BC$5,BD$6&gt;=$D$129),1,0),IF(BC19&amp;BF19=BF$5,4,0),IF(AND(BC19=BC$5,BD$6&lt;=$D$104),-0.5,0),IF(AND(BD19=BC$5,BD$6&lt;=$D$104),-0.5,0),IF(AND(BE19=BC$5,BD$6&lt;=$D$104),-0.5,0))</f>
        <v/>
      </c>
      <c r="BH19" s="416" t="n">
        <v>1</v>
      </c>
      <c r="BI19" s="416" t="n">
        <v>2</v>
      </c>
      <c r="BJ19" s="416" t="n">
        <v>5</v>
      </c>
      <c r="BK19" s="416" t="inlineStr">
        <is>
          <t>F</t>
        </is>
      </c>
      <c r="BL19" s="602">
        <f>SUM(IF(BH19=BH$5,4,0),IF(BH19&amp;BI19=BH$5&amp;BI$5,1,0),
IF(AND(BH19=BH$5,BI$6&gt;=$D$115),1,0),
IF(AND(BI19=BH$5,BI$6&gt;=$D$115),1,0),
IF(AND(BJ19=BH$5,BI$6&gt;=$D$115),1,0),
IF(BH19&amp;BK19=BL$5,1,0),
IF(BI19=BH$5,2,0),
IF(BJ19=BH$5,1,0),
IF(OR(BH19&amp;BI19&amp;BJ19=BH$5&amp;BI$5&amp;BJ$5,BH19&amp;BI19&amp;BJ19=BH$5&amp;BJ$5&amp;BI$5,BH19&amp;BI19&amp;BJ19=BI$5&amp;BH$5&amp;BJ$5,BH19&amp;BI19&amp;BJ19=BI$5&amp;BJ$5&amp;BH$5,BH19&amp;BI19&amp;BJ19=BJ$5&amp;BH$5&amp;BI$5,BH19&amp;BI19&amp;BJ19=BJ$5&amp;BI$5&amp;BH$5),2,0),IF(AND(BH19=BH$5,BI$6&gt;=$D$129),1,0),IF(AND(BI19=BH$5,BI$6&gt;=$D$129),1,0),IF(AND(BJ19=BH$5,BI$6&gt;=$D$129),1,0),IF(BH19&amp;BK19=BK$5,4,0),IF(AND(BH19=BH$5,BI$6&lt;=$D$104),-0.5,0),IF(AND(BI19=BH$5,BI$6&lt;=$D$104),-0.5,0),IF(AND(BJ19=BH$5,BI$6&lt;=$D$104),-0.5,0))</f>
        <v/>
      </c>
      <c r="BM19" s="416" t="n">
        <v>9</v>
      </c>
      <c r="BN19" s="416" t="n">
        <v>4</v>
      </c>
      <c r="BO19" s="416" t="n">
        <v>1</v>
      </c>
      <c r="BP19" s="416" t="n"/>
      <c r="BQ19" s="602">
        <f>SUM(IF(BM19=BM$5,4,0),IF(BM19&amp;BN19=BM$5&amp;BN$5,1,0),
IF(AND(BM19=BM$5,BN$6&gt;=$D$115),1,0),
IF(AND(BN19=BM$5,BN$6&gt;=$D$115),1,0),
IF(AND(BO19=BM$5,BN$6&gt;=$D$115),1,0),
IF(BM19&amp;BP19=BQ$5,1,0),
IF(BN19=BM$5,2,0),
IF(BO19=BM$5,1,0),
IF(OR(BM19&amp;BN19&amp;BO19=BM$5&amp;BN$5&amp;BO$5,BM19&amp;BN19&amp;BO19=BM$5&amp;BO$5&amp;BN$5,BM19&amp;BN19&amp;BO19=BN$5&amp;BM$5&amp;BO$5,BM19&amp;BN19&amp;BO19=BN$5&amp;BO$5&amp;BM$5,BM19&amp;BN19&amp;BO19=BO$5&amp;BM$5&amp;BN$5,BM19&amp;BN19&amp;BO19=BO$5&amp;BN$5&amp;BM$5),2,0),IF(AND(BM19=BM$5,BN$6&gt;=$D$129),1,0),IF(AND(BN19=BM$5,BN$6&gt;=$D$129),1,0),IF(AND(BO19=BM$5,BN$6&gt;=$D$129),1,0),IF(BM19&amp;BP19=BP$5,4,0),IF(AND(BM19=BM$5,BN$6&lt;=$D$104),-0.5,0),IF(AND(BN19=BM$5,BN$6&lt;=$D$104),-0.5,0),IF(AND(BO19=BM$5,BN$6&lt;=$D$104),-0.5,0))</f>
        <v/>
      </c>
      <c r="BR19" s="416" t="n">
        <v>1</v>
      </c>
      <c r="BS19" s="416" t="n">
        <v>5</v>
      </c>
      <c r="BT19" s="416" t="n">
        <v>11</v>
      </c>
      <c r="BU19" s="416" t="n"/>
      <c r="BV19" s="602">
        <f>SUM(IF(BR19=BR$5,4,0),IF(BR19&amp;BS19=BR$5&amp;BS$5,1,0),
IF(AND(BR19=BR$5,BS$6&gt;=$D$115),1,0),
IF(AND(BS19=BR$5,BS$6&gt;=$D$115),1,0),
IF(AND(BT19=BR$5,BS$6&gt;=$D$115),1,0),
IF(BR19&amp;BU19=BV$5,1,0),
IF(BS19=BR$5,2,0),
IF(BT19=BR$5,1,0),
IF(OR(BR19&amp;BS19&amp;BT19=BR$5&amp;BS$5&amp;BT$5,BR19&amp;BS19&amp;BT19=BR$5&amp;BT$5&amp;BS$5,BR19&amp;BS19&amp;BT19=BS$5&amp;BR$5&amp;BT$5,BR19&amp;BS19&amp;BT19=BS$5&amp;BT$5&amp;BR$5,BR19&amp;BS19&amp;BT19=BT$5&amp;BR$5&amp;BS$5,BR19&amp;BS19&amp;BT19=BT$5&amp;BS$5&amp;BR$5),2,0),IF(AND(BR19=BR$5,BS$6&gt;=$D$129),1,0),IF(AND(BS19=BR$5,BS$6&gt;=$D$129),1,0),IF(AND(BT19=BR$5,BS$6&gt;=$D$129),1,0),IF(BR19&amp;BU19=BU$5,4,0),IF(AND(BR19=BR$5,BS$6&lt;=$D$104),-0.5,0),IF(AND(BS19=BR$5,BS$6&lt;=$D$104),-0.5,0),IF(AND(BT19=BR$5,BS$6&lt;=$D$104),-0.5,0))</f>
        <v/>
      </c>
      <c r="BW19" s="416" t="n"/>
      <c r="BX19" s="416" t="n"/>
      <c r="BY19" s="416" t="n"/>
      <c r="BZ19" s="416" t="n"/>
      <c r="CA19" s="602">
        <f>SUM(IF(BW19=BW$5,4,0),IF(BW19&amp;BX19=BW$5&amp;BX$5,1,0),
IF(AND(BW19=BW$5,BX$6&gt;=$D$115),1,0),
IF(AND(BX19=BW$5,BX$6&gt;=$D$115),1,0),
IF(AND(BY19=BW$5,BX$6&gt;=$D$115),1,0),
IF(BW19&amp;BZ19=CA$5,1,0),
IF(BX19=BW$5,2,0),
IF(BY19=BW$5,1,0),
IF(OR(BW19&amp;BX19&amp;BY19=BW$5&amp;BX$5&amp;BY$5,BW19&amp;BX19&amp;BY19=BW$5&amp;BY$5&amp;BX$5,BW19&amp;BX19&amp;BY19=BX$5&amp;BW$5&amp;BY$5,BW19&amp;BX19&amp;BY19=BX$5&amp;BY$5&amp;BW$5,BW19&amp;BX19&amp;BY19=BY$5&amp;BW$5&amp;BX$5,BW19&amp;BX19&amp;BY19=BY$5&amp;BX$5&amp;BW$5),2,0),IF(AND(BW19=BW$5,BX$6&gt;=$D$129),1,0),IF(AND(BX19=BW$5,BX$6&gt;=$D$129),1,0),IF(AND(BY19=BW$5,BX$6&gt;=$D$129),1,0),IF(BW19&amp;BZ19=BZ$5,4,0),IF(AND(BW19=BW$5,BX$6&lt;=$D$104),-0.5,0),IF(AND(BX19=BW$5,BX$6&lt;=$D$104),-0.5,0),IF(AND(BY19=BW$5,BX$6&lt;=$D$104),-0.5,0))</f>
        <v/>
      </c>
      <c r="CB19" s="416" t="n"/>
      <c r="CC19" s="416" t="n"/>
      <c r="CD19" s="416" t="n"/>
      <c r="CE19" s="416" t="n"/>
      <c r="CF19" s="602">
        <f>SUM(IF(CB19=CB$5,4,0),IF(CB19&amp;CC19=CB$5&amp;CC$5,1,0),
IF(AND(CB19=CB$5,CC$6&gt;=$D$115),1,0),
IF(AND(CC19=CB$5,CC$6&gt;=$D$115),1,0),
IF(AND(CD19=CB$5,CC$6&gt;=$D$115),1,0),
IF(CB19&amp;CE19=CF$5,1,0),
IF(CC19=CB$5,2,0),
IF(CD19=CB$5,1,0),
IF(OR(CB19&amp;CC19&amp;CD19=CB$5&amp;CC$5&amp;CD$5,CB19&amp;CC19&amp;CD19=CB$5&amp;CD$5&amp;CC$5,CB19&amp;CC19&amp;CD19=CC$5&amp;CB$5&amp;CD$5,CB19&amp;CC19&amp;CD19=CC$5&amp;CD$5&amp;CB$5,CB19&amp;CC19&amp;CD19=CD$5&amp;CB$5&amp;CC$5,CB19&amp;CC19&amp;CD19=CD$5&amp;CC$5&amp;CB$5),2,0),IF(AND(CB19=CB$5,CC$6&gt;=$D$129),1,0),IF(AND(CC19=CB$5,CC$6&gt;=$D$129),1,0),IF(AND(CD19=CB$5,CC$6&gt;=$D$129),1,0),IF(CB19&amp;CE19=CE$5,4,0),IF(AND(CB19=CB$5,CC$6&lt;=$D$104),-0.5,0),IF(AND(CC19=CB$5,CC$6&lt;=$D$104),-0.5,0),IF(AND(CD19=CB$5,CC$6&lt;=$D$104),-0.5,0))</f>
        <v/>
      </c>
      <c r="CG19" s="164">
        <f>IF(SEMANA2[[#This Row],[1]]="",0,$B$4)</f>
        <v/>
      </c>
      <c r="CH19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19" s="166">
        <f>IF(SEMANA2[[#This Row],[Columna14]]=0,0,(CH19/CG19))</f>
        <v/>
      </c>
      <c r="CJ19" s="165">
        <f>IF(SEMANA2[[#This Row],[1]]="",0,$B$4)</f>
        <v/>
      </c>
      <c r="CK19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19" s="166">
        <f>IF(SEMANA2[[#This Row],[Columna14]]=0,0,(CK19/CJ19))</f>
        <v/>
      </c>
      <c r="CM19" s="164">
        <f>IF(SEMANA2[[#This Row],[1]]="",0,$B$4)</f>
        <v/>
      </c>
      <c r="CN19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19" s="166">
        <f>IF(SEMANA2[[#This Row],[Columna14]]=0,0,(CN19/CM19))</f>
        <v/>
      </c>
      <c r="CP19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19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Row],[Columna25]],$AX$5,BA19,"SF")+COUNTIFS(SEMANA2[[#This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19" s="166">
        <f>IFERROR(IF(SEMANA2[[#This Row],[Columna14]]=0,0,(CQ19/CP19)),0)</f>
        <v/>
      </c>
      <c r="CS19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19" s="95">
        <f>_xlfn.XLOOKUP(SEMANA2[[#This Row],[COD]],BASE01[COD],BASE01[Columna33])</f>
        <v/>
      </c>
      <c r="CU19" s="604">
        <f>SUM(CS19,CT19)</f>
        <v/>
      </c>
      <c r="CV19" s="450">
        <f>IF(SEMANA2[[#This Row],[TIPO]]="PREMIO",$O$3,"0,00")</f>
        <v/>
      </c>
      <c r="CW19" s="576" t="n"/>
      <c r="CY19" s="393" t="n">
        <v>12</v>
      </c>
      <c r="CZ19" s="354">
        <f>BI$6</f>
        <v/>
      </c>
      <c r="DB19" s="605">
        <f>SEMANA2[[#This Row],[COD]]</f>
        <v/>
      </c>
      <c r="DC19" s="395">
        <f t="array" ref="DC19">IFERROR(IF(AND(INDEX($E$8:$CE$57, MATCH($C19, $C$8:$C$57, 0), (COLUMNS($DC19:DC19)-1)*5 + 1) = INDEX($E$5:$CE$5, 1, (COLUMNS($DC19:DC19)-1)*5 + 1), INDEX($E$8:$CE$57, MATCH($C19, $C$8:$C$57, 0), (COLUMNS($DC19:DC19)-1)*5 + 4) = "F"), INDEX($CZ$8:$CZ$23, COLUMNS($DC19:DC19)), "0"), "")</f>
        <v/>
      </c>
      <c r="DD19" s="395">
        <f t="array" ref="DD19">IFERROR(IF(AND(INDEX($E$8:$CE$57, MATCH($C19, $C$8:$C$57, 0), (COLUMNS($DC19:DD19)-1)*5 + 1) = INDEX($E$5:$CE$5, 1, (COLUMNS($DC19:DD19)-1)*5 + 1), INDEX($E$8:$CE$57, MATCH($C19, $C$8:$C$57, 0), (COLUMNS($DC19:DD19)-1)*5 + 4) = "F"), INDEX($CZ$8:$CZ$23, COLUMNS($DC19:DD19)), "0"), "")</f>
        <v/>
      </c>
      <c r="DE19" s="395">
        <f t="array" ref="DE19">IFERROR(IF(AND(INDEX($E$8:$CE$57, MATCH($C19, $C$8:$C$57, 0), (COLUMNS($DC19:DE19)-1)*5 + 1) = INDEX($E$5:$CE$5, 1, (COLUMNS($DC19:DE19)-1)*5 + 1), INDEX($E$8:$CE$57, MATCH($C19, $C$8:$C$57, 0), (COLUMNS($DC19:DE19)-1)*5 + 4) = "F"), INDEX($CZ$8:$CZ$23, COLUMNS($DC19:DE19)), "0"), "")</f>
        <v/>
      </c>
      <c r="DF19" s="395">
        <f t="array" ref="DF19">IFERROR(IF(AND(INDEX($E$8:$CE$57, MATCH($C19, $C$8:$C$57, 0), (COLUMNS($DC19:DF19)-1)*5 + 1) = INDEX($E$5:$CE$5, 1, (COLUMNS($DC19:DF19)-1)*5 + 1), INDEX($E$8:$CE$57, MATCH($C19, $C$8:$C$57, 0), (COLUMNS($DC19:DF19)-1)*5 + 4) = "F"), INDEX($CZ$8:$CZ$23, COLUMNS($DC19:DF19)), "0"), "")</f>
        <v/>
      </c>
      <c r="DG19" s="395">
        <f t="array" ref="DG19">IFERROR(IF(AND(INDEX($E$8:$CE$57, MATCH($C19, $C$8:$C$57, 0), (COLUMNS($DC19:DG19)-1)*5 + 1) = INDEX($E$5:$CE$5, 1, (COLUMNS($DC19:DG19)-1)*5 + 1), INDEX($E$8:$CE$57, MATCH($C19, $C$8:$C$57, 0), (COLUMNS($DC19:DG19)-1)*5 + 4) = "F"), INDEX($CZ$8:$CZ$23, COLUMNS($DC19:DG19)), "0"), "")</f>
        <v/>
      </c>
      <c r="DH19" s="395">
        <f t="array" ref="DH19">IFERROR(IF(AND(INDEX($E$8:$CE$57, MATCH($C19, $C$8:$C$57, 0), (COLUMNS($DC19:DH19)-1)*5 + 1) = INDEX($E$5:$CE$5, 1, (COLUMNS($DC19:DH19)-1)*5 + 1), INDEX($E$8:$CE$57, MATCH($C19, $C$8:$C$57, 0), (COLUMNS($DC19:DH19)-1)*5 + 4) = "F"), INDEX($CZ$8:$CZ$23, COLUMNS($DC19:DH19)), "0"), "")</f>
        <v/>
      </c>
      <c r="DI19" s="395">
        <f t="array" ref="DI19">IFERROR(IF(AND(INDEX($E$8:$CE$57, MATCH($C19, $C$8:$C$57, 0), (COLUMNS($DC19:DI19)-1)*5 + 1) = INDEX($E$5:$CE$5, 1, (COLUMNS($DC19:DI19)-1)*5 + 1), INDEX($E$8:$CE$57, MATCH($C19, $C$8:$C$57, 0), (COLUMNS($DC19:DI19)-1)*5 + 4) = "F"), INDEX($CZ$8:$CZ$23, COLUMNS($DC19:DI19)), "0"), "")</f>
        <v/>
      </c>
      <c r="DJ19" s="395">
        <f t="array" ref="DJ19">IFERROR(IF(AND(INDEX($E$8:$CE$57, MATCH($C19, $C$8:$C$57, 0), (COLUMNS($DC19:DJ19)-1)*5 + 1) = INDEX($E$5:$CE$5, 1, (COLUMNS($DC19:DJ19)-1)*5 + 1), INDEX($E$8:$CE$57, MATCH($C19, $C$8:$C$57, 0), (COLUMNS($DC19:DJ19)-1)*5 + 4) = "F"), INDEX($CZ$8:$CZ$23, COLUMNS($DC19:DJ19)), "0"), "")</f>
        <v/>
      </c>
      <c r="DK19" s="395">
        <f t="array" ref="DK19">IFERROR(IF(AND(INDEX($E$8:$CE$57, MATCH($C19, $C$8:$C$57, 0), (COLUMNS($DC19:DK19)-1)*5 + 1) = INDEX($E$5:$CE$5, 1, (COLUMNS($DC19:DK19)-1)*5 + 1), INDEX($E$8:$CE$57, MATCH($C19, $C$8:$C$57, 0), (COLUMNS($DC19:DK19)-1)*5 + 4) = "F"), INDEX($CZ$8:$CZ$23, COLUMNS($DC19:DK19)), "0"), "")</f>
        <v/>
      </c>
      <c r="DL19" s="395">
        <f t="array" ref="DL19">IFERROR(IF(AND(INDEX($E$8:$CE$57, MATCH($C19, $C$8:$C$57, 0), (COLUMNS($DC19:DL19)-1)*5 + 1) = INDEX($E$5:$CE$5, 1, (COLUMNS($DC19:DL19)-1)*5 + 1), INDEX($E$8:$CE$57, MATCH($C19, $C$8:$C$57, 0), (COLUMNS($DC19:DL19)-1)*5 + 4) = "F"), INDEX($CZ$8:$CZ$23, COLUMNS($DC19:DL19)), "0"), "")</f>
        <v/>
      </c>
      <c r="DM19" s="395">
        <f t="array" ref="DM19">IFERROR(IF(AND(INDEX($E$8:$CE$57, MATCH($C19, $C$8:$C$57, 0), (COLUMNS($DC19:DM19)-1)*5 + 1) = INDEX($E$5:$CE$5, 1, (COLUMNS($DC19:DM19)-1)*5 + 1), INDEX($E$8:$CE$57, MATCH($C19, $C$8:$C$57, 0), (COLUMNS($DC19:DM19)-1)*5 + 4) = "F"), INDEX($CZ$8:$CZ$23, COLUMNS($DC19:DM19)), "0"), "")</f>
        <v/>
      </c>
      <c r="DN19" s="395">
        <f t="array" ref="DN19">IFERROR(IF(AND(INDEX($E$8:$CE$57, MATCH($C19, $C$8:$C$57, 0), (COLUMNS($DC19:DN19)-1)*5 + 1) = INDEX($E$5:$CE$5, 1, (COLUMNS($DC19:DN19)-1)*5 + 1), INDEX($E$8:$CE$57, MATCH($C19, $C$8:$C$57, 0), (COLUMNS($DC19:DN19)-1)*5 + 4) = "F"), INDEX($CZ$8:$CZ$23, COLUMNS($DC19:DN19)), "0"), "")</f>
        <v/>
      </c>
      <c r="DO19" s="395">
        <f t="array" ref="DO19">IFERROR(IF(AND(INDEX($E$8:$CE$57, MATCH($C19, $C$8:$C$57, 0), (COLUMNS($DC19:DO19)-1)*5 + 1) = INDEX($E$5:$CE$5, 1, (COLUMNS($DC19:DO19)-1)*5 + 1), INDEX($E$8:$CE$57, MATCH($C19, $C$8:$C$57, 0), (COLUMNS($DC19:DO19)-1)*5 + 4) = "F"), INDEX($CZ$8:$CZ$23, COLUMNS($DC19:DO19)), "0"), "")</f>
        <v/>
      </c>
      <c r="DP19" s="395">
        <f t="array" ref="DP19">IFERROR(IF(AND(INDEX($E$8:$CE$57, MATCH($C19, $C$8:$C$57, 0), (COLUMNS($DC19:DP19)-1)*5 + 1) = INDEX($E$5:$CE$5, 1, (COLUMNS($DC19:DP19)-1)*5 + 1), INDEX($E$8:$CE$57, MATCH($C19, $C$8:$C$57, 0), (COLUMNS($DC19:DP19)-1)*5 + 4) = "F"), INDEX($CZ$8:$CZ$23, COLUMNS($DC19:DP19)), "0"), "")</f>
        <v/>
      </c>
      <c r="DQ19" s="395">
        <f t="array" ref="DQ19">IFERROR(IF(AND(INDEX($E$8:$CE$57, MATCH($C19, $C$8:$C$57, 0), (COLUMNS($DC19:DQ19)-1)*5 + 1) = INDEX($E$5:$CE$5, 1, (COLUMNS($DC19:DQ19)-1)*5 + 1), INDEX($E$8:$CE$57, MATCH($C19, $C$8:$C$57, 0), (COLUMNS($DC19:DQ19)-1)*5 + 4) = "F"), INDEX($CZ$8:$CZ$23, COLUMNS($DC19:DQ19)), "0"), "")</f>
        <v/>
      </c>
      <c r="DR19" s="395">
        <f t="array" ref="DR19">IFERROR(IF(AND(INDEX($E$8:$CE$57, MATCH($C19, $C$8:$C$57, 0), (COLUMNS($DC19:DR19)-1)*5 + 1) = INDEX($E$5:$CE$5, 1, (COLUMNS($DC19:DR19)-1)*5 + 1), INDEX($E$8:$CE$57, MATCH($C19, $C$8:$C$57, 0), (COLUMNS($DC19:DR19)-1)*5 + 4) = "F"), INDEX($CZ$8:$CZ$23, COLUMNS($DC19:DR19)), "0"), "")</f>
        <v/>
      </c>
      <c r="DT19" s="605">
        <f>SEMANA2[[#This Row],[COD]]</f>
        <v/>
      </c>
      <c r="DU19" s="395">
        <f t="array" ref="DU19">IFERROR(IF(AND(INDEX($E$8:$CE$57, MATCH($C19, $C$8:$C$57, 0), (COLUMNS($DU19:DU19)-1)*5 + 1) = INDEX($E$5:$CE$5, 1, (COLUMNS($DU19:DU19)-1)*5 + 1), INDEX($E$8:$CE$57, MATCH($C19, $C$8:$C$57, 0), (COLUMNS($DU19:DU19)-1)*5 + 4) = "SF"), INDEX($CZ$8:$CZ$23, COLUMNS($DU19:DU19)), "0"), "")</f>
        <v/>
      </c>
      <c r="DV19" s="395">
        <f t="array" ref="DV19">IFERROR(IF(AND(INDEX($E$8:$CE$57, MATCH($C19, $C$8:$C$57, 0), (COLUMNS($DU19:DV19)-1)*5 + 1) = INDEX($E$5:$CE$5, 1, (COLUMNS($DU19:DV19)-1)*5 + 1), INDEX($E$8:$CE$57, MATCH($C19, $C$8:$C$57, 0), (COLUMNS($DU19:DV19)-1)*5 + 4) = "SF"), INDEX($CZ$8:$CZ$23, COLUMNS($DU19:DV19)), "0"), "")</f>
        <v/>
      </c>
      <c r="DW19" s="395">
        <f t="array" ref="DW19">IFERROR(IF(AND(INDEX($E$8:$CE$57, MATCH($C19, $C$8:$C$57, 0), (COLUMNS($DU19:DW19)-1)*5 + 1) = INDEX($E$5:$CE$5, 1, (COLUMNS($DU19:DW19)-1)*5 + 1), INDEX($E$8:$CE$57, MATCH($C19, $C$8:$C$57, 0), (COLUMNS($DU19:DW19)-1)*5 + 4) = "SF"), INDEX($CZ$8:$CZ$23, COLUMNS($DU19:DW19)), "0"), "")</f>
        <v/>
      </c>
      <c r="DX19" s="395">
        <f t="array" ref="DX19">IFERROR(IF(AND(INDEX($E$8:$CE$57, MATCH($C19, $C$8:$C$57, 0), (COLUMNS($DU19:DX19)-1)*5 + 1) = INDEX($E$5:$CE$5, 1, (COLUMNS($DU19:DX19)-1)*5 + 1), INDEX($E$8:$CE$57, MATCH($C19, $C$8:$C$57, 0), (COLUMNS($DU19:DX19)-1)*5 + 4) = "SF"), INDEX($CZ$8:$CZ$23, COLUMNS($DU19:DX19)), "0"), "")</f>
        <v/>
      </c>
      <c r="DY19" s="395">
        <f t="array" ref="DY19">IFERROR(IF(AND(INDEX($E$8:$CE$57, MATCH($C19, $C$8:$C$57, 0), (COLUMNS($DU19:DY19)-1)*5 + 1) = INDEX($E$5:$CE$5, 1, (COLUMNS($DU19:DY19)-1)*5 + 1), INDEX($E$8:$CE$57, MATCH($C19, $C$8:$C$57, 0), (COLUMNS($DU19:DY19)-1)*5 + 4) = "SF"), INDEX($CZ$8:$CZ$23, COLUMNS($DU19:DY19)), "0"), "")</f>
        <v/>
      </c>
      <c r="DZ19" s="395">
        <f t="array" ref="DZ19">IFERROR(IF(AND(INDEX($E$8:$CE$57, MATCH($C19, $C$8:$C$57, 0), (COLUMNS($DU19:DZ19)-1)*5 + 1) = INDEX($E$5:$CE$5, 1, (COLUMNS($DU19:DZ19)-1)*5 + 1), INDEX($E$8:$CE$57, MATCH($C19, $C$8:$C$57, 0), (COLUMNS($DU19:DZ19)-1)*5 + 4) = "SF"), INDEX($CZ$8:$CZ$23, COLUMNS($DU19:DZ19)), "0"), "")</f>
        <v/>
      </c>
      <c r="EA19" s="395">
        <f t="array" ref="EA19">IFERROR(IF(AND(INDEX($E$8:$CE$57, MATCH($C19, $C$8:$C$57, 0), (COLUMNS($DU19:EA19)-1)*5 + 1) = INDEX($E$5:$CE$5, 1, (COLUMNS($DU19:EA19)-1)*5 + 1), INDEX($E$8:$CE$57, MATCH($C19, $C$8:$C$57, 0), (COLUMNS($DU19:EA19)-1)*5 + 4) = "SF"), INDEX($CZ$8:$CZ$23, COLUMNS($DU19:EA19)), "0"), "")</f>
        <v/>
      </c>
      <c r="EB19" s="395">
        <f t="array" ref="EB19">IFERROR(IF(AND(INDEX($E$8:$CE$57, MATCH($C19, $C$8:$C$57, 0), (COLUMNS($DU19:EB19)-1)*5 + 1) = INDEX($E$5:$CE$5, 1, (COLUMNS($DU19:EB19)-1)*5 + 1), INDEX($E$8:$CE$57, MATCH($C19, $C$8:$C$57, 0), (COLUMNS($DU19:EB19)-1)*5 + 4) = "SF"), INDEX($CZ$8:$CZ$23, COLUMNS($DU19:EB19)), "0"), "")</f>
        <v/>
      </c>
      <c r="EC19" s="395">
        <f t="array" ref="EC19">IFERROR(IF(AND(INDEX($E$8:$CE$57, MATCH($C19, $C$8:$C$57, 0), (COLUMNS($DU19:EC19)-1)*5 + 1) = INDEX($E$5:$CE$5, 1, (COLUMNS($DU19:EC19)-1)*5 + 1), INDEX($E$8:$CE$57, MATCH($C19, $C$8:$C$57, 0), (COLUMNS($DU19:EC19)-1)*5 + 4) = "SF"), INDEX($CZ$8:$CZ$23, COLUMNS($DU19:EC19)), "0"), "")</f>
        <v/>
      </c>
      <c r="ED19" s="395">
        <f t="array" ref="ED19">IFERROR(IF(AND(INDEX($E$8:$CE$57, MATCH($C19, $C$8:$C$57, 0), (COLUMNS($DU19:ED19)-1)*5 + 1) = INDEX($E$5:$CE$5, 1, (COLUMNS($DU19:ED19)-1)*5 + 1), INDEX($E$8:$CE$57, MATCH($C19, $C$8:$C$57, 0), (COLUMNS($DU19:ED19)-1)*5 + 4) = "SF"), INDEX($CZ$8:$CZ$23, COLUMNS($DU19:ED19)), "0"), "")</f>
        <v/>
      </c>
      <c r="EE19" s="395">
        <f t="array" ref="EE19">IFERROR(IF(AND(INDEX($E$8:$CE$57, MATCH($C19, $C$8:$C$57, 0), (COLUMNS($DU19:EE19)-1)*5 + 1) = INDEX($E$5:$CE$5, 1, (COLUMNS($DU19:EE19)-1)*5 + 1), INDEX($E$8:$CE$57, MATCH($C19, $C$8:$C$57, 0), (COLUMNS($DU19:EE19)-1)*5 + 4) = "SF"), INDEX($CZ$8:$CZ$23, COLUMNS($DU19:EE19)), "0"), "")</f>
        <v/>
      </c>
      <c r="EF19" s="395">
        <f t="array" ref="EF19">IFERROR(IF(AND(INDEX($E$8:$CE$57, MATCH($C19, $C$8:$C$57, 0), (COLUMNS($DU19:EF19)-1)*5 + 1) = INDEX($E$5:$CE$5, 1, (COLUMNS($DU19:EF19)-1)*5 + 1), INDEX($E$8:$CE$57, MATCH($C19, $C$8:$C$57, 0), (COLUMNS($DU19:EF19)-1)*5 + 4) = "SF"), INDEX($CZ$8:$CZ$23, COLUMNS($DU19:EF19)), "0"), "")</f>
        <v/>
      </c>
      <c r="EG19" s="395">
        <f t="array" ref="EG19">IFERROR(IF(AND(INDEX($E$8:$CE$57, MATCH($C19, $C$8:$C$57, 0), (COLUMNS($DU19:EG19)-1)*5 + 1) = INDEX($E$5:$CE$5, 1, (COLUMNS($DU19:EG19)-1)*5 + 1), INDEX($E$8:$CE$57, MATCH($C19, $C$8:$C$57, 0), (COLUMNS($DU19:EG19)-1)*5 + 4) = "SF"), INDEX($CZ$8:$CZ$23, COLUMNS($DU19:EG19)), "0"), "")</f>
        <v/>
      </c>
      <c r="EH19" s="395">
        <f t="array" ref="EH19">IFERROR(IF(AND(INDEX($E$8:$CE$57, MATCH($C19, $C$8:$C$57, 0), (COLUMNS($DU19:EH19)-1)*5 + 1) = INDEX($E$5:$CE$5, 1, (COLUMNS($DU19:EH19)-1)*5 + 1), INDEX($E$8:$CE$57, MATCH($C19, $C$8:$C$57, 0), (COLUMNS($DU19:EH19)-1)*5 + 4) = "SF"), INDEX($CZ$8:$CZ$23, COLUMNS($DU19:EH19)), "0"), "")</f>
        <v/>
      </c>
      <c r="EI19" s="395">
        <f t="array" ref="EI19">IFERROR(IF(AND(INDEX($E$8:$CE$57, MATCH($C19, $C$8:$C$57, 0), (COLUMNS($DU19:EI19)-1)*5 + 1) = INDEX($E$5:$CE$5, 1, (COLUMNS($DU19:EI19)-1)*5 + 1), INDEX($E$8:$CE$57, MATCH($C19, $C$8:$C$57, 0), (COLUMNS($DU19:EI19)-1)*5 + 4) = "SF"), INDEX($CZ$8:$CZ$23, COLUMNS($DU19:EI19)), "0"), "")</f>
        <v/>
      </c>
      <c r="EJ19" s="395">
        <f t="array" ref="EJ19">IFERROR(IF(AND(INDEX($E$8:$CE$57, MATCH($C19, $C$8:$C$57, 0), (COLUMNS($DU19:EJ19)-1)*5 + 1) = INDEX($E$5:$CE$5, 1, (COLUMNS($DU19:EJ19)-1)*5 + 1), INDEX($E$8:$CE$57, MATCH($C19, $C$8:$C$57, 0), (COLUMNS($DU19:EJ19)-1)*5 + 4) = "SF"), INDEX($CZ$8:$CZ$23, COLUMNS($DU19:EJ19)), "0"), "")</f>
        <v/>
      </c>
    </row>
    <row r="20" ht="20.1" customHeight="1" s="568">
      <c r="A20" s="576" t="n"/>
      <c r="B20" s="449">
        <f>IF(SEMANA2[[#This Row],[COD]]&lt;&gt;"",B19+1,"")</f>
        <v/>
      </c>
      <c r="C20" s="622" t="inlineStr">
        <is>
          <t>COD 13</t>
        </is>
      </c>
      <c r="D20" s="415">
        <f t="array" ref="D20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0" s="419" t="n">
        <v>9</v>
      </c>
      <c r="F20" s="419" t="n">
        <v>6</v>
      </c>
      <c r="G20" s="419" t="n">
        <v>2</v>
      </c>
      <c r="H20" s="419" t="n"/>
      <c r="I20" s="602">
        <f>SUM(IF(E20=E$5,4,0),IF(E20&amp;F20=E$5&amp;F$5,1,0),
IF(AND(E20=E$5,F$6&gt;=$D$115),1,0),
IF(AND(F20=E$5,F$6&gt;=$D$115),1,0),
IF(AND(G20=E$5,F$6&gt;=$D$115),1,0),
IF(E20&amp;H20=I$5,1,0),
IF(F20=E$5,2,0),
IF(G20=E$5,1,0),
IF(OR(E20&amp;F20&amp;G20=E$5&amp;F$5&amp;G$5,E20&amp;F20&amp;G20=E$5&amp;G$5&amp;F$5,E20&amp;F20&amp;G20=F$5&amp;E$5&amp;G$5,E20&amp;F20&amp;G20=F$5&amp;G$5&amp;E$5,E20&amp;F20&amp;G20=G$5&amp;E$5&amp;F$5,E20&amp;F20&amp;G20=G$5&amp;F$5&amp;E$5),2,0),IF(AND(E20=E$5,F$6&gt;=$D$129),1,0),IF(AND(F20=E$5,F$6&gt;=$D$129),1,0),IF(AND(G20=E$5,F$6&gt;=$D$129),1,0),IF(E20&amp;H20=H$5,4,0),IF(AND(E20=E$5,F$6&lt;=$D$104),-0.5,0),IF(AND(F20=E$5,F$6&lt;=$D$104),-0.5,0),IF(AND(G20=E$5,F$6&lt;=$D$104),-0.5,0))</f>
        <v/>
      </c>
      <c r="J20" s="419" t="n">
        <v>1</v>
      </c>
      <c r="K20" s="419" t="n">
        <v>4</v>
      </c>
      <c r="L20" s="419" t="n">
        <v>7</v>
      </c>
      <c r="M20" s="419" t="n"/>
      <c r="N20" s="602">
        <f>SUM(IF(J20=J$5,4,0),IF(J20&amp;K20=J$5&amp;K$5,1,0),
IF(AND(J20=J$5,K$6&gt;=$D$115),1,0),
IF(AND(K20=J$5,K$6&gt;=$D$115),1,0),
IF(AND(L20=J$5,K$6&gt;=$D$115),1,0),
IF(J20&amp;M20=N$5,1,0),
IF(K20=J$5,2,0),
IF(L20=J$5,1,0),
IF(OR(J20&amp;K20&amp;L20=J$5&amp;K$5&amp;L$5,J20&amp;K20&amp;L20=J$5&amp;L$5&amp;K$5,J20&amp;K20&amp;L20=K$5&amp;J$5&amp;L$5,J20&amp;K20&amp;L20=K$5&amp;L$5&amp;J$5,J20&amp;K20&amp;L20=L$5&amp;J$5&amp;K$5,J20&amp;K20&amp;L20=L$5&amp;K$5&amp;J$5),2,0),IF(AND(J20=J$5,K$6&gt;=$D$129),1,0),IF(AND(K20=J$5,K$6&gt;=$D$129),1,0),IF(AND(L20=J$5,K$6&gt;=$D$129),1,0),IF(J20&amp;M20=M$5,4,0),IF(AND(J20=J$5,K$6&lt;=$D$104),-0.5,0),IF(AND(K20=J$5,K$6&lt;=$D$104),-0.5,0),IF(AND(L20=J$5,K$6&lt;=$D$104),-0.5,0))</f>
        <v/>
      </c>
      <c r="O20" s="419" t="n">
        <v>5</v>
      </c>
      <c r="P20" s="419" t="n">
        <v>7</v>
      </c>
      <c r="Q20" s="419" t="n">
        <v>3</v>
      </c>
      <c r="R20" s="419" t="n"/>
      <c r="S20" s="602">
        <f>SUM(IF(O20=O$5,4,0),IF(O20&amp;P20=O$5&amp;P$5,1,0),
IF(AND(O20=O$5,P$6&gt;=$D$115),1,0),
IF(AND(P20=O$5,P$6&gt;=$D$115),1,0),
IF(AND(Q20=O$5,P$6&gt;=$D$115),1,0),
IF(O20&amp;R20=S$5,1,0),
IF(P20=O$5,2,0),
IF(Q20=O$5,1,0),
IF(OR(O20&amp;P20&amp;Q20=O$5&amp;P$5&amp;Q$5,O20&amp;P20&amp;Q20=O$5&amp;Q$5&amp;P$5,O20&amp;P20&amp;Q20=P$5&amp;O$5&amp;Q$5,O20&amp;P20&amp;Q20=P$5&amp;Q$5&amp;O$5,O20&amp;P20&amp;Q20=Q$5&amp;O$5&amp;P$5,O20&amp;P20&amp;Q20=Q$5&amp;P$5&amp;O$5),2,0),IF(AND(O20=O$5,P$6&gt;=$D$129),1,0),IF(AND(P20=O$5,P$6&gt;=$D$129),1,0),IF(AND(Q20=O$5,P$6&gt;=$D$129),1,0),IF(O20&amp;R20=R$5,4,0),IF(AND(O20=O$5,P$6&lt;=$D$104),-0.5,0),IF(AND(P20=O$5,P$6&lt;=$D$104),-0.5,0),IF(AND(Q20=O$5,P$6&lt;=$D$104),-0.5,0))</f>
        <v/>
      </c>
      <c r="T20" s="419" t="n">
        <v>1</v>
      </c>
      <c r="U20" s="419" t="n">
        <v>3</v>
      </c>
      <c r="V20" s="419" t="n">
        <v>4</v>
      </c>
      <c r="W20" s="419" t="n"/>
      <c r="X20" s="602">
        <f>SUM(IF(T20=T$5,4,0),IF(T20&amp;U20=T$5&amp;U$5,1,0),
IF(AND(T20=T$5,U$6&gt;=$D$115),1,0),
IF(AND(U20=T$5,U$6&gt;=$D$115),1,0),
IF(AND(V20=T$5,U$6&gt;=$D$115),1,0),
IF(T20&amp;W20=X$5,1,0),
IF(U20=T$5,2,0),
IF(V20=T$5,1,0),
IF(OR(T20&amp;U20&amp;V20=T$5&amp;U$5&amp;V$5,T20&amp;U20&amp;V20=T$5&amp;V$5&amp;U$5,T20&amp;U20&amp;V20=U$5&amp;T$5&amp;V$5,T20&amp;U20&amp;V20=U$5&amp;V$5&amp;T$5,T20&amp;U20&amp;V20=V$5&amp;T$5&amp;U$5,T20&amp;U20&amp;V20=V$5&amp;U$5&amp;T$5),2,0),IF(AND(T20=T$5,U$6&gt;=$D$129),1,0),IF(AND(U20=T$5,U$6&gt;=$D$129),1,0),IF(AND(V20=T$5,U$6&gt;=$D$129),1,0),IF(T20&amp;W20=W$5,4,0),IF(AND(T20=T$5,U$6&lt;=$D$104),-0.5,0),IF(AND(U20=T$5,U$6&lt;=$D$104),-0.5,0),IF(AND(V20=T$5,U$6&lt;=$D$104),-0.5,0))</f>
        <v/>
      </c>
      <c r="Y20" s="419" t="n">
        <v>7</v>
      </c>
      <c r="Z20" s="419" t="n">
        <v>1</v>
      </c>
      <c r="AA20" s="419" t="n">
        <v>4</v>
      </c>
      <c r="AB20" s="419" t="n"/>
      <c r="AC20" s="602">
        <f>SUM(IF(Y20=Y$5,4,0),IF(Y20&amp;Z20=Y$5&amp;Z$5,1,0),
IF(AND(Y20=Y$5,Z$6&gt;=$D$115),1,0),
IF(AND(Z20=Y$5,Z$6&gt;=$D$115),1,0),
IF(AND(AA20=Y$5,Z$6&gt;=$D$115),1,0),
IF(Y20&amp;AB20=AC$5,1,0),
IF(Z20=Y$5,2,0),
IF(AA20=Y$5,1,0),
IF(OR(Y20&amp;Z20&amp;AA20=Y$5&amp;Z$5&amp;AA$5,Y20&amp;Z20&amp;AA20=Y$5&amp;AA$5&amp;Z$5,Y20&amp;Z20&amp;AA20=Z$5&amp;Y$5&amp;AA$5,Y20&amp;Z20&amp;AA20=Z$5&amp;AA$5&amp;Y$5,Y20&amp;Z20&amp;AA20=AA$5&amp;Y$5&amp;Z$5,Y20&amp;Z20&amp;AA20=AA$5&amp;Z$5&amp;Y$5),2,0),IF(AND(Y20=Y$5,Z$6&gt;=$D$129),1,0),IF(AND(Z20=Y$5,Z$6&gt;=$D$129),1,0),IF(AND(AA20=Y$5,Z$6&gt;=$D$129),1,0),IF(Y20&amp;AB20=AB$5,4,0),IF(AND(Y20=Y$5,Z$6&lt;=$D$104),-0.5,0),IF(AND(Z20=Y$5,Z$6&lt;=$D$104),-0.5,0),IF(AND(AA20=Y$5,Z$6&lt;=$D$104),-0.5,0))</f>
        <v/>
      </c>
      <c r="AD20" s="419" t="n">
        <v>3</v>
      </c>
      <c r="AE20" s="419" t="n">
        <v>4</v>
      </c>
      <c r="AF20" s="419" t="n">
        <v>10</v>
      </c>
      <c r="AG20" s="419" t="n"/>
      <c r="AH20" s="602">
        <f>SUM(IF(AD20=AD$5,4,0),IF(AD20&amp;AE20=AD$5&amp;AE$5,1,0),
IF(AND(AD20=AD$5,AE$6&gt;=$D$115),1,0),
IF(AND(AE20=AD$5,AE$6&gt;=$D$115),1,0),
IF(AND(AF20=AD$5,AE$6&gt;=$D$115),1,0),
IF(AD20&amp;AG20=AH$5,1,0),
IF(AE20=AD$5,2,0),
IF(AF20=AD$5,1,0),
IF(OR(AD20&amp;AE20&amp;AF20=AD$5&amp;AE$5&amp;AF$5,AD20&amp;AE20&amp;AF20=AD$5&amp;AF$5&amp;AE$5,AD20&amp;AE20&amp;AF20=AE$5&amp;AD$5&amp;AF$5,AD20&amp;AE20&amp;AF20=AE$5&amp;AF$5&amp;AD$5,AD20&amp;AE20&amp;AF20=AF$5&amp;AD$5&amp;AE$5,AD20&amp;AE20&amp;AF20=AF$5&amp;AE$5&amp;AD$5),2,0),IF(AND(AD20=AD$5,AE$6&gt;=$D$129),1,0),IF(AND(AE20=AD$5,AE$6&gt;=$D$129),1,0),IF(AND(AF20=AD$5,AE$6&gt;=$D$129),1,0),IF(AD20&amp;AG20=AG$5,4,0),IF(AND(AD20=AD$5,AE$6&lt;=$D$104),-0.5,0),IF(AND(AE20=AD$5,AE$6&lt;=$D$104),-0.5,0),IF(AND(AF20=AD$5,AE$6&lt;=$D$104),-0.5,0))</f>
        <v/>
      </c>
      <c r="AI20" s="419" t="n">
        <v>6</v>
      </c>
      <c r="AJ20" s="419" t="n">
        <v>8</v>
      </c>
      <c r="AK20" s="419" t="n">
        <v>9</v>
      </c>
      <c r="AL20" s="419" t="n"/>
      <c r="AM20" s="602">
        <f>SUM(IF(AI20=AI$5,4,0),IF(AI20&amp;AJ20=AI$5&amp;AJ$5,1,0),
IF(AND(AI20=AI$5,AJ$6&gt;=$D$115),1,0),
IF(AND(AJ20=AI$5,AJ$6&gt;=$D$115),1,0),
IF(AND(AK20=AI$5,AJ$6&gt;=$D$115),1,0),
IF(AI20&amp;AL20=AM$5,1,0),
IF(AJ20=AI$5,2,0),
IF(AK20=AI$5,1,0),
IF(OR(AI20&amp;AJ20&amp;AK20=AI$5&amp;AJ$5&amp;AK$5,AI20&amp;AJ20&amp;AK20=AI$5&amp;AK$5&amp;AJ$5,AI20&amp;AJ20&amp;AK20=AJ$5&amp;AI$5&amp;AK$5,AI20&amp;AJ20&amp;AK20=AJ$5&amp;AK$5&amp;AI$5,AI20&amp;AJ20&amp;AK20=AK$5&amp;AI$5&amp;AJ$5,AI20&amp;AJ20&amp;AK20=AK$5&amp;AJ$5&amp;AI$5),2,0),IF(AND(AI20=AI$5,AJ$6&gt;=$D$129),1,0),IF(AND(AJ20=AI$5,AJ$6&gt;=$D$129),1,0),IF(AND(AK20=AI$5,AJ$6&gt;=$D$129),1,0),IF(AI20&amp;AL20=AL$5,4,0),IF(AND(AI20=AI$5,AJ$6&lt;=$D$104),-0.5,0),IF(AND(AJ20=AI$5,AJ$6&lt;=$D$104),-0.5,0),IF(AND(AK20=AI$5,AJ$6&lt;=$D$104),-0.5,0))</f>
        <v/>
      </c>
      <c r="AN20" s="419" t="n">
        <v>8</v>
      </c>
      <c r="AO20" s="419" t="n">
        <v>1</v>
      </c>
      <c r="AP20" s="419" t="n">
        <v>2</v>
      </c>
      <c r="AQ20" s="419" t="inlineStr">
        <is>
          <t>F</t>
        </is>
      </c>
      <c r="AR20" s="602">
        <f>SUM(IF(AN20=AN$5,4,0),IF(AN20&amp;AO20=AN$5&amp;AO$5,1,0),
IF(AND(AN20=AN$5,AO$6&gt;=$D$115),1,0),
IF(AND(AO20=AN$5,AO$6&gt;=$D$115),1,0),
IF(AND(AP20=AN$5,AO$6&gt;=$D$115),1,0),
IF(AN20&amp;AQ20=AR$5,1,0),
IF(AO20=AN$5,2,0),
IF(AP20=AN$5,1,0),
IF(OR(AN20&amp;AO20&amp;AP20=AN$5&amp;AO$5&amp;AP$5,AN20&amp;AO20&amp;AP20=AN$5&amp;AP$5&amp;AO$5,AN20&amp;AO20&amp;AP20=AO$5&amp;AN$5&amp;AP$5,AN20&amp;AO20&amp;AP20=AO$5&amp;AP$5&amp;AN$5,AN20&amp;AO20&amp;AP20=AP$5&amp;AN$5&amp;AO$5,AN20&amp;AO20&amp;AP20=AP$5&amp;AO$5&amp;AN$5),2,0),IF(AND(AN20=AN$5,AO$6&gt;=$D$129),1,0),IF(AND(AO20=AN$5,AO$6&gt;=$D$129),1,0),IF(AND(AP20=AN$5,AO$6&gt;=$D$129),1,0),IF(AN20&amp;AQ20=AQ$5,4,0),IF(AND(AN20=AN$5,AO$6&lt;=$D$104),-0.5,0),IF(AND(AO20=AN$5,AO$6&lt;=$D$104),-0.5,0),IF(AND(AP20=AN$5,AO$6&lt;=$D$104),-0.5,0))</f>
        <v/>
      </c>
      <c r="AS20" s="419" t="n">
        <v>6</v>
      </c>
      <c r="AT20" s="419" t="n">
        <v>8</v>
      </c>
      <c r="AU20" s="419" t="n">
        <v>11</v>
      </c>
      <c r="AV20" s="419" t="n"/>
      <c r="AW20" s="602">
        <f>SUM(IF(AS20=AS$5,4,0),IF(AS20&amp;AT20=AS$5&amp;AT$5,1,0),
IF(AND(AS20=AS$5,AT$6&gt;=$D$115),1,0),
IF(AND(AT20=AS$5,AT$6&gt;=$D$115),1,0),
IF(AND(AU20=AS$5,AT$6&gt;=$D$115),1,0),
IF(AS20&amp;AV20=AW$5,1,0),
IF(AT20=AS$5,2,0),
IF(AU20=AS$5,1,0),
IF(OR(AS20&amp;AT20&amp;AU20=AS$5&amp;AT$5&amp;AU$5,AS20&amp;AT20&amp;AU20=AS$5&amp;AU$5&amp;AT$5,AS20&amp;AT20&amp;AU20=AT$5&amp;AS$5&amp;AU$5,AS20&amp;AT20&amp;AU20=AT$5&amp;AU$5&amp;AS$5,AS20&amp;AT20&amp;AU20=AU$5&amp;AS$5&amp;AT$5,AS20&amp;AT20&amp;AU20=AU$5&amp;AT$5&amp;AS$5),2,0),IF(AND(AS20=AS$5,AT$6&gt;=$D$129),1,0),IF(AND(AT20=AS$5,AT$6&gt;=$D$129),1,0),IF(AND(AU20=AS$5,AT$6&gt;=$D$129),1,0),IF(AS20&amp;AV20=AV$5,4,0),IF(AND(AS20=AS$5,AT$6&lt;=$D$104),-0.5,0),IF(AND(AT20=AS$5,AT$6&lt;=$D$104),-0.5,0),IF(AND(AU20=AS$5,AT$6&lt;=$D$104),-0.5,0))</f>
        <v/>
      </c>
      <c r="AX20" s="419" t="n">
        <v>6</v>
      </c>
      <c r="AY20" s="419" t="n">
        <v>1</v>
      </c>
      <c r="AZ20" s="419" t="n">
        <v>10</v>
      </c>
      <c r="BA20" s="419" t="n"/>
      <c r="BB20" s="602">
        <f>SUM(IF(AX20=AX$5,4,0),IF(AX20&amp;AY20=AX$5&amp;AY$5,1,0),
IF(AND(AX20=AX$5,AY$6&gt;=$D$115),1,0),
IF(AND(AY20=AX$5,AY$6&gt;=$D$115),1,0),
IF(AND(AZ20=AX$5,AY$6&gt;=$D$115),1,0),
IF(AX20&amp;BA20=BB$5,1,0),
IF(AY20=AX$5,2,0),
IF(AZ20=AX$5,1,0),
IF(OR(AX20&amp;AY20&amp;AZ20=AX$5&amp;AY$5&amp;AZ$5,AX20&amp;AY20&amp;AZ20=AX$5&amp;AZ$5&amp;AY$5,AX20&amp;AY20&amp;AZ20=AY$5&amp;AX$5&amp;AZ$5,AX20&amp;AY20&amp;AZ20=AY$5&amp;AZ$5&amp;AX$5,AX20&amp;AY20&amp;AZ20=AZ$5&amp;AX$5&amp;AY$5,AX20&amp;AY20&amp;AZ20=AZ$5&amp;AY$5&amp;AX$5),2,0),IF(AND(AX20=AX$5,AY$6&gt;=$D$129),1,0),IF(AND(AY20=AX$5,AY$6&gt;=$D$129),1,0),IF(AND(AZ20=AX$5,AY$6&gt;=$D$129),1,0),IF(AX20&amp;BA20=BA$5,4,0),IF(AND(AX20=AX$5,AY$6&lt;=$D$104),-0.5,0),IF(AND(AY20=AX$5,AY$6&lt;=$D$104),-0.5,0),IF(AND(AZ20=AX$5,AY$6&lt;=$D$104),-0.5,0))</f>
        <v/>
      </c>
      <c r="BC20" s="419" t="n">
        <v>7</v>
      </c>
      <c r="BD20" s="419" t="n">
        <v>6</v>
      </c>
      <c r="BE20" s="419" t="n">
        <v>3</v>
      </c>
      <c r="BF20" s="419" t="inlineStr">
        <is>
          <t>F</t>
        </is>
      </c>
      <c r="BG20" s="602">
        <f>SUM(IF(BC20=BC$5,4,0),IF(BC20&amp;BD20=BC$5&amp;BD$5,1,0),
IF(AND(BC20=BC$5,BD$6&gt;=$D$115),1,0),
IF(AND(BD20=BC$5,BD$6&gt;=$D$115),1,0),
IF(AND(BE20=BC$5,BD$6&gt;=$D$115),1,0),
IF(BC20&amp;BF20=BG$5,1,0),
IF(BD20=BC$5,2,0),
IF(BE20=BC$5,1,0),
IF(OR(BC20&amp;BD20&amp;BE20=BC$5&amp;BD$5&amp;BE$5,BC20&amp;BD20&amp;BE20=BC$5&amp;BE$5&amp;BD$5,BC20&amp;BD20&amp;BE20=BD$5&amp;BC$5&amp;BE$5,BC20&amp;BD20&amp;BE20=BD$5&amp;BE$5&amp;BC$5,BC20&amp;BD20&amp;BE20=BE$5&amp;BC$5&amp;BD$5,BC20&amp;BD20&amp;BE20=BE$5&amp;BD$5&amp;BC$5),2,0),IF(AND(BC20=BC$5,BD$6&gt;=$D$129),1,0),IF(AND(BD20=BC$5,BD$6&gt;=$D$129),1,0),IF(AND(BE20=BC$5,BD$6&gt;=$D$129),1,0),IF(BC20&amp;BF20=BF$5,4,0),IF(AND(BC20=BC$5,BD$6&lt;=$D$104),-0.5,0),IF(AND(BD20=BC$5,BD$6&lt;=$D$104),-0.5,0),IF(AND(BE20=BC$5,BD$6&lt;=$D$104),-0.5,0))</f>
        <v/>
      </c>
      <c r="BH20" s="419" t="n">
        <v>6</v>
      </c>
      <c r="BI20" s="419" t="n">
        <v>2</v>
      </c>
      <c r="BJ20" s="419" t="n">
        <v>7</v>
      </c>
      <c r="BK20" s="419" t="n"/>
      <c r="BL20" s="602">
        <f>SUM(IF(BH20=BH$5,4,0),IF(BH20&amp;BI20=BH$5&amp;BI$5,1,0),
IF(AND(BH20=BH$5,BI$6&gt;=$D$115),1,0),
IF(AND(BI20=BH$5,BI$6&gt;=$D$115),1,0),
IF(AND(BJ20=BH$5,BI$6&gt;=$D$115),1,0),
IF(BH20&amp;BK20=BL$5,1,0),
IF(BI20=BH$5,2,0),
IF(BJ20=BH$5,1,0),
IF(OR(BH20&amp;BI20&amp;BJ20=BH$5&amp;BI$5&amp;BJ$5,BH20&amp;BI20&amp;BJ20=BH$5&amp;BJ$5&amp;BI$5,BH20&amp;BI20&amp;BJ20=BI$5&amp;BH$5&amp;BJ$5,BH20&amp;BI20&amp;BJ20=BI$5&amp;BJ$5&amp;BH$5,BH20&amp;BI20&amp;BJ20=BJ$5&amp;BH$5&amp;BI$5,BH20&amp;BI20&amp;BJ20=BJ$5&amp;BI$5&amp;BH$5),2,0),IF(AND(BH20=BH$5,BI$6&gt;=$D$129),1,0),IF(AND(BI20=BH$5,BI$6&gt;=$D$129),1,0),IF(AND(BJ20=BH$5,BI$6&gt;=$D$129),1,0),IF(BH20&amp;BK20=BK$5,4,0),IF(AND(BH20=BH$5,BI$6&lt;=$D$104),-0.5,0),IF(AND(BI20=BH$5,BI$6&lt;=$D$104),-0.5,0),IF(AND(BJ20=BH$5,BI$6&lt;=$D$104),-0.5,0))</f>
        <v/>
      </c>
      <c r="BM20" s="419" t="n">
        <v>4</v>
      </c>
      <c r="BN20" s="419" t="n">
        <v>9</v>
      </c>
      <c r="BO20" s="419" t="n">
        <v>1</v>
      </c>
      <c r="BP20" s="419" t="n"/>
      <c r="BQ20" s="602">
        <f>SUM(IF(BM20=BM$5,4,0),IF(BM20&amp;BN20=BM$5&amp;BN$5,1,0),
IF(AND(BM20=BM$5,BN$6&gt;=$D$115),1,0),
IF(AND(BN20=BM$5,BN$6&gt;=$D$115),1,0),
IF(AND(BO20=BM$5,BN$6&gt;=$D$115),1,0),
IF(BM20&amp;BP20=BQ$5,1,0),
IF(BN20=BM$5,2,0),
IF(BO20=BM$5,1,0),
IF(OR(BM20&amp;BN20&amp;BO20=BM$5&amp;BN$5&amp;BO$5,BM20&amp;BN20&amp;BO20=BM$5&amp;BO$5&amp;BN$5,BM20&amp;BN20&amp;BO20=BN$5&amp;BM$5&amp;BO$5,BM20&amp;BN20&amp;BO20=BN$5&amp;BO$5&amp;BM$5,BM20&amp;BN20&amp;BO20=BO$5&amp;BM$5&amp;BN$5,BM20&amp;BN20&amp;BO20=BO$5&amp;BN$5&amp;BM$5),2,0),IF(AND(BM20=BM$5,BN$6&gt;=$D$129),1,0),IF(AND(BN20=BM$5,BN$6&gt;=$D$129),1,0),IF(AND(BO20=BM$5,BN$6&gt;=$D$129),1,0),IF(BM20&amp;BP20=BP$5,4,0),IF(AND(BM20=BM$5,BN$6&lt;=$D$104),-0.5,0),IF(AND(BN20=BM$5,BN$6&lt;=$D$104),-0.5,0),IF(AND(BO20=BM$5,BN$6&lt;=$D$104),-0.5,0))</f>
        <v/>
      </c>
      <c r="BR20" s="419" t="n">
        <v>5</v>
      </c>
      <c r="BS20" s="419" t="n">
        <v>1</v>
      </c>
      <c r="BT20" s="419" t="n">
        <v>11</v>
      </c>
      <c r="BU20" s="419" t="n"/>
      <c r="BV20" s="602">
        <f>SUM(IF(BR20=BR$5,4,0),IF(BR20&amp;BS20=BR$5&amp;BS$5,1,0),
IF(AND(BR20=BR$5,BS$6&gt;=$D$115),1,0),
IF(AND(BS20=BR$5,BS$6&gt;=$D$115),1,0),
IF(AND(BT20=BR$5,BS$6&gt;=$D$115),1,0),
IF(BR20&amp;BU20=BV$5,1,0),
IF(BS20=BR$5,2,0),
IF(BT20=BR$5,1,0),
IF(OR(BR20&amp;BS20&amp;BT20=BR$5&amp;BS$5&amp;BT$5,BR20&amp;BS20&amp;BT20=BR$5&amp;BT$5&amp;BS$5,BR20&amp;BS20&amp;BT20=BS$5&amp;BR$5&amp;BT$5,BR20&amp;BS20&amp;BT20=BS$5&amp;BT$5&amp;BR$5,BR20&amp;BS20&amp;BT20=BT$5&amp;BR$5&amp;BS$5,BR20&amp;BS20&amp;BT20=BT$5&amp;BS$5&amp;BR$5),2,0),IF(AND(BR20=BR$5,BS$6&gt;=$D$129),1,0),IF(AND(BS20=BR$5,BS$6&gt;=$D$129),1,0),IF(AND(BT20=BR$5,BS$6&gt;=$D$129),1,0),IF(BR20&amp;BU20=BU$5,4,0),IF(AND(BR20=BR$5,BS$6&lt;=$D$104),-0.5,0),IF(AND(BS20=BR$5,BS$6&lt;=$D$104),-0.5,0),IF(AND(BT20=BR$5,BS$6&lt;=$D$104),-0.5,0))</f>
        <v/>
      </c>
      <c r="BW20" s="419" t="n"/>
      <c r="BX20" s="419" t="n"/>
      <c r="BY20" s="419" t="n"/>
      <c r="BZ20" s="419" t="n"/>
      <c r="CA20" s="602">
        <f>SUM(IF(BW20=BW$5,4,0),IF(BW20&amp;BX20=BW$5&amp;BX$5,1,0),
IF(AND(BW20=BW$5,BX$6&gt;=$D$115),1,0),
IF(AND(BX20=BW$5,BX$6&gt;=$D$115),1,0),
IF(AND(BY20=BW$5,BX$6&gt;=$D$115),1,0),
IF(BW20&amp;BZ20=CA$5,1,0),
IF(BX20=BW$5,2,0),
IF(BY20=BW$5,1,0),
IF(OR(BW20&amp;BX20&amp;BY20=BW$5&amp;BX$5&amp;BY$5,BW20&amp;BX20&amp;BY20=BW$5&amp;BY$5&amp;BX$5,BW20&amp;BX20&amp;BY20=BX$5&amp;BW$5&amp;BY$5,BW20&amp;BX20&amp;BY20=BX$5&amp;BY$5&amp;BW$5,BW20&amp;BX20&amp;BY20=BY$5&amp;BW$5&amp;BX$5,BW20&amp;BX20&amp;BY20=BY$5&amp;BX$5&amp;BW$5),2,0),IF(AND(BW20=BW$5,BX$6&gt;=$D$129),1,0),IF(AND(BX20=BW$5,BX$6&gt;=$D$129),1,0),IF(AND(BY20=BW$5,BX$6&gt;=$D$129),1,0),IF(BW20&amp;BZ20=BZ$5,4,0),IF(AND(BW20=BW$5,BX$6&lt;=$D$104),-0.5,0),IF(AND(BX20=BW$5,BX$6&lt;=$D$104),-0.5,0),IF(AND(BY20=BW$5,BX$6&lt;=$D$104),-0.5,0))</f>
        <v/>
      </c>
      <c r="CB20" s="419" t="n"/>
      <c r="CC20" s="419" t="n"/>
      <c r="CD20" s="419" t="n"/>
      <c r="CE20" s="419" t="n"/>
      <c r="CF20" s="602">
        <f>SUM(IF(CB20=CB$5,4,0),IF(CB20&amp;CC20=CB$5&amp;CC$5,1,0),
IF(AND(CB20=CB$5,CC$6&gt;=$D$115),1,0),
IF(AND(CC20=CB$5,CC$6&gt;=$D$115),1,0),
IF(AND(CD20=CB$5,CC$6&gt;=$D$115),1,0),
IF(CB20&amp;CE20=CF$5,1,0),
IF(CC20=CB$5,2,0),
IF(CD20=CB$5,1,0),
IF(OR(CB20&amp;CC20&amp;CD20=CB$5&amp;CC$5&amp;CD$5,CB20&amp;CC20&amp;CD20=CB$5&amp;CD$5&amp;CC$5,CB20&amp;CC20&amp;CD20=CC$5&amp;CB$5&amp;CD$5,CB20&amp;CC20&amp;CD20=CC$5&amp;CD$5&amp;CB$5,CB20&amp;CC20&amp;CD20=CD$5&amp;CB$5&amp;CC$5,CB20&amp;CC20&amp;CD20=CD$5&amp;CC$5&amp;CB$5),2,0),IF(AND(CB20=CB$5,CC$6&gt;=$D$129),1,0),IF(AND(CC20=CB$5,CC$6&gt;=$D$129),1,0),IF(AND(CD20=CB$5,CC$6&gt;=$D$129),1,0),IF(CB20&amp;CE20=CE$5,4,0),IF(AND(CB20=CB$5,CC$6&lt;=$D$104),-0.5,0),IF(AND(CC20=CB$5,CC$6&lt;=$D$104),-0.5,0),IF(AND(CD20=CB$5,CC$6&lt;=$D$104),-0.5,0))</f>
        <v/>
      </c>
      <c r="CG20" s="164">
        <f>IF(SEMANA2[[#This Row],[1]]="",0,$B$4)</f>
        <v/>
      </c>
      <c r="CH20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0" s="166">
        <f>IF(SEMANA2[[#This Row],[Columna14]]=0,0,(CH20/CG20))</f>
        <v/>
      </c>
      <c r="CJ20" s="165">
        <f>IF(SEMANA2[[#This Row],[1]]="",0,$B$4)</f>
        <v/>
      </c>
      <c r="CK20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0" s="166">
        <f>IF(SEMANA2[[#This Row],[Columna14]]=0,0,(CK20/CJ20))</f>
        <v/>
      </c>
      <c r="CM20" s="164">
        <f>IF(SEMANA2[[#This Row],[1]]="",0,$B$4)</f>
        <v/>
      </c>
      <c r="CN20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0" s="166">
        <f>IF(SEMANA2[[#This Row],[Columna14]]=0,0,(CN20/CM20))</f>
        <v/>
      </c>
      <c r="CP20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0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Row],[Columna25]],$AX$5,BA20,"SF")+COUNTIFS(SEMANA2[[#This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0" s="166">
        <f>IFERROR(IF(SEMANA2[[#This Row],[Columna14]]=0,0,(CQ20/CP20)),0)</f>
        <v/>
      </c>
      <c r="CS20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0" s="95">
        <f>_xlfn.XLOOKUP(SEMANA2[[#This Row],[COD]],BASE01[COD],BASE01[Columna33])</f>
        <v/>
      </c>
      <c r="CU20" s="604">
        <f>SUM(CS20,CT20)</f>
        <v/>
      </c>
      <c r="CV20" s="450">
        <f>IF(SEMANA2[[#This Row],[TIPO]]="PREMIO",$O$3,"0,00")</f>
        <v/>
      </c>
      <c r="CW20" s="576" t="n"/>
      <c r="CY20" s="393" t="n">
        <v>13</v>
      </c>
      <c r="CZ20" s="354">
        <f>BN$6</f>
        <v/>
      </c>
      <c r="DB20" s="605">
        <f>SEMANA2[[#This Row],[COD]]</f>
        <v/>
      </c>
      <c r="DC20" s="395">
        <f t="array" ref="DC20">IFERROR(IF(AND(INDEX($E$8:$CE$57, MATCH($C20, $C$8:$C$57, 0), (COLUMNS($DC20:DC20)-1)*5 + 1) = INDEX($E$5:$CE$5, 1, (COLUMNS($DC20:DC20)-1)*5 + 1), INDEX($E$8:$CE$57, MATCH($C20, $C$8:$C$57, 0), (COLUMNS($DC20:DC20)-1)*5 + 4) = "F"), INDEX($CZ$8:$CZ$23, COLUMNS($DC20:DC20)), "0"), "")</f>
        <v/>
      </c>
      <c r="DD20" s="395">
        <f t="array" ref="DD20">IFERROR(IF(AND(INDEX($E$8:$CE$57, MATCH($C20, $C$8:$C$57, 0), (COLUMNS($DC20:DD20)-1)*5 + 1) = INDEX($E$5:$CE$5, 1, (COLUMNS($DC20:DD20)-1)*5 + 1), INDEX($E$8:$CE$57, MATCH($C20, $C$8:$C$57, 0), (COLUMNS($DC20:DD20)-1)*5 + 4) = "F"), INDEX($CZ$8:$CZ$23, COLUMNS($DC20:DD20)), "0"), "")</f>
        <v/>
      </c>
      <c r="DE20" s="395">
        <f t="array" ref="DE20">IFERROR(IF(AND(INDEX($E$8:$CE$57, MATCH($C20, $C$8:$C$57, 0), (COLUMNS($DC20:DE20)-1)*5 + 1) = INDEX($E$5:$CE$5, 1, (COLUMNS($DC20:DE20)-1)*5 + 1), INDEX($E$8:$CE$57, MATCH($C20, $C$8:$C$57, 0), (COLUMNS($DC20:DE20)-1)*5 + 4) = "F"), INDEX($CZ$8:$CZ$23, COLUMNS($DC20:DE20)), "0"), "")</f>
        <v/>
      </c>
      <c r="DF20" s="395">
        <f t="array" ref="DF20">IFERROR(IF(AND(INDEX($E$8:$CE$57, MATCH($C20, $C$8:$C$57, 0), (COLUMNS($DC20:DF20)-1)*5 + 1) = INDEX($E$5:$CE$5, 1, (COLUMNS($DC20:DF20)-1)*5 + 1), INDEX($E$8:$CE$57, MATCH($C20, $C$8:$C$57, 0), (COLUMNS($DC20:DF20)-1)*5 + 4) = "F"), INDEX($CZ$8:$CZ$23, COLUMNS($DC20:DF20)), "0"), "")</f>
        <v/>
      </c>
      <c r="DG20" s="395">
        <f t="array" ref="DG20">IFERROR(IF(AND(INDEX($E$8:$CE$57, MATCH($C20, $C$8:$C$57, 0), (COLUMNS($DC20:DG20)-1)*5 + 1) = INDEX($E$5:$CE$5, 1, (COLUMNS($DC20:DG20)-1)*5 + 1), INDEX($E$8:$CE$57, MATCH($C20, $C$8:$C$57, 0), (COLUMNS($DC20:DG20)-1)*5 + 4) = "F"), INDEX($CZ$8:$CZ$23, COLUMNS($DC20:DG20)), "0"), "")</f>
        <v/>
      </c>
      <c r="DH20" s="395">
        <f t="array" ref="DH20">IFERROR(IF(AND(INDEX($E$8:$CE$57, MATCH($C20, $C$8:$C$57, 0), (COLUMNS($DC20:DH20)-1)*5 + 1) = INDEX($E$5:$CE$5, 1, (COLUMNS($DC20:DH20)-1)*5 + 1), INDEX($E$8:$CE$57, MATCH($C20, $C$8:$C$57, 0), (COLUMNS($DC20:DH20)-1)*5 + 4) = "F"), INDEX($CZ$8:$CZ$23, COLUMNS($DC20:DH20)), "0"), "")</f>
        <v/>
      </c>
      <c r="DI20" s="395">
        <f t="array" ref="DI20">IFERROR(IF(AND(INDEX($E$8:$CE$57, MATCH($C20, $C$8:$C$57, 0), (COLUMNS($DC20:DI20)-1)*5 + 1) = INDEX($E$5:$CE$5, 1, (COLUMNS($DC20:DI20)-1)*5 + 1), INDEX($E$8:$CE$57, MATCH($C20, $C$8:$C$57, 0), (COLUMNS($DC20:DI20)-1)*5 + 4) = "F"), INDEX($CZ$8:$CZ$23, COLUMNS($DC20:DI20)), "0"), "")</f>
        <v/>
      </c>
      <c r="DJ20" s="395">
        <f t="array" ref="DJ20">IFERROR(IF(AND(INDEX($E$8:$CE$57, MATCH($C20, $C$8:$C$57, 0), (COLUMNS($DC20:DJ20)-1)*5 + 1) = INDEX($E$5:$CE$5, 1, (COLUMNS($DC20:DJ20)-1)*5 + 1), INDEX($E$8:$CE$57, MATCH($C20, $C$8:$C$57, 0), (COLUMNS($DC20:DJ20)-1)*5 + 4) = "F"), INDEX($CZ$8:$CZ$23, COLUMNS($DC20:DJ20)), "0"), "")</f>
        <v/>
      </c>
      <c r="DK20" s="395">
        <f t="array" ref="DK20">IFERROR(IF(AND(INDEX($E$8:$CE$57, MATCH($C20, $C$8:$C$57, 0), (COLUMNS($DC20:DK20)-1)*5 + 1) = INDEX($E$5:$CE$5, 1, (COLUMNS($DC20:DK20)-1)*5 + 1), INDEX($E$8:$CE$57, MATCH($C20, $C$8:$C$57, 0), (COLUMNS($DC20:DK20)-1)*5 + 4) = "F"), INDEX($CZ$8:$CZ$23, COLUMNS($DC20:DK20)), "0"), "")</f>
        <v/>
      </c>
      <c r="DL20" s="395">
        <f t="array" ref="DL20">IFERROR(IF(AND(INDEX($E$8:$CE$57, MATCH($C20, $C$8:$C$57, 0), (COLUMNS($DC20:DL20)-1)*5 + 1) = INDEX($E$5:$CE$5, 1, (COLUMNS($DC20:DL20)-1)*5 + 1), INDEX($E$8:$CE$57, MATCH($C20, $C$8:$C$57, 0), (COLUMNS($DC20:DL20)-1)*5 + 4) = "F"), INDEX($CZ$8:$CZ$23, COLUMNS($DC20:DL20)), "0"), "")</f>
        <v/>
      </c>
      <c r="DM20" s="395">
        <f t="array" ref="DM20">IFERROR(IF(AND(INDEX($E$8:$CE$57, MATCH($C20, $C$8:$C$57, 0), (COLUMNS($DC20:DM20)-1)*5 + 1) = INDEX($E$5:$CE$5, 1, (COLUMNS($DC20:DM20)-1)*5 + 1), INDEX($E$8:$CE$57, MATCH($C20, $C$8:$C$57, 0), (COLUMNS($DC20:DM20)-1)*5 + 4) = "F"), INDEX($CZ$8:$CZ$23, COLUMNS($DC20:DM20)), "0"), "")</f>
        <v/>
      </c>
      <c r="DN20" s="395">
        <f t="array" ref="DN20">IFERROR(IF(AND(INDEX($E$8:$CE$57, MATCH($C20, $C$8:$C$57, 0), (COLUMNS($DC20:DN20)-1)*5 + 1) = INDEX($E$5:$CE$5, 1, (COLUMNS($DC20:DN20)-1)*5 + 1), INDEX($E$8:$CE$57, MATCH($C20, $C$8:$C$57, 0), (COLUMNS($DC20:DN20)-1)*5 + 4) = "F"), INDEX($CZ$8:$CZ$23, COLUMNS($DC20:DN20)), "0"), "")</f>
        <v/>
      </c>
      <c r="DO20" s="395">
        <f t="array" ref="DO20">IFERROR(IF(AND(INDEX($E$8:$CE$57, MATCH($C20, $C$8:$C$57, 0), (COLUMNS($DC20:DO20)-1)*5 + 1) = INDEX($E$5:$CE$5, 1, (COLUMNS($DC20:DO20)-1)*5 + 1), INDEX($E$8:$CE$57, MATCH($C20, $C$8:$C$57, 0), (COLUMNS($DC20:DO20)-1)*5 + 4) = "F"), INDEX($CZ$8:$CZ$23, COLUMNS($DC20:DO20)), "0"), "")</f>
        <v/>
      </c>
      <c r="DP20" s="395">
        <f t="array" ref="DP20">IFERROR(IF(AND(INDEX($E$8:$CE$57, MATCH($C20, $C$8:$C$57, 0), (COLUMNS($DC20:DP20)-1)*5 + 1) = INDEX($E$5:$CE$5, 1, (COLUMNS($DC20:DP20)-1)*5 + 1), INDEX($E$8:$CE$57, MATCH($C20, $C$8:$C$57, 0), (COLUMNS($DC20:DP20)-1)*5 + 4) = "F"), INDEX($CZ$8:$CZ$23, COLUMNS($DC20:DP20)), "0"), "")</f>
        <v/>
      </c>
      <c r="DQ20" s="395">
        <f t="array" ref="DQ20">IFERROR(IF(AND(INDEX($E$8:$CE$57, MATCH($C20, $C$8:$C$57, 0), (COLUMNS($DC20:DQ20)-1)*5 + 1) = INDEX($E$5:$CE$5, 1, (COLUMNS($DC20:DQ20)-1)*5 + 1), INDEX($E$8:$CE$57, MATCH($C20, $C$8:$C$57, 0), (COLUMNS($DC20:DQ20)-1)*5 + 4) = "F"), INDEX($CZ$8:$CZ$23, COLUMNS($DC20:DQ20)), "0"), "")</f>
        <v/>
      </c>
      <c r="DR20" s="395">
        <f t="array" ref="DR20">IFERROR(IF(AND(INDEX($E$8:$CE$57, MATCH($C20, $C$8:$C$57, 0), (COLUMNS($DC20:DR20)-1)*5 + 1) = INDEX($E$5:$CE$5, 1, (COLUMNS($DC20:DR20)-1)*5 + 1), INDEX($E$8:$CE$57, MATCH($C20, $C$8:$C$57, 0), (COLUMNS($DC20:DR20)-1)*5 + 4) = "F"), INDEX($CZ$8:$CZ$23, COLUMNS($DC20:DR20)), "0"), "")</f>
        <v/>
      </c>
      <c r="DT20" s="605">
        <f>SEMANA2[[#This Row],[COD]]</f>
        <v/>
      </c>
      <c r="DU20" s="395">
        <f t="array" ref="DU20">IFERROR(IF(AND(INDEX($E$8:$CE$57, MATCH($C20, $C$8:$C$57, 0), (COLUMNS($DU20:DU20)-1)*5 + 1) = INDEX($E$5:$CE$5, 1, (COLUMNS($DU20:DU20)-1)*5 + 1), INDEX($E$8:$CE$57, MATCH($C20, $C$8:$C$57, 0), (COLUMNS($DU20:DU20)-1)*5 + 4) = "SF"), INDEX($CZ$8:$CZ$23, COLUMNS($DU20:DU20)), "0"), "")</f>
        <v/>
      </c>
      <c r="DV20" s="395">
        <f t="array" ref="DV20">IFERROR(IF(AND(INDEX($E$8:$CE$57, MATCH($C20, $C$8:$C$57, 0), (COLUMNS($DU20:DV20)-1)*5 + 1) = INDEX($E$5:$CE$5, 1, (COLUMNS($DU20:DV20)-1)*5 + 1), INDEX($E$8:$CE$57, MATCH($C20, $C$8:$C$57, 0), (COLUMNS($DU20:DV20)-1)*5 + 4) = "SF"), INDEX($CZ$8:$CZ$23, COLUMNS($DU20:DV20)), "0"), "")</f>
        <v/>
      </c>
      <c r="DW20" s="395">
        <f t="array" ref="DW20">IFERROR(IF(AND(INDEX($E$8:$CE$57, MATCH($C20, $C$8:$C$57, 0), (COLUMNS($DU20:DW20)-1)*5 + 1) = INDEX($E$5:$CE$5, 1, (COLUMNS($DU20:DW20)-1)*5 + 1), INDEX($E$8:$CE$57, MATCH($C20, $C$8:$C$57, 0), (COLUMNS($DU20:DW20)-1)*5 + 4) = "SF"), INDEX($CZ$8:$CZ$23, COLUMNS($DU20:DW20)), "0"), "")</f>
        <v/>
      </c>
      <c r="DX20" s="395">
        <f t="array" ref="DX20">IFERROR(IF(AND(INDEX($E$8:$CE$57, MATCH($C20, $C$8:$C$57, 0), (COLUMNS($DU20:DX20)-1)*5 + 1) = INDEX($E$5:$CE$5, 1, (COLUMNS($DU20:DX20)-1)*5 + 1), INDEX($E$8:$CE$57, MATCH($C20, $C$8:$C$57, 0), (COLUMNS($DU20:DX20)-1)*5 + 4) = "SF"), INDEX($CZ$8:$CZ$23, COLUMNS($DU20:DX20)), "0"), "")</f>
        <v/>
      </c>
      <c r="DY20" s="395">
        <f t="array" ref="DY20">IFERROR(IF(AND(INDEX($E$8:$CE$57, MATCH($C20, $C$8:$C$57, 0), (COLUMNS($DU20:DY20)-1)*5 + 1) = INDEX($E$5:$CE$5, 1, (COLUMNS($DU20:DY20)-1)*5 + 1), INDEX($E$8:$CE$57, MATCH($C20, $C$8:$C$57, 0), (COLUMNS($DU20:DY20)-1)*5 + 4) = "SF"), INDEX($CZ$8:$CZ$23, COLUMNS($DU20:DY20)), "0"), "")</f>
        <v/>
      </c>
      <c r="DZ20" s="395">
        <f t="array" ref="DZ20">IFERROR(IF(AND(INDEX($E$8:$CE$57, MATCH($C20, $C$8:$C$57, 0), (COLUMNS($DU20:DZ20)-1)*5 + 1) = INDEX($E$5:$CE$5, 1, (COLUMNS($DU20:DZ20)-1)*5 + 1), INDEX($E$8:$CE$57, MATCH($C20, $C$8:$C$57, 0), (COLUMNS($DU20:DZ20)-1)*5 + 4) = "SF"), INDEX($CZ$8:$CZ$23, COLUMNS($DU20:DZ20)), "0"), "")</f>
        <v/>
      </c>
      <c r="EA20" s="395">
        <f t="array" ref="EA20">IFERROR(IF(AND(INDEX($E$8:$CE$57, MATCH($C20, $C$8:$C$57, 0), (COLUMNS($DU20:EA20)-1)*5 + 1) = INDEX($E$5:$CE$5, 1, (COLUMNS($DU20:EA20)-1)*5 + 1), INDEX($E$8:$CE$57, MATCH($C20, $C$8:$C$57, 0), (COLUMNS($DU20:EA20)-1)*5 + 4) = "SF"), INDEX($CZ$8:$CZ$23, COLUMNS($DU20:EA20)), "0"), "")</f>
        <v/>
      </c>
      <c r="EB20" s="395">
        <f t="array" ref="EB20">IFERROR(IF(AND(INDEX($E$8:$CE$57, MATCH($C20, $C$8:$C$57, 0), (COLUMNS($DU20:EB20)-1)*5 + 1) = INDEX($E$5:$CE$5, 1, (COLUMNS($DU20:EB20)-1)*5 + 1), INDEX($E$8:$CE$57, MATCH($C20, $C$8:$C$57, 0), (COLUMNS($DU20:EB20)-1)*5 + 4) = "SF"), INDEX($CZ$8:$CZ$23, COLUMNS($DU20:EB20)), "0"), "")</f>
        <v/>
      </c>
      <c r="EC20" s="395">
        <f t="array" ref="EC20">IFERROR(IF(AND(INDEX($E$8:$CE$57, MATCH($C20, $C$8:$C$57, 0), (COLUMNS($DU20:EC20)-1)*5 + 1) = INDEX($E$5:$CE$5, 1, (COLUMNS($DU20:EC20)-1)*5 + 1), INDEX($E$8:$CE$57, MATCH($C20, $C$8:$C$57, 0), (COLUMNS($DU20:EC20)-1)*5 + 4) = "SF"), INDEX($CZ$8:$CZ$23, COLUMNS($DU20:EC20)), "0"), "")</f>
        <v/>
      </c>
      <c r="ED20" s="395">
        <f t="array" ref="ED20">IFERROR(IF(AND(INDEX($E$8:$CE$57, MATCH($C20, $C$8:$C$57, 0), (COLUMNS($DU20:ED20)-1)*5 + 1) = INDEX($E$5:$CE$5, 1, (COLUMNS($DU20:ED20)-1)*5 + 1), INDEX($E$8:$CE$57, MATCH($C20, $C$8:$C$57, 0), (COLUMNS($DU20:ED20)-1)*5 + 4) = "SF"), INDEX($CZ$8:$CZ$23, COLUMNS($DU20:ED20)), "0"), "")</f>
        <v/>
      </c>
      <c r="EE20" s="395">
        <f t="array" ref="EE20">IFERROR(IF(AND(INDEX($E$8:$CE$57, MATCH($C20, $C$8:$C$57, 0), (COLUMNS($DU20:EE20)-1)*5 + 1) = INDEX($E$5:$CE$5, 1, (COLUMNS($DU20:EE20)-1)*5 + 1), INDEX($E$8:$CE$57, MATCH($C20, $C$8:$C$57, 0), (COLUMNS($DU20:EE20)-1)*5 + 4) = "SF"), INDEX($CZ$8:$CZ$23, COLUMNS($DU20:EE20)), "0"), "")</f>
        <v/>
      </c>
      <c r="EF20" s="395">
        <f t="array" ref="EF20">IFERROR(IF(AND(INDEX($E$8:$CE$57, MATCH($C20, $C$8:$C$57, 0), (COLUMNS($DU20:EF20)-1)*5 + 1) = INDEX($E$5:$CE$5, 1, (COLUMNS($DU20:EF20)-1)*5 + 1), INDEX($E$8:$CE$57, MATCH($C20, $C$8:$C$57, 0), (COLUMNS($DU20:EF20)-1)*5 + 4) = "SF"), INDEX($CZ$8:$CZ$23, COLUMNS($DU20:EF20)), "0"), "")</f>
        <v/>
      </c>
      <c r="EG20" s="395">
        <f t="array" ref="EG20">IFERROR(IF(AND(INDEX($E$8:$CE$57, MATCH($C20, $C$8:$C$57, 0), (COLUMNS($DU20:EG20)-1)*5 + 1) = INDEX($E$5:$CE$5, 1, (COLUMNS($DU20:EG20)-1)*5 + 1), INDEX($E$8:$CE$57, MATCH($C20, $C$8:$C$57, 0), (COLUMNS($DU20:EG20)-1)*5 + 4) = "SF"), INDEX($CZ$8:$CZ$23, COLUMNS($DU20:EG20)), "0"), "")</f>
        <v/>
      </c>
      <c r="EH20" s="395">
        <f t="array" ref="EH20">IFERROR(IF(AND(INDEX($E$8:$CE$57, MATCH($C20, $C$8:$C$57, 0), (COLUMNS($DU20:EH20)-1)*5 + 1) = INDEX($E$5:$CE$5, 1, (COLUMNS($DU20:EH20)-1)*5 + 1), INDEX($E$8:$CE$57, MATCH($C20, $C$8:$C$57, 0), (COLUMNS($DU20:EH20)-1)*5 + 4) = "SF"), INDEX($CZ$8:$CZ$23, COLUMNS($DU20:EH20)), "0"), "")</f>
        <v/>
      </c>
      <c r="EI20" s="395">
        <f t="array" ref="EI20">IFERROR(IF(AND(INDEX($E$8:$CE$57, MATCH($C20, $C$8:$C$57, 0), (COLUMNS($DU20:EI20)-1)*5 + 1) = INDEX($E$5:$CE$5, 1, (COLUMNS($DU20:EI20)-1)*5 + 1), INDEX($E$8:$CE$57, MATCH($C20, $C$8:$C$57, 0), (COLUMNS($DU20:EI20)-1)*5 + 4) = "SF"), INDEX($CZ$8:$CZ$23, COLUMNS($DU20:EI20)), "0"), "")</f>
        <v/>
      </c>
      <c r="EJ20" s="395">
        <f t="array" ref="EJ20">IFERROR(IF(AND(INDEX($E$8:$CE$57, MATCH($C20, $C$8:$C$57, 0), (COLUMNS($DU20:EJ20)-1)*5 + 1) = INDEX($E$5:$CE$5, 1, (COLUMNS($DU20:EJ20)-1)*5 + 1), INDEX($E$8:$CE$57, MATCH($C20, $C$8:$C$57, 0), (COLUMNS($DU20:EJ20)-1)*5 + 4) = "SF"), INDEX($CZ$8:$CZ$23, COLUMNS($DU20:EJ20)), "0"), "")</f>
        <v/>
      </c>
    </row>
    <row r="21" ht="20.1" customHeight="1" s="568">
      <c r="A21" s="576" t="n"/>
      <c r="B21" s="449">
        <f>IF(SEMANA2[[#This Row],[COD]]&lt;&gt;"",B20+1,"")</f>
        <v/>
      </c>
      <c r="C21" s="622" t="inlineStr">
        <is>
          <t>COD 14</t>
        </is>
      </c>
      <c r="D21" s="415">
        <f t="array" ref="D2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1" s="416" t="n">
        <v>9</v>
      </c>
      <c r="F21" s="417" t="n">
        <v>2</v>
      </c>
      <c r="G21" s="417" t="n">
        <v>3</v>
      </c>
      <c r="H21" s="417" t="n"/>
      <c r="I21" s="602">
        <f>SUM(IF(E21=E$5,4,0),IF(E21&amp;F21=E$5&amp;F$5,1,0),
IF(AND(E21=E$5,F$6&gt;=$D$115),1,0),
IF(AND(F21=E$5,F$6&gt;=$D$115),1,0),
IF(AND(G21=E$5,F$6&gt;=$D$115),1,0),
IF(E21&amp;H21=I$5,1,0),
IF(F21=E$5,2,0),
IF(G21=E$5,1,0),
IF(OR(E21&amp;F21&amp;G21=E$5&amp;F$5&amp;G$5,E21&amp;F21&amp;G21=E$5&amp;G$5&amp;F$5,E21&amp;F21&amp;G21=F$5&amp;E$5&amp;G$5,E21&amp;F21&amp;G21=F$5&amp;G$5&amp;E$5,E21&amp;F21&amp;G21=G$5&amp;E$5&amp;F$5,E21&amp;F21&amp;G21=G$5&amp;F$5&amp;E$5),2,0),IF(AND(E21=E$5,F$6&gt;=$D$129),1,0),IF(AND(F21=E$5,F$6&gt;=$D$129),1,0),IF(AND(G21=E$5,F$6&gt;=$D$129),1,0),IF(E21&amp;H21=H$5,4,0),IF(AND(E21=E$5,F$6&lt;=$D$104),-0.5,0),IF(AND(F21=E$5,F$6&lt;=$D$104),-0.5,0),IF(AND(G21=E$5,F$6&lt;=$D$104),-0.5,0))</f>
        <v/>
      </c>
      <c r="J21" s="416" t="n">
        <v>1</v>
      </c>
      <c r="K21" s="417" t="n">
        <v>2</v>
      </c>
      <c r="L21" s="417" t="n">
        <v>7</v>
      </c>
      <c r="M21" s="417" t="n"/>
      <c r="N21" s="602">
        <f>SUM(IF(J21=J$5,4,0),IF(J21&amp;K21=J$5&amp;K$5,1,0),
IF(AND(J21=J$5,K$6&gt;=$D$115),1,0),
IF(AND(K21=J$5,K$6&gt;=$D$115),1,0),
IF(AND(L21=J$5,K$6&gt;=$D$115),1,0),
IF(J21&amp;M21=N$5,1,0),
IF(K21=J$5,2,0),
IF(L21=J$5,1,0),
IF(OR(J21&amp;K21&amp;L21=J$5&amp;K$5&amp;L$5,J21&amp;K21&amp;L21=J$5&amp;L$5&amp;K$5,J21&amp;K21&amp;L21=K$5&amp;J$5&amp;L$5,J21&amp;K21&amp;L21=K$5&amp;L$5&amp;J$5,J21&amp;K21&amp;L21=L$5&amp;J$5&amp;K$5,J21&amp;K21&amp;L21=L$5&amp;K$5&amp;J$5),2,0),IF(AND(J21=J$5,K$6&gt;=$D$129),1,0),IF(AND(K21=J$5,K$6&gt;=$D$129),1,0),IF(AND(L21=J$5,K$6&gt;=$D$129),1,0),IF(J21&amp;M21=M$5,4,0),IF(AND(J21=J$5,K$6&lt;=$D$104),-0.5,0),IF(AND(K21=J$5,K$6&lt;=$D$104),-0.5,0),IF(AND(L21=J$5,K$6&lt;=$D$104),-0.5,0))</f>
        <v/>
      </c>
      <c r="O21" s="416" t="n">
        <v>1</v>
      </c>
      <c r="P21" s="417" t="n">
        <v>8</v>
      </c>
      <c r="Q21" s="417" t="n">
        <v>5</v>
      </c>
      <c r="R21" s="417" t="n"/>
      <c r="S21" s="602">
        <f>SUM(IF(O21=O$5,4,0),IF(O21&amp;P21=O$5&amp;P$5,1,0),
IF(AND(O21=O$5,P$6&gt;=$D$115),1,0),
IF(AND(P21=O$5,P$6&gt;=$D$115),1,0),
IF(AND(Q21=O$5,P$6&gt;=$D$115),1,0),
IF(O21&amp;R21=S$5,1,0),
IF(P21=O$5,2,0),
IF(Q21=O$5,1,0),
IF(OR(O21&amp;P21&amp;Q21=O$5&amp;P$5&amp;Q$5,O21&amp;P21&amp;Q21=O$5&amp;Q$5&amp;P$5,O21&amp;P21&amp;Q21=P$5&amp;O$5&amp;Q$5,O21&amp;P21&amp;Q21=P$5&amp;Q$5&amp;O$5,O21&amp;P21&amp;Q21=Q$5&amp;O$5&amp;P$5,O21&amp;P21&amp;Q21=Q$5&amp;P$5&amp;O$5),2,0),IF(AND(O21=O$5,P$6&gt;=$D$129),1,0),IF(AND(P21=O$5,P$6&gt;=$D$129),1,0),IF(AND(Q21=O$5,P$6&gt;=$D$129),1,0),IF(O21&amp;R21=R$5,4,0),IF(AND(O21=O$5,P$6&lt;=$D$104),-0.5,0),IF(AND(P21=O$5,P$6&lt;=$D$104),-0.5,0),IF(AND(Q21=O$5,P$6&lt;=$D$104),-0.5,0))</f>
        <v/>
      </c>
      <c r="T21" s="416" t="n">
        <v>5</v>
      </c>
      <c r="U21" s="417" t="n">
        <v>4</v>
      </c>
      <c r="V21" s="417" t="n">
        <v>3</v>
      </c>
      <c r="W21" s="417" t="n"/>
      <c r="X21" s="602">
        <f>SUM(IF(T21=T$5,4,0),IF(T21&amp;U21=T$5&amp;U$5,1,0),
IF(AND(T21=T$5,U$6&gt;=$D$115),1,0),
IF(AND(U21=T$5,U$6&gt;=$D$115),1,0),
IF(AND(V21=T$5,U$6&gt;=$D$115),1,0),
IF(T21&amp;W21=X$5,1,0),
IF(U21=T$5,2,0),
IF(V21=T$5,1,0),
IF(OR(T21&amp;U21&amp;V21=T$5&amp;U$5&amp;V$5,T21&amp;U21&amp;V21=T$5&amp;V$5&amp;U$5,T21&amp;U21&amp;V21=U$5&amp;T$5&amp;V$5,T21&amp;U21&amp;V21=U$5&amp;V$5&amp;T$5,T21&amp;U21&amp;V21=V$5&amp;T$5&amp;U$5,T21&amp;U21&amp;V21=V$5&amp;U$5&amp;T$5),2,0),IF(AND(T21=T$5,U$6&gt;=$D$129),1,0),IF(AND(U21=T$5,U$6&gt;=$D$129),1,0),IF(AND(V21=T$5,U$6&gt;=$D$129),1,0),IF(T21&amp;W21=W$5,4,0),IF(AND(T21=T$5,U$6&lt;=$D$104),-0.5,0),IF(AND(U21=T$5,U$6&lt;=$D$104),-0.5,0),IF(AND(V21=T$5,U$6&lt;=$D$104),-0.5,0))</f>
        <v/>
      </c>
      <c r="Y21" s="416" t="n">
        <v>4</v>
      </c>
      <c r="Z21" s="417" t="n">
        <v>1</v>
      </c>
      <c r="AA21" s="417" t="n">
        <v>7</v>
      </c>
      <c r="AB21" s="417" t="n"/>
      <c r="AC21" s="602">
        <f>SUM(IF(Y21=Y$5,4,0),IF(Y21&amp;Z21=Y$5&amp;Z$5,1,0),
IF(AND(Y21=Y$5,Z$6&gt;=$D$115),1,0),
IF(AND(Z21=Y$5,Z$6&gt;=$D$115),1,0),
IF(AND(AA21=Y$5,Z$6&gt;=$D$115),1,0),
IF(Y21&amp;AB21=AC$5,1,0),
IF(Z21=Y$5,2,0),
IF(AA21=Y$5,1,0),
IF(OR(Y21&amp;Z21&amp;AA21=Y$5&amp;Z$5&amp;AA$5,Y21&amp;Z21&amp;AA21=Y$5&amp;AA$5&amp;Z$5,Y21&amp;Z21&amp;AA21=Z$5&amp;Y$5&amp;AA$5,Y21&amp;Z21&amp;AA21=Z$5&amp;AA$5&amp;Y$5,Y21&amp;Z21&amp;AA21=AA$5&amp;Y$5&amp;Z$5,Y21&amp;Z21&amp;AA21=AA$5&amp;Z$5&amp;Y$5),2,0),IF(AND(Y21=Y$5,Z$6&gt;=$D$129),1,0),IF(AND(Z21=Y$5,Z$6&gt;=$D$129),1,0),IF(AND(AA21=Y$5,Z$6&gt;=$D$129),1,0),IF(Y21&amp;AB21=AB$5,4,0),IF(AND(Y21=Y$5,Z$6&lt;=$D$104),-0.5,0),IF(AND(Z21=Y$5,Z$6&lt;=$D$104),-0.5,0),IF(AND(AA21=Y$5,Z$6&lt;=$D$104),-0.5,0))</f>
        <v/>
      </c>
      <c r="AD21" s="416" t="n">
        <v>4</v>
      </c>
      <c r="AE21" s="417" t="n">
        <v>5</v>
      </c>
      <c r="AF21" s="417" t="n">
        <v>7</v>
      </c>
      <c r="AG21" s="417" t="n"/>
      <c r="AH21" s="602">
        <f>SUM(IF(AD21=AD$5,4,0),IF(AD21&amp;AE21=AD$5&amp;AE$5,1,0),
IF(AND(AD21=AD$5,AE$6&gt;=$D$115),1,0),
IF(AND(AE21=AD$5,AE$6&gt;=$D$115),1,0),
IF(AND(AF21=AD$5,AE$6&gt;=$D$115),1,0),
IF(AD21&amp;AG21=AH$5,1,0),
IF(AE21=AD$5,2,0),
IF(AF21=AD$5,1,0),
IF(OR(AD21&amp;AE21&amp;AF21=AD$5&amp;AE$5&amp;AF$5,AD21&amp;AE21&amp;AF21=AD$5&amp;AF$5&amp;AE$5,AD21&amp;AE21&amp;AF21=AE$5&amp;AD$5&amp;AF$5,AD21&amp;AE21&amp;AF21=AE$5&amp;AF$5&amp;AD$5,AD21&amp;AE21&amp;AF21=AF$5&amp;AD$5&amp;AE$5,AD21&amp;AE21&amp;AF21=AF$5&amp;AE$5&amp;AD$5),2,0),IF(AND(AD21=AD$5,AE$6&gt;=$D$129),1,0),IF(AND(AE21=AD$5,AE$6&gt;=$D$129),1,0),IF(AND(AF21=AD$5,AE$6&gt;=$D$129),1,0),IF(AD21&amp;AG21=AG$5,4,0),IF(AND(AD21=AD$5,AE$6&lt;=$D$104),-0.5,0),IF(AND(AE21=AD$5,AE$6&lt;=$D$104),-0.5,0),IF(AND(AF21=AD$5,AE$6&lt;=$D$104),-0.5,0))</f>
        <v/>
      </c>
      <c r="AI21" s="416" t="n">
        <v>7</v>
      </c>
      <c r="AJ21" s="417" t="n">
        <v>6</v>
      </c>
      <c r="AK21" s="417" t="n">
        <v>3</v>
      </c>
      <c r="AL21" s="417" t="inlineStr">
        <is>
          <t>F</t>
        </is>
      </c>
      <c r="AM21" s="602">
        <f>SUM(IF(AI21=AI$5,4,0),IF(AI21&amp;AJ21=AI$5&amp;AJ$5,1,0),
IF(AND(AI21=AI$5,AJ$6&gt;=$D$115),1,0),
IF(AND(AJ21=AI$5,AJ$6&gt;=$D$115),1,0),
IF(AND(AK21=AI$5,AJ$6&gt;=$D$115),1,0),
IF(AI21&amp;AL21=AM$5,1,0),
IF(AJ21=AI$5,2,0),
IF(AK21=AI$5,1,0),
IF(OR(AI21&amp;AJ21&amp;AK21=AI$5&amp;AJ$5&amp;AK$5,AI21&amp;AJ21&amp;AK21=AI$5&amp;AK$5&amp;AJ$5,AI21&amp;AJ21&amp;AK21=AJ$5&amp;AI$5&amp;AK$5,AI21&amp;AJ21&amp;AK21=AJ$5&amp;AK$5&amp;AI$5,AI21&amp;AJ21&amp;AK21=AK$5&amp;AI$5&amp;AJ$5,AI21&amp;AJ21&amp;AK21=AK$5&amp;AJ$5&amp;AI$5),2,0),IF(AND(AI21=AI$5,AJ$6&gt;=$D$129),1,0),IF(AND(AJ21=AI$5,AJ$6&gt;=$D$129),1,0),IF(AND(AK21=AI$5,AJ$6&gt;=$D$129),1,0),IF(AI21&amp;AL21=AL$5,4,0),IF(AND(AI21=AI$5,AJ$6&lt;=$D$104),-0.5,0),IF(AND(AJ21=AI$5,AJ$6&lt;=$D$104),-0.5,0),IF(AND(AK21=AI$5,AJ$6&lt;=$D$104),-0.5,0))</f>
        <v/>
      </c>
      <c r="AN21" s="416" t="n">
        <v>8</v>
      </c>
      <c r="AO21" s="417" t="n"/>
      <c r="AP21" s="417" t="n"/>
      <c r="AQ21" s="417" t="inlineStr">
        <is>
          <t>SF</t>
        </is>
      </c>
      <c r="AR21" s="602">
        <f>SUM(IF(AN21=AN$5,4,0),IF(AN21&amp;AO21=AN$5&amp;AO$5,1,0),
IF(AND(AN21=AN$5,AO$6&gt;=$D$115),1,0),
IF(AND(AO21=AN$5,AO$6&gt;=$D$115),1,0),
IF(AND(AP21=AN$5,AO$6&gt;=$D$115),1,0),
IF(AN21&amp;AQ21=AR$5,1,0),
IF(AO21=AN$5,2,0),
IF(AP21=AN$5,1,0),
IF(OR(AN21&amp;AO21&amp;AP21=AN$5&amp;AO$5&amp;AP$5,AN21&amp;AO21&amp;AP21=AN$5&amp;AP$5&amp;AO$5,AN21&amp;AO21&amp;AP21=AO$5&amp;AN$5&amp;AP$5,AN21&amp;AO21&amp;AP21=AO$5&amp;AP$5&amp;AN$5,AN21&amp;AO21&amp;AP21=AP$5&amp;AN$5&amp;AO$5,AN21&amp;AO21&amp;AP21=AP$5&amp;AO$5&amp;AN$5),2,0),IF(AND(AN21=AN$5,AO$6&gt;=$D$129),1,0),IF(AND(AO21=AN$5,AO$6&gt;=$D$129),1,0),IF(AND(AP21=AN$5,AO$6&gt;=$D$129),1,0),IF(AN21&amp;AQ21=AQ$5,4,0),IF(AND(AN21=AN$5,AO$6&lt;=$D$104),-0.5,0),IF(AND(AO21=AN$5,AO$6&lt;=$D$104),-0.5,0),IF(AND(AP21=AN$5,AO$6&lt;=$D$104),-0.5,0))</f>
        <v/>
      </c>
      <c r="AS21" s="416" t="n">
        <v>2</v>
      </c>
      <c r="AT21" s="417" t="n">
        <v>10</v>
      </c>
      <c r="AU21" s="417" t="n">
        <v>5</v>
      </c>
      <c r="AV21" s="417" t="n"/>
      <c r="AW21" s="602">
        <f>SUM(IF(AS21=AS$5,4,0),IF(AS21&amp;AT21=AS$5&amp;AT$5,1,0),
IF(AND(AS21=AS$5,AT$6&gt;=$D$115),1,0),
IF(AND(AT21=AS$5,AT$6&gt;=$D$115),1,0),
IF(AND(AU21=AS$5,AT$6&gt;=$D$115),1,0),
IF(AS21&amp;AV21=AW$5,1,0),
IF(AT21=AS$5,2,0),
IF(AU21=AS$5,1,0),
IF(OR(AS21&amp;AT21&amp;AU21=AS$5&amp;AT$5&amp;AU$5,AS21&amp;AT21&amp;AU21=AS$5&amp;AU$5&amp;AT$5,AS21&amp;AT21&amp;AU21=AT$5&amp;AS$5&amp;AU$5,AS21&amp;AT21&amp;AU21=AT$5&amp;AU$5&amp;AS$5,AS21&amp;AT21&amp;AU21=AU$5&amp;AS$5&amp;AT$5,AS21&amp;AT21&amp;AU21=AU$5&amp;AT$5&amp;AS$5),2,0),IF(AND(AS21=AS$5,AT$6&gt;=$D$129),1,0),IF(AND(AT21=AS$5,AT$6&gt;=$D$129),1,0),IF(AND(AU21=AS$5,AT$6&gt;=$D$129),1,0),IF(AS21&amp;AV21=AV$5,4,0),IF(AND(AS21=AS$5,AT$6&lt;=$D$104),-0.5,0),IF(AND(AT21=AS$5,AT$6&lt;=$D$104),-0.5,0),IF(AND(AU21=AS$5,AT$6&lt;=$D$104),-0.5,0))</f>
        <v/>
      </c>
      <c r="AX21" s="416" t="n">
        <v>2</v>
      </c>
      <c r="AY21" s="417" t="n">
        <v>9</v>
      </c>
      <c r="AZ21" s="417" t="n">
        <v>10</v>
      </c>
      <c r="BA21" s="417" t="n"/>
      <c r="BB21" s="602">
        <f>SUM(IF(AX21=AX$5,4,0),IF(AX21&amp;AY21=AX$5&amp;AY$5,1,0),
IF(AND(AX21=AX$5,AY$6&gt;=$D$115),1,0),
IF(AND(AY21=AX$5,AY$6&gt;=$D$115),1,0),
IF(AND(AZ21=AX$5,AY$6&gt;=$D$115),1,0),
IF(AX21&amp;BA21=BB$5,1,0),
IF(AY21=AX$5,2,0),
IF(AZ21=AX$5,1,0),
IF(OR(AX21&amp;AY21&amp;AZ21=AX$5&amp;AY$5&amp;AZ$5,AX21&amp;AY21&amp;AZ21=AX$5&amp;AZ$5&amp;AY$5,AX21&amp;AY21&amp;AZ21=AY$5&amp;AX$5&amp;AZ$5,AX21&amp;AY21&amp;AZ21=AY$5&amp;AZ$5&amp;AX$5,AX21&amp;AY21&amp;AZ21=AZ$5&amp;AX$5&amp;AY$5,AX21&amp;AY21&amp;AZ21=AZ$5&amp;AY$5&amp;AX$5),2,0),IF(AND(AX21=AX$5,AY$6&gt;=$D$129),1,0),IF(AND(AY21=AX$5,AY$6&gt;=$D$129),1,0),IF(AND(AZ21=AX$5,AY$6&gt;=$D$129),1,0),IF(AX21&amp;BA21=BA$5,4,0),IF(AND(AX21=AX$5,AY$6&lt;=$D$104),-0.5,0),IF(AND(AY21=AX$5,AY$6&lt;=$D$104),-0.5,0),IF(AND(AZ21=AX$5,AY$6&lt;=$D$104),-0.5,0))</f>
        <v/>
      </c>
      <c r="BC21" s="416" t="n">
        <v>5</v>
      </c>
      <c r="BD21" s="417" t="n">
        <v>7</v>
      </c>
      <c r="BE21" s="417" t="n">
        <v>3</v>
      </c>
      <c r="BF21" s="417" t="n"/>
      <c r="BG21" s="602">
        <f>SUM(IF(BC21=BC$5,4,0),IF(BC21&amp;BD21=BC$5&amp;BD$5,1,0),
IF(AND(BC21=BC$5,BD$6&gt;=$D$115),1,0),
IF(AND(BD21=BC$5,BD$6&gt;=$D$115),1,0),
IF(AND(BE21=BC$5,BD$6&gt;=$D$115),1,0),
IF(BC21&amp;BF21=BG$5,1,0),
IF(BD21=BC$5,2,0),
IF(BE21=BC$5,1,0),
IF(OR(BC21&amp;BD21&amp;BE21=BC$5&amp;BD$5&amp;BE$5,BC21&amp;BD21&amp;BE21=BC$5&amp;BE$5&amp;BD$5,BC21&amp;BD21&amp;BE21=BD$5&amp;BC$5&amp;BE$5,BC21&amp;BD21&amp;BE21=BD$5&amp;BE$5&amp;BC$5,BC21&amp;BD21&amp;BE21=BE$5&amp;BC$5&amp;BD$5,BC21&amp;BD21&amp;BE21=BE$5&amp;BD$5&amp;BC$5),2,0),IF(AND(BC21=BC$5,BD$6&gt;=$D$129),1,0),IF(AND(BD21=BC$5,BD$6&gt;=$D$129),1,0),IF(AND(BE21=BC$5,BD$6&gt;=$D$129),1,0),IF(BC21&amp;BF21=BF$5,4,0),IF(AND(BC21=BC$5,BD$6&lt;=$D$104),-0.5,0),IF(AND(BD21=BC$5,BD$6&lt;=$D$104),-0.5,0),IF(AND(BE21=BC$5,BD$6&lt;=$D$104),-0.5,0))</f>
        <v/>
      </c>
      <c r="BH21" s="416" t="n">
        <v>6</v>
      </c>
      <c r="BI21" s="417" t="n">
        <v>2</v>
      </c>
      <c r="BJ21" s="417" t="n">
        <v>1</v>
      </c>
      <c r="BK21" s="417" t="inlineStr">
        <is>
          <t>F</t>
        </is>
      </c>
      <c r="BL21" s="602">
        <f>SUM(IF(BH21=BH$5,4,0),IF(BH21&amp;BI21=BH$5&amp;BI$5,1,0),
IF(AND(BH21=BH$5,BI$6&gt;=$D$115),1,0),
IF(AND(BI21=BH$5,BI$6&gt;=$D$115),1,0),
IF(AND(BJ21=BH$5,BI$6&gt;=$D$115),1,0),
IF(BH21&amp;BK21=BL$5,1,0),
IF(BI21=BH$5,2,0),
IF(BJ21=BH$5,1,0),
IF(OR(BH21&amp;BI21&amp;BJ21=BH$5&amp;BI$5&amp;BJ$5,BH21&amp;BI21&amp;BJ21=BH$5&amp;BJ$5&amp;BI$5,BH21&amp;BI21&amp;BJ21=BI$5&amp;BH$5&amp;BJ$5,BH21&amp;BI21&amp;BJ21=BI$5&amp;BJ$5&amp;BH$5,BH21&amp;BI21&amp;BJ21=BJ$5&amp;BH$5&amp;BI$5,BH21&amp;BI21&amp;BJ21=BJ$5&amp;BI$5&amp;BH$5),2,0),IF(AND(BH21=BH$5,BI$6&gt;=$D$129),1,0),IF(AND(BI21=BH$5,BI$6&gt;=$D$129),1,0),IF(AND(BJ21=BH$5,BI$6&gt;=$D$129),1,0),IF(BH21&amp;BK21=BK$5,4,0),IF(AND(BH21=BH$5,BI$6&lt;=$D$104),-0.5,0),IF(AND(BI21=BH$5,BI$6&lt;=$D$104),-0.5,0),IF(AND(BJ21=BH$5,BI$6&lt;=$D$104),-0.5,0))</f>
        <v/>
      </c>
      <c r="BM21" s="416" t="n">
        <v>4</v>
      </c>
      <c r="BN21" s="417" t="n">
        <v>3</v>
      </c>
      <c r="BO21" s="417" t="n">
        <v>1</v>
      </c>
      <c r="BP21" s="417" t="n"/>
      <c r="BQ21" s="602">
        <f>SUM(IF(BM21=BM$5,4,0),IF(BM21&amp;BN21=BM$5&amp;BN$5,1,0),
IF(AND(BM21=BM$5,BN$6&gt;=$D$115),1,0),
IF(AND(BN21=BM$5,BN$6&gt;=$D$115),1,0),
IF(AND(BO21=BM$5,BN$6&gt;=$D$115),1,0),
IF(BM21&amp;BP21=BQ$5,1,0),
IF(BN21=BM$5,2,0),
IF(BO21=BM$5,1,0),
IF(OR(BM21&amp;BN21&amp;BO21=BM$5&amp;BN$5&amp;BO$5,BM21&amp;BN21&amp;BO21=BM$5&amp;BO$5&amp;BN$5,BM21&amp;BN21&amp;BO21=BN$5&amp;BM$5&amp;BO$5,BM21&amp;BN21&amp;BO21=BN$5&amp;BO$5&amp;BM$5,BM21&amp;BN21&amp;BO21=BO$5&amp;BM$5&amp;BN$5,BM21&amp;BN21&amp;BO21=BO$5&amp;BN$5&amp;BM$5),2,0),IF(AND(BM21=BM$5,BN$6&gt;=$D$129),1,0),IF(AND(BN21=BM$5,BN$6&gt;=$D$129),1,0),IF(AND(BO21=BM$5,BN$6&gt;=$D$129),1,0),IF(BM21&amp;BP21=BP$5,4,0),IF(AND(BM21=BM$5,BN$6&lt;=$D$104),-0.5,0),IF(AND(BN21=BM$5,BN$6&lt;=$D$104),-0.5,0),IF(AND(BO21=BM$5,BN$6&lt;=$D$104),-0.5,0))</f>
        <v/>
      </c>
      <c r="BR21" s="416" t="n">
        <v>11</v>
      </c>
      <c r="BS21" s="417" t="n">
        <v>2</v>
      </c>
      <c r="BT21" s="417" t="n">
        <v>1</v>
      </c>
      <c r="BU21" s="417" t="n"/>
      <c r="BV21" s="602">
        <f>SUM(IF(BR21=BR$5,4,0),IF(BR21&amp;BS21=BR$5&amp;BS$5,1,0),
IF(AND(BR21=BR$5,BS$6&gt;=$D$115),1,0),
IF(AND(BS21=BR$5,BS$6&gt;=$D$115),1,0),
IF(AND(BT21=BR$5,BS$6&gt;=$D$115),1,0),
IF(BR21&amp;BU21=BV$5,1,0),
IF(BS21=BR$5,2,0),
IF(BT21=BR$5,1,0),
IF(OR(BR21&amp;BS21&amp;BT21=BR$5&amp;BS$5&amp;BT$5,BR21&amp;BS21&amp;BT21=BR$5&amp;BT$5&amp;BS$5,BR21&amp;BS21&amp;BT21=BS$5&amp;BR$5&amp;BT$5,BR21&amp;BS21&amp;BT21=BS$5&amp;BT$5&amp;BR$5,BR21&amp;BS21&amp;BT21=BT$5&amp;BR$5&amp;BS$5,BR21&amp;BS21&amp;BT21=BT$5&amp;BS$5&amp;BR$5),2,0),IF(AND(BR21=BR$5,BS$6&gt;=$D$129),1,0),IF(AND(BS21=BR$5,BS$6&gt;=$D$129),1,0),IF(AND(BT21=BR$5,BS$6&gt;=$D$129),1,0),IF(BR21&amp;BU21=BU$5,4,0),IF(AND(BR21=BR$5,BS$6&lt;=$D$104),-0.5,0),IF(AND(BS21=BR$5,BS$6&lt;=$D$104),-0.5,0),IF(AND(BT21=BR$5,BS$6&lt;=$D$104),-0.5,0))</f>
        <v/>
      </c>
      <c r="BW21" s="416" t="n"/>
      <c r="BX21" s="417" t="n"/>
      <c r="BY21" s="417" t="n"/>
      <c r="BZ21" s="417" t="n"/>
      <c r="CA21" s="602">
        <f>SUM(IF(BW21=BW$5,4,0),IF(BW21&amp;BX21=BW$5&amp;BX$5,1,0),
IF(AND(BW21=BW$5,BX$6&gt;=$D$115),1,0),
IF(AND(BX21=BW$5,BX$6&gt;=$D$115),1,0),
IF(AND(BY21=BW$5,BX$6&gt;=$D$115),1,0),
IF(BW21&amp;BZ21=CA$5,1,0),
IF(BX21=BW$5,2,0),
IF(BY21=BW$5,1,0),
IF(OR(BW21&amp;BX21&amp;BY21=BW$5&amp;BX$5&amp;BY$5,BW21&amp;BX21&amp;BY21=BW$5&amp;BY$5&amp;BX$5,BW21&amp;BX21&amp;BY21=BX$5&amp;BW$5&amp;BY$5,BW21&amp;BX21&amp;BY21=BX$5&amp;BY$5&amp;BW$5,BW21&amp;BX21&amp;BY21=BY$5&amp;BW$5&amp;BX$5,BW21&amp;BX21&amp;BY21=BY$5&amp;BX$5&amp;BW$5),2,0),IF(AND(BW21=BW$5,BX$6&gt;=$D$129),1,0),IF(AND(BX21=BW$5,BX$6&gt;=$D$129),1,0),IF(AND(BY21=BW$5,BX$6&gt;=$D$129),1,0),IF(BW21&amp;BZ21=BZ$5,4,0),IF(AND(BW21=BW$5,BX$6&lt;=$D$104),-0.5,0),IF(AND(BX21=BW$5,BX$6&lt;=$D$104),-0.5,0),IF(AND(BY21=BW$5,BX$6&lt;=$D$104),-0.5,0))</f>
        <v/>
      </c>
      <c r="CB21" s="416" t="n"/>
      <c r="CC21" s="417" t="n"/>
      <c r="CD21" s="417" t="n"/>
      <c r="CE21" s="417" t="n"/>
      <c r="CF21" s="602">
        <f>SUM(IF(CB21=CB$5,4,0),IF(CB21&amp;CC21=CB$5&amp;CC$5,1,0),
IF(AND(CB21=CB$5,CC$6&gt;=$D$115),1,0),
IF(AND(CC21=CB$5,CC$6&gt;=$D$115),1,0),
IF(AND(CD21=CB$5,CC$6&gt;=$D$115),1,0),
IF(CB21&amp;CE21=CF$5,1,0),
IF(CC21=CB$5,2,0),
IF(CD21=CB$5,1,0),
IF(OR(CB21&amp;CC21&amp;CD21=CB$5&amp;CC$5&amp;CD$5,CB21&amp;CC21&amp;CD21=CB$5&amp;CD$5&amp;CC$5,CB21&amp;CC21&amp;CD21=CC$5&amp;CB$5&amp;CD$5,CB21&amp;CC21&amp;CD21=CC$5&amp;CD$5&amp;CB$5,CB21&amp;CC21&amp;CD21=CD$5&amp;CB$5&amp;CC$5,CB21&amp;CC21&amp;CD21=CD$5&amp;CC$5&amp;CB$5),2,0),IF(AND(CB21=CB$5,CC$6&gt;=$D$129),1,0),IF(AND(CC21=CB$5,CC$6&gt;=$D$129),1,0),IF(AND(CD21=CB$5,CC$6&gt;=$D$129),1,0),IF(CB21&amp;CE21=CE$5,4,0),IF(AND(CB21=CB$5,CC$6&lt;=$D$104),-0.5,0),IF(AND(CC21=CB$5,CC$6&lt;=$D$104),-0.5,0),IF(AND(CD21=CB$5,CC$6&lt;=$D$104),-0.5,0))</f>
        <v/>
      </c>
      <c r="CG21" s="164">
        <f>IF(SEMANA2[[#This Row],[1]]="",0,$B$4)</f>
        <v/>
      </c>
      <c r="CH21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1" s="166">
        <f>IF(SEMANA2[[#This Row],[Columna14]]=0,0,(CH21/CG21))</f>
        <v/>
      </c>
      <c r="CJ21" s="165">
        <f>IF(SEMANA2[[#This Row],[1]]="",0,$B$4)</f>
        <v/>
      </c>
      <c r="CK21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1" s="166">
        <f>IF(SEMANA2[[#This Row],[Columna14]]=0,0,(CK21/CJ21))</f>
        <v/>
      </c>
      <c r="CM21" s="164">
        <f>IF(SEMANA2[[#This Row],[1]]="",0,$B$4)</f>
        <v/>
      </c>
      <c r="CN21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1" s="166">
        <f>IF(SEMANA2[[#This Row],[Columna14]]=0,0,(CN21/CM21))</f>
        <v/>
      </c>
      <c r="CP21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1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Row],[Columna25]],$AX$5,BA21,"SF")+COUNTIFS(SEMANA2[[#This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1" s="166">
        <f>IFERROR(IF(SEMANA2[[#This Row],[Columna14]]=0,0,(CQ21/CP21)),0)</f>
        <v/>
      </c>
      <c r="CS21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1" s="95">
        <f>_xlfn.XLOOKUP(SEMANA2[[#This Row],[COD]],BASE01[COD],BASE01[Columna33])</f>
        <v/>
      </c>
      <c r="CU21" s="604">
        <f>SUM(CS21,CT21)</f>
        <v/>
      </c>
      <c r="CV21" s="450">
        <f>IF(SEMANA2[[#This Row],[TIPO]]="PREMIO",$O$3,"0,00")</f>
        <v/>
      </c>
      <c r="CW21" s="576" t="n"/>
      <c r="CY21" s="393" t="n">
        <v>14</v>
      </c>
      <c r="CZ21" s="354">
        <f>BS$6</f>
        <v/>
      </c>
      <c r="DB21" s="605">
        <f>SEMANA2[[#This Row],[COD]]</f>
        <v/>
      </c>
      <c r="DC21" s="395">
        <f t="array" ref="DC21">IFERROR(IF(AND(INDEX($E$8:$CE$57, MATCH($C21, $C$8:$C$57, 0), (COLUMNS($DC21:DC21)-1)*5 + 1) = INDEX($E$5:$CE$5, 1, (COLUMNS($DC21:DC21)-1)*5 + 1), INDEX($E$8:$CE$57, MATCH($C21, $C$8:$C$57, 0), (COLUMNS($DC21:DC21)-1)*5 + 4) = "F"), INDEX($CZ$8:$CZ$23, COLUMNS($DC21:DC21)), "0"), "")</f>
        <v/>
      </c>
      <c r="DD21" s="395">
        <f t="array" ref="DD21">IFERROR(IF(AND(INDEX($E$8:$CE$57, MATCH($C21, $C$8:$C$57, 0), (COLUMNS($DC21:DD21)-1)*5 + 1) = INDEX($E$5:$CE$5, 1, (COLUMNS($DC21:DD21)-1)*5 + 1), INDEX($E$8:$CE$57, MATCH($C21, $C$8:$C$57, 0), (COLUMNS($DC21:DD21)-1)*5 + 4) = "F"), INDEX($CZ$8:$CZ$23, COLUMNS($DC21:DD21)), "0"), "")</f>
        <v/>
      </c>
      <c r="DE21" s="395">
        <f t="array" ref="DE21">IFERROR(IF(AND(INDEX($E$8:$CE$57, MATCH($C21, $C$8:$C$57, 0), (COLUMNS($DC21:DE21)-1)*5 + 1) = INDEX($E$5:$CE$5, 1, (COLUMNS($DC21:DE21)-1)*5 + 1), INDEX($E$8:$CE$57, MATCH($C21, $C$8:$C$57, 0), (COLUMNS($DC21:DE21)-1)*5 + 4) = "F"), INDEX($CZ$8:$CZ$23, COLUMNS($DC21:DE21)), "0"), "")</f>
        <v/>
      </c>
      <c r="DF21" s="395">
        <f t="array" ref="DF21">IFERROR(IF(AND(INDEX($E$8:$CE$57, MATCH($C21, $C$8:$C$57, 0), (COLUMNS($DC21:DF21)-1)*5 + 1) = INDEX($E$5:$CE$5, 1, (COLUMNS($DC21:DF21)-1)*5 + 1), INDEX($E$8:$CE$57, MATCH($C21, $C$8:$C$57, 0), (COLUMNS($DC21:DF21)-1)*5 + 4) = "F"), INDEX($CZ$8:$CZ$23, COLUMNS($DC21:DF21)), "0"), "")</f>
        <v/>
      </c>
      <c r="DG21" s="395">
        <f t="array" ref="DG21">IFERROR(IF(AND(INDEX($E$8:$CE$57, MATCH($C21, $C$8:$C$57, 0), (COLUMNS($DC21:DG21)-1)*5 + 1) = INDEX($E$5:$CE$5, 1, (COLUMNS($DC21:DG21)-1)*5 + 1), INDEX($E$8:$CE$57, MATCH($C21, $C$8:$C$57, 0), (COLUMNS($DC21:DG21)-1)*5 + 4) = "F"), INDEX($CZ$8:$CZ$23, COLUMNS($DC21:DG21)), "0"), "")</f>
        <v/>
      </c>
      <c r="DH21" s="395">
        <f t="array" ref="DH21">IFERROR(IF(AND(INDEX($E$8:$CE$57, MATCH($C21, $C$8:$C$57, 0), (COLUMNS($DC21:DH21)-1)*5 + 1) = INDEX($E$5:$CE$5, 1, (COLUMNS($DC21:DH21)-1)*5 + 1), INDEX($E$8:$CE$57, MATCH($C21, $C$8:$C$57, 0), (COLUMNS($DC21:DH21)-1)*5 + 4) = "F"), INDEX($CZ$8:$CZ$23, COLUMNS($DC21:DH21)), "0"), "")</f>
        <v/>
      </c>
      <c r="DI21" s="395">
        <f t="array" ref="DI21">IFERROR(IF(AND(INDEX($E$8:$CE$57, MATCH($C21, $C$8:$C$57, 0), (COLUMNS($DC21:DI21)-1)*5 + 1) = INDEX($E$5:$CE$5, 1, (COLUMNS($DC21:DI21)-1)*5 + 1), INDEX($E$8:$CE$57, MATCH($C21, $C$8:$C$57, 0), (COLUMNS($DC21:DI21)-1)*5 + 4) = "F"), INDEX($CZ$8:$CZ$23, COLUMNS($DC21:DI21)), "0"), "")</f>
        <v/>
      </c>
      <c r="DJ21" s="395">
        <f t="array" ref="DJ21">IFERROR(IF(AND(INDEX($E$8:$CE$57, MATCH($C21, $C$8:$C$57, 0), (COLUMNS($DC21:DJ21)-1)*5 + 1) = INDEX($E$5:$CE$5, 1, (COLUMNS($DC21:DJ21)-1)*5 + 1), INDEX($E$8:$CE$57, MATCH($C21, $C$8:$C$57, 0), (COLUMNS($DC21:DJ21)-1)*5 + 4) = "F"), INDEX($CZ$8:$CZ$23, COLUMNS($DC21:DJ21)), "0"), "")</f>
        <v/>
      </c>
      <c r="DK21" s="395">
        <f t="array" ref="DK21">IFERROR(IF(AND(INDEX($E$8:$CE$57, MATCH($C21, $C$8:$C$57, 0), (COLUMNS($DC21:DK21)-1)*5 + 1) = INDEX($E$5:$CE$5, 1, (COLUMNS($DC21:DK21)-1)*5 + 1), INDEX($E$8:$CE$57, MATCH($C21, $C$8:$C$57, 0), (COLUMNS($DC21:DK21)-1)*5 + 4) = "F"), INDEX($CZ$8:$CZ$23, COLUMNS($DC21:DK21)), "0"), "")</f>
        <v/>
      </c>
      <c r="DL21" s="395">
        <f t="array" ref="DL21">IFERROR(IF(AND(INDEX($E$8:$CE$57, MATCH($C21, $C$8:$C$57, 0), (COLUMNS($DC21:DL21)-1)*5 + 1) = INDEX($E$5:$CE$5, 1, (COLUMNS($DC21:DL21)-1)*5 + 1), INDEX($E$8:$CE$57, MATCH($C21, $C$8:$C$57, 0), (COLUMNS($DC21:DL21)-1)*5 + 4) = "F"), INDEX($CZ$8:$CZ$23, COLUMNS($DC21:DL21)), "0"), "")</f>
        <v/>
      </c>
      <c r="DM21" s="395">
        <f t="array" ref="DM21">IFERROR(IF(AND(INDEX($E$8:$CE$57, MATCH($C21, $C$8:$C$57, 0), (COLUMNS($DC21:DM21)-1)*5 + 1) = INDEX($E$5:$CE$5, 1, (COLUMNS($DC21:DM21)-1)*5 + 1), INDEX($E$8:$CE$57, MATCH($C21, $C$8:$C$57, 0), (COLUMNS($DC21:DM21)-1)*5 + 4) = "F"), INDEX($CZ$8:$CZ$23, COLUMNS($DC21:DM21)), "0"), "")</f>
        <v/>
      </c>
      <c r="DN21" s="395">
        <f t="array" ref="DN21">IFERROR(IF(AND(INDEX($E$8:$CE$57, MATCH($C21, $C$8:$C$57, 0), (COLUMNS($DC21:DN21)-1)*5 + 1) = INDEX($E$5:$CE$5, 1, (COLUMNS($DC21:DN21)-1)*5 + 1), INDEX($E$8:$CE$57, MATCH($C21, $C$8:$C$57, 0), (COLUMNS($DC21:DN21)-1)*5 + 4) = "F"), INDEX($CZ$8:$CZ$23, COLUMNS($DC21:DN21)), "0"), "")</f>
        <v/>
      </c>
      <c r="DO21" s="395">
        <f t="array" ref="DO21">IFERROR(IF(AND(INDEX($E$8:$CE$57, MATCH($C21, $C$8:$C$57, 0), (COLUMNS($DC21:DO21)-1)*5 + 1) = INDEX($E$5:$CE$5, 1, (COLUMNS($DC21:DO21)-1)*5 + 1), INDEX($E$8:$CE$57, MATCH($C21, $C$8:$C$57, 0), (COLUMNS($DC21:DO21)-1)*5 + 4) = "F"), INDEX($CZ$8:$CZ$23, COLUMNS($DC21:DO21)), "0"), "")</f>
        <v/>
      </c>
      <c r="DP21" s="395">
        <f t="array" ref="DP21">IFERROR(IF(AND(INDEX($E$8:$CE$57, MATCH($C21, $C$8:$C$57, 0), (COLUMNS($DC21:DP21)-1)*5 + 1) = INDEX($E$5:$CE$5, 1, (COLUMNS($DC21:DP21)-1)*5 + 1), INDEX($E$8:$CE$57, MATCH($C21, $C$8:$C$57, 0), (COLUMNS($DC21:DP21)-1)*5 + 4) = "F"), INDEX($CZ$8:$CZ$23, COLUMNS($DC21:DP21)), "0"), "")</f>
        <v/>
      </c>
      <c r="DQ21" s="395">
        <f t="array" ref="DQ21">IFERROR(IF(AND(INDEX($E$8:$CE$57, MATCH($C21, $C$8:$C$57, 0), (COLUMNS($DC21:DQ21)-1)*5 + 1) = INDEX($E$5:$CE$5, 1, (COLUMNS($DC21:DQ21)-1)*5 + 1), INDEX($E$8:$CE$57, MATCH($C21, $C$8:$C$57, 0), (COLUMNS($DC21:DQ21)-1)*5 + 4) = "F"), INDEX($CZ$8:$CZ$23, COLUMNS($DC21:DQ21)), "0"), "")</f>
        <v/>
      </c>
      <c r="DR21" s="395">
        <f t="array" ref="DR21">IFERROR(IF(AND(INDEX($E$8:$CE$57, MATCH($C21, $C$8:$C$57, 0), (COLUMNS($DC21:DR21)-1)*5 + 1) = INDEX($E$5:$CE$5, 1, (COLUMNS($DC21:DR21)-1)*5 + 1), INDEX($E$8:$CE$57, MATCH($C21, $C$8:$C$57, 0), (COLUMNS($DC21:DR21)-1)*5 + 4) = "F"), INDEX($CZ$8:$CZ$23, COLUMNS($DC21:DR21)), "0"), "")</f>
        <v/>
      </c>
      <c r="DT21" s="605">
        <f>SEMANA2[[#This Row],[COD]]</f>
        <v/>
      </c>
      <c r="DU21" s="395">
        <f t="array" ref="DU21">IFERROR(IF(AND(INDEX($E$8:$CE$57, MATCH($C21, $C$8:$C$57, 0), (COLUMNS($DU21:DU21)-1)*5 + 1) = INDEX($E$5:$CE$5, 1, (COLUMNS($DU21:DU21)-1)*5 + 1), INDEX($E$8:$CE$57, MATCH($C21, $C$8:$C$57, 0), (COLUMNS($DU21:DU21)-1)*5 + 4) = "SF"), INDEX($CZ$8:$CZ$23, COLUMNS($DU21:DU21)), "0"), "")</f>
        <v/>
      </c>
      <c r="DV21" s="395">
        <f t="array" ref="DV21">IFERROR(IF(AND(INDEX($E$8:$CE$57, MATCH($C21, $C$8:$C$57, 0), (COLUMNS($DU21:DV21)-1)*5 + 1) = INDEX($E$5:$CE$5, 1, (COLUMNS($DU21:DV21)-1)*5 + 1), INDEX($E$8:$CE$57, MATCH($C21, $C$8:$C$57, 0), (COLUMNS($DU21:DV21)-1)*5 + 4) = "SF"), INDEX($CZ$8:$CZ$23, COLUMNS($DU21:DV21)), "0"), "")</f>
        <v/>
      </c>
      <c r="DW21" s="395">
        <f t="array" ref="DW21">IFERROR(IF(AND(INDEX($E$8:$CE$57, MATCH($C21, $C$8:$C$57, 0), (COLUMNS($DU21:DW21)-1)*5 + 1) = INDEX($E$5:$CE$5, 1, (COLUMNS($DU21:DW21)-1)*5 + 1), INDEX($E$8:$CE$57, MATCH($C21, $C$8:$C$57, 0), (COLUMNS($DU21:DW21)-1)*5 + 4) = "SF"), INDEX($CZ$8:$CZ$23, COLUMNS($DU21:DW21)), "0"), "")</f>
        <v/>
      </c>
      <c r="DX21" s="395">
        <f t="array" ref="DX21">IFERROR(IF(AND(INDEX($E$8:$CE$57, MATCH($C21, $C$8:$C$57, 0), (COLUMNS($DU21:DX21)-1)*5 + 1) = INDEX($E$5:$CE$5, 1, (COLUMNS($DU21:DX21)-1)*5 + 1), INDEX($E$8:$CE$57, MATCH($C21, $C$8:$C$57, 0), (COLUMNS($DU21:DX21)-1)*5 + 4) = "SF"), INDEX($CZ$8:$CZ$23, COLUMNS($DU21:DX21)), "0"), "")</f>
        <v/>
      </c>
      <c r="DY21" s="395">
        <f t="array" ref="DY21">IFERROR(IF(AND(INDEX($E$8:$CE$57, MATCH($C21, $C$8:$C$57, 0), (COLUMNS($DU21:DY21)-1)*5 + 1) = INDEX($E$5:$CE$5, 1, (COLUMNS($DU21:DY21)-1)*5 + 1), INDEX($E$8:$CE$57, MATCH($C21, $C$8:$C$57, 0), (COLUMNS($DU21:DY21)-1)*5 + 4) = "SF"), INDEX($CZ$8:$CZ$23, COLUMNS($DU21:DY21)), "0"), "")</f>
        <v/>
      </c>
      <c r="DZ21" s="395">
        <f t="array" ref="DZ21">IFERROR(IF(AND(INDEX($E$8:$CE$57, MATCH($C21, $C$8:$C$57, 0), (COLUMNS($DU21:DZ21)-1)*5 + 1) = INDEX($E$5:$CE$5, 1, (COLUMNS($DU21:DZ21)-1)*5 + 1), INDEX($E$8:$CE$57, MATCH($C21, $C$8:$C$57, 0), (COLUMNS($DU21:DZ21)-1)*5 + 4) = "SF"), INDEX($CZ$8:$CZ$23, COLUMNS($DU21:DZ21)), "0"), "")</f>
        <v/>
      </c>
      <c r="EA21" s="395">
        <f t="array" ref="EA21">IFERROR(IF(AND(INDEX($E$8:$CE$57, MATCH($C21, $C$8:$C$57, 0), (COLUMNS($DU21:EA21)-1)*5 + 1) = INDEX($E$5:$CE$5, 1, (COLUMNS($DU21:EA21)-1)*5 + 1), INDEX($E$8:$CE$57, MATCH($C21, $C$8:$C$57, 0), (COLUMNS($DU21:EA21)-1)*5 + 4) = "SF"), INDEX($CZ$8:$CZ$23, COLUMNS($DU21:EA21)), "0"), "")</f>
        <v/>
      </c>
      <c r="EB21" s="395">
        <f t="array" ref="EB21">IFERROR(IF(AND(INDEX($E$8:$CE$57, MATCH($C21, $C$8:$C$57, 0), (COLUMNS($DU21:EB21)-1)*5 + 1) = INDEX($E$5:$CE$5, 1, (COLUMNS($DU21:EB21)-1)*5 + 1), INDEX($E$8:$CE$57, MATCH($C21, $C$8:$C$57, 0), (COLUMNS($DU21:EB21)-1)*5 + 4) = "SF"), INDEX($CZ$8:$CZ$23, COLUMNS($DU21:EB21)), "0"), "")</f>
        <v/>
      </c>
      <c r="EC21" s="395">
        <f t="array" ref="EC21">IFERROR(IF(AND(INDEX($E$8:$CE$57, MATCH($C21, $C$8:$C$57, 0), (COLUMNS($DU21:EC21)-1)*5 + 1) = INDEX($E$5:$CE$5, 1, (COLUMNS($DU21:EC21)-1)*5 + 1), INDEX($E$8:$CE$57, MATCH($C21, $C$8:$C$57, 0), (COLUMNS($DU21:EC21)-1)*5 + 4) = "SF"), INDEX($CZ$8:$CZ$23, COLUMNS($DU21:EC21)), "0"), "")</f>
        <v/>
      </c>
      <c r="ED21" s="395">
        <f t="array" ref="ED21">IFERROR(IF(AND(INDEX($E$8:$CE$57, MATCH($C21, $C$8:$C$57, 0), (COLUMNS($DU21:ED21)-1)*5 + 1) = INDEX($E$5:$CE$5, 1, (COLUMNS($DU21:ED21)-1)*5 + 1), INDEX($E$8:$CE$57, MATCH($C21, $C$8:$C$57, 0), (COLUMNS($DU21:ED21)-1)*5 + 4) = "SF"), INDEX($CZ$8:$CZ$23, COLUMNS($DU21:ED21)), "0"), "")</f>
        <v/>
      </c>
      <c r="EE21" s="395">
        <f t="array" ref="EE21">IFERROR(IF(AND(INDEX($E$8:$CE$57, MATCH($C21, $C$8:$C$57, 0), (COLUMNS($DU21:EE21)-1)*5 + 1) = INDEX($E$5:$CE$5, 1, (COLUMNS($DU21:EE21)-1)*5 + 1), INDEX($E$8:$CE$57, MATCH($C21, $C$8:$C$57, 0), (COLUMNS($DU21:EE21)-1)*5 + 4) = "SF"), INDEX($CZ$8:$CZ$23, COLUMNS($DU21:EE21)), "0"), "")</f>
        <v/>
      </c>
      <c r="EF21" s="395">
        <f t="array" ref="EF21">IFERROR(IF(AND(INDEX($E$8:$CE$57, MATCH($C21, $C$8:$C$57, 0), (COLUMNS($DU21:EF21)-1)*5 + 1) = INDEX($E$5:$CE$5, 1, (COLUMNS($DU21:EF21)-1)*5 + 1), INDEX($E$8:$CE$57, MATCH($C21, $C$8:$C$57, 0), (COLUMNS($DU21:EF21)-1)*5 + 4) = "SF"), INDEX($CZ$8:$CZ$23, COLUMNS($DU21:EF21)), "0"), "")</f>
        <v/>
      </c>
      <c r="EG21" s="395">
        <f t="array" ref="EG21">IFERROR(IF(AND(INDEX($E$8:$CE$57, MATCH($C21, $C$8:$C$57, 0), (COLUMNS($DU21:EG21)-1)*5 + 1) = INDEX($E$5:$CE$5, 1, (COLUMNS($DU21:EG21)-1)*5 + 1), INDEX($E$8:$CE$57, MATCH($C21, $C$8:$C$57, 0), (COLUMNS($DU21:EG21)-1)*5 + 4) = "SF"), INDEX($CZ$8:$CZ$23, COLUMNS($DU21:EG21)), "0"), "")</f>
        <v/>
      </c>
      <c r="EH21" s="395">
        <f t="array" ref="EH21">IFERROR(IF(AND(INDEX($E$8:$CE$57, MATCH($C21, $C$8:$C$57, 0), (COLUMNS($DU21:EH21)-1)*5 + 1) = INDEX($E$5:$CE$5, 1, (COLUMNS($DU21:EH21)-1)*5 + 1), INDEX($E$8:$CE$57, MATCH($C21, $C$8:$C$57, 0), (COLUMNS($DU21:EH21)-1)*5 + 4) = "SF"), INDEX($CZ$8:$CZ$23, COLUMNS($DU21:EH21)), "0"), "")</f>
        <v/>
      </c>
      <c r="EI21" s="395">
        <f t="array" ref="EI21">IFERROR(IF(AND(INDEX($E$8:$CE$57, MATCH($C21, $C$8:$C$57, 0), (COLUMNS($DU21:EI21)-1)*5 + 1) = INDEX($E$5:$CE$5, 1, (COLUMNS($DU21:EI21)-1)*5 + 1), INDEX($E$8:$CE$57, MATCH($C21, $C$8:$C$57, 0), (COLUMNS($DU21:EI21)-1)*5 + 4) = "SF"), INDEX($CZ$8:$CZ$23, COLUMNS($DU21:EI21)), "0"), "")</f>
        <v/>
      </c>
      <c r="EJ21" s="395">
        <f t="array" ref="EJ21">IFERROR(IF(AND(INDEX($E$8:$CE$57, MATCH($C21, $C$8:$C$57, 0), (COLUMNS($DU21:EJ21)-1)*5 + 1) = INDEX($E$5:$CE$5, 1, (COLUMNS($DU21:EJ21)-1)*5 + 1), INDEX($E$8:$CE$57, MATCH($C21, $C$8:$C$57, 0), (COLUMNS($DU21:EJ21)-1)*5 + 4) = "SF"), INDEX($CZ$8:$CZ$23, COLUMNS($DU21:EJ21)), "0"), "")</f>
        <v/>
      </c>
    </row>
    <row r="22" ht="20.1" customHeight="1" s="568">
      <c r="A22" s="576" t="n"/>
      <c r="B22" s="449">
        <f>IF(SEMANA2[[#This Row],[COD]]&lt;&gt;"",B21+1,"")</f>
        <v/>
      </c>
      <c r="C22" s="622" t="inlineStr">
        <is>
          <t>COD 15</t>
        </is>
      </c>
      <c r="D22" s="415">
        <f t="array" ref="D22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2" s="416" t="n">
        <v>9</v>
      </c>
      <c r="F22" s="417" t="n">
        <v>2</v>
      </c>
      <c r="G22" s="417" t="n">
        <v>6</v>
      </c>
      <c r="H22" s="417" t="n"/>
      <c r="I22" s="602">
        <f>SUM(IF(E22=E$5,4,0),IF(E22&amp;F22=E$5&amp;F$5,1,0),
IF(AND(E22=E$5,F$6&gt;=$D$115),1,0),
IF(AND(F22=E$5,F$6&gt;=$D$115),1,0),
IF(AND(G22=E$5,F$6&gt;=$D$115),1,0),
IF(E22&amp;H22=I$5,1,0),
IF(F22=E$5,2,0),
IF(G22=E$5,1,0),
IF(OR(E22&amp;F22&amp;G22=E$5&amp;F$5&amp;G$5,E22&amp;F22&amp;G22=E$5&amp;G$5&amp;F$5,E22&amp;F22&amp;G22=F$5&amp;E$5&amp;G$5,E22&amp;F22&amp;G22=F$5&amp;G$5&amp;E$5,E22&amp;F22&amp;G22=G$5&amp;E$5&amp;F$5,E22&amp;F22&amp;G22=G$5&amp;F$5&amp;E$5),2,0),IF(AND(E22=E$5,F$6&gt;=$D$129),1,0),IF(AND(F22=E$5,F$6&gt;=$D$129),1,0),IF(AND(G22=E$5,F$6&gt;=$D$129),1,0),IF(E22&amp;H22=H$5,4,0),IF(AND(E22=E$5,F$6&lt;=$D$104),-0.5,0),IF(AND(F22=E$5,F$6&lt;=$D$104),-0.5,0),IF(AND(G22=E$5,F$6&lt;=$D$104),-0.5,0))</f>
        <v/>
      </c>
      <c r="J22" s="416" t="n">
        <v>1</v>
      </c>
      <c r="K22" s="417" t="n">
        <v>7</v>
      </c>
      <c r="L22" s="417" t="n">
        <v>4</v>
      </c>
      <c r="M22" s="417" t="n"/>
      <c r="N22" s="602">
        <f>SUM(IF(J22=J$5,4,0),IF(J22&amp;K22=J$5&amp;K$5,1,0),
IF(AND(J22=J$5,K$6&gt;=$D$115),1,0),
IF(AND(K22=J$5,K$6&gt;=$D$115),1,0),
IF(AND(L22=J$5,K$6&gt;=$D$115),1,0),
IF(J22&amp;M22=N$5,1,0),
IF(K22=J$5,2,0),
IF(L22=J$5,1,0),
IF(OR(J22&amp;K22&amp;L22=J$5&amp;K$5&amp;L$5,J22&amp;K22&amp;L22=J$5&amp;L$5&amp;K$5,J22&amp;K22&amp;L22=K$5&amp;J$5&amp;L$5,J22&amp;K22&amp;L22=K$5&amp;L$5&amp;J$5,J22&amp;K22&amp;L22=L$5&amp;J$5&amp;K$5,J22&amp;K22&amp;L22=L$5&amp;K$5&amp;J$5),2,0),IF(AND(J22=J$5,K$6&gt;=$D$129),1,0),IF(AND(K22=J$5,K$6&gt;=$D$129),1,0),IF(AND(L22=J$5,K$6&gt;=$D$129),1,0),IF(J22&amp;M22=M$5,4,0),IF(AND(J22=J$5,K$6&lt;=$D$104),-0.5,0),IF(AND(K22=J$5,K$6&lt;=$D$104),-0.5,0),IF(AND(L22=J$5,K$6&lt;=$D$104),-0.5,0))</f>
        <v/>
      </c>
      <c r="O22" s="416" t="n">
        <v>1</v>
      </c>
      <c r="P22" s="417" t="n">
        <v>3</v>
      </c>
      <c r="Q22" s="417" t="n">
        <v>5</v>
      </c>
      <c r="R22" s="417" t="n"/>
      <c r="S22" s="602">
        <f>SUM(IF(O22=O$5,4,0),IF(O22&amp;P22=O$5&amp;P$5,1,0),
IF(AND(O22=O$5,P$6&gt;=$D$115),1,0),
IF(AND(P22=O$5,P$6&gt;=$D$115),1,0),
IF(AND(Q22=O$5,P$6&gt;=$D$115),1,0),
IF(O22&amp;R22=S$5,1,0),
IF(P22=O$5,2,0),
IF(Q22=O$5,1,0),
IF(OR(O22&amp;P22&amp;Q22=O$5&amp;P$5&amp;Q$5,O22&amp;P22&amp;Q22=O$5&amp;Q$5&amp;P$5,O22&amp;P22&amp;Q22=P$5&amp;O$5&amp;Q$5,O22&amp;P22&amp;Q22=P$5&amp;Q$5&amp;O$5,O22&amp;P22&amp;Q22=Q$5&amp;O$5&amp;P$5,O22&amp;P22&amp;Q22=Q$5&amp;P$5&amp;O$5),2,0),IF(AND(O22=O$5,P$6&gt;=$D$129),1,0),IF(AND(P22=O$5,P$6&gt;=$D$129),1,0),IF(AND(Q22=O$5,P$6&gt;=$D$129),1,0),IF(O22&amp;R22=R$5,4,0),IF(AND(O22=O$5,P$6&lt;=$D$104),-0.5,0),IF(AND(P22=O$5,P$6&lt;=$D$104),-0.5,0),IF(AND(Q22=O$5,P$6&lt;=$D$104),-0.5,0))</f>
        <v/>
      </c>
      <c r="T22" s="416" t="n">
        <v>5</v>
      </c>
      <c r="U22" s="417" t="n">
        <v>1</v>
      </c>
      <c r="V22" s="417" t="n">
        <v>3</v>
      </c>
      <c r="W22" s="417" t="n"/>
      <c r="X22" s="602">
        <f>SUM(IF(T22=T$5,4,0),IF(T22&amp;U22=T$5&amp;U$5,1,0),
IF(AND(T22=T$5,U$6&gt;=$D$115),1,0),
IF(AND(U22=T$5,U$6&gt;=$D$115),1,0),
IF(AND(V22=T$5,U$6&gt;=$D$115),1,0),
IF(T22&amp;W22=X$5,1,0),
IF(U22=T$5,2,0),
IF(V22=T$5,1,0),
IF(OR(T22&amp;U22&amp;V22=T$5&amp;U$5&amp;V$5,T22&amp;U22&amp;V22=T$5&amp;V$5&amp;U$5,T22&amp;U22&amp;V22=U$5&amp;T$5&amp;V$5,T22&amp;U22&amp;V22=U$5&amp;V$5&amp;T$5,T22&amp;U22&amp;V22=V$5&amp;T$5&amp;U$5,T22&amp;U22&amp;V22=V$5&amp;U$5&amp;T$5),2,0),IF(AND(T22=T$5,U$6&gt;=$D$129),1,0),IF(AND(U22=T$5,U$6&gt;=$D$129),1,0),IF(AND(V22=T$5,U$6&gt;=$D$129),1,0),IF(T22&amp;W22=W$5,4,0),IF(AND(T22=T$5,U$6&lt;=$D$104),-0.5,0),IF(AND(U22=T$5,U$6&lt;=$D$104),-0.5,0),IF(AND(V22=T$5,U$6&lt;=$D$104),-0.5,0))</f>
        <v/>
      </c>
      <c r="Y22" s="416" t="n">
        <v>7</v>
      </c>
      <c r="Z22" s="417" t="n">
        <v>4</v>
      </c>
      <c r="AA22" s="417" t="n">
        <v>1</v>
      </c>
      <c r="AB22" s="417" t="n"/>
      <c r="AC22" s="602">
        <f>SUM(IF(Y22=Y$5,4,0),IF(Y22&amp;Z22=Y$5&amp;Z$5,1,0),
IF(AND(Y22=Y$5,Z$6&gt;=$D$115),1,0),
IF(AND(Z22=Y$5,Z$6&gt;=$D$115),1,0),
IF(AND(AA22=Y$5,Z$6&gt;=$D$115),1,0),
IF(Y22&amp;AB22=AC$5,1,0),
IF(Z22=Y$5,2,0),
IF(AA22=Y$5,1,0),
IF(OR(Y22&amp;Z22&amp;AA22=Y$5&amp;Z$5&amp;AA$5,Y22&amp;Z22&amp;AA22=Y$5&amp;AA$5&amp;Z$5,Y22&amp;Z22&amp;AA22=Z$5&amp;Y$5&amp;AA$5,Y22&amp;Z22&amp;AA22=Z$5&amp;AA$5&amp;Y$5,Y22&amp;Z22&amp;AA22=AA$5&amp;Y$5&amp;Z$5,Y22&amp;Z22&amp;AA22=AA$5&amp;Z$5&amp;Y$5),2,0),IF(AND(Y22=Y$5,Z$6&gt;=$D$129),1,0),IF(AND(Z22=Y$5,Z$6&gt;=$D$129),1,0),IF(AND(AA22=Y$5,Z$6&gt;=$D$129),1,0),IF(Y22&amp;AB22=AB$5,4,0),IF(AND(Y22=Y$5,Z$6&lt;=$D$104),-0.5,0),IF(AND(Z22=Y$5,Z$6&lt;=$D$104),-0.5,0),IF(AND(AA22=Y$5,Z$6&lt;=$D$104),-0.5,0))</f>
        <v/>
      </c>
      <c r="AD22" s="416" t="n">
        <v>3</v>
      </c>
      <c r="AE22" s="417" t="n">
        <v>10</v>
      </c>
      <c r="AF22" s="417" t="n">
        <v>5</v>
      </c>
      <c r="AG22" s="417" t="n"/>
      <c r="AH22" s="602">
        <f>SUM(IF(AD22=AD$5,4,0),IF(AD22&amp;AE22=AD$5&amp;AE$5,1,0),
IF(AND(AD22=AD$5,AE$6&gt;=$D$115),1,0),
IF(AND(AE22=AD$5,AE$6&gt;=$D$115),1,0),
IF(AND(AF22=AD$5,AE$6&gt;=$D$115),1,0),
IF(AD22&amp;AG22=AH$5,1,0),
IF(AE22=AD$5,2,0),
IF(AF22=AD$5,1,0),
IF(OR(AD22&amp;AE22&amp;AF22=AD$5&amp;AE$5&amp;AF$5,AD22&amp;AE22&amp;AF22=AD$5&amp;AF$5&amp;AE$5,AD22&amp;AE22&amp;AF22=AE$5&amp;AD$5&amp;AF$5,AD22&amp;AE22&amp;AF22=AE$5&amp;AF$5&amp;AD$5,AD22&amp;AE22&amp;AF22=AF$5&amp;AD$5&amp;AE$5,AD22&amp;AE22&amp;AF22=AF$5&amp;AE$5&amp;AD$5),2,0),IF(AND(AD22=AD$5,AE$6&gt;=$D$129),1,0),IF(AND(AE22=AD$5,AE$6&gt;=$D$129),1,0),IF(AND(AF22=AD$5,AE$6&gt;=$D$129),1,0),IF(AD22&amp;AG22=AG$5,4,0),IF(AND(AD22=AD$5,AE$6&lt;=$D$104),-0.5,0),IF(AND(AE22=AD$5,AE$6&lt;=$D$104),-0.5,0),IF(AND(AF22=AD$5,AE$6&lt;=$D$104),-0.5,0))</f>
        <v/>
      </c>
      <c r="AI22" s="416" t="n">
        <v>7</v>
      </c>
      <c r="AJ22" s="417" t="n">
        <v>6</v>
      </c>
      <c r="AK22" s="417" t="n">
        <v>9</v>
      </c>
      <c r="AL22" s="417" t="n"/>
      <c r="AM22" s="602">
        <f>SUM(IF(AI22=AI$5,4,0),IF(AI22&amp;AJ22=AI$5&amp;AJ$5,1,0),
IF(AND(AI22=AI$5,AJ$6&gt;=$D$115),1,0),
IF(AND(AJ22=AI$5,AJ$6&gt;=$D$115),1,0),
IF(AND(AK22=AI$5,AJ$6&gt;=$D$115),1,0),
IF(AI22&amp;AL22=AM$5,1,0),
IF(AJ22=AI$5,2,0),
IF(AK22=AI$5,1,0),
IF(OR(AI22&amp;AJ22&amp;AK22=AI$5&amp;AJ$5&amp;AK$5,AI22&amp;AJ22&amp;AK22=AI$5&amp;AK$5&amp;AJ$5,AI22&amp;AJ22&amp;AK22=AJ$5&amp;AI$5&amp;AK$5,AI22&amp;AJ22&amp;AK22=AJ$5&amp;AK$5&amp;AI$5,AI22&amp;AJ22&amp;AK22=AK$5&amp;AI$5&amp;AJ$5,AI22&amp;AJ22&amp;AK22=AK$5&amp;AJ$5&amp;AI$5),2,0),IF(AND(AI22=AI$5,AJ$6&gt;=$D$129),1,0),IF(AND(AJ22=AI$5,AJ$6&gt;=$D$129),1,0),IF(AND(AK22=AI$5,AJ$6&gt;=$D$129),1,0),IF(AI22&amp;AL22=AL$5,4,0),IF(AND(AI22=AI$5,AJ$6&lt;=$D$104),-0.5,0),IF(AND(AJ22=AI$5,AJ$6&lt;=$D$104),-0.5,0),IF(AND(AK22=AI$5,AJ$6&lt;=$D$104),-0.5,0))</f>
        <v/>
      </c>
      <c r="AN22" s="416" t="n">
        <v>8</v>
      </c>
      <c r="AO22" s="417" t="n">
        <v>1</v>
      </c>
      <c r="AP22" s="417" t="n">
        <v>2</v>
      </c>
      <c r="AQ22" s="417" t="inlineStr">
        <is>
          <t>F</t>
        </is>
      </c>
      <c r="AR22" s="602">
        <f>SUM(IF(AN22=AN$5,4,0),IF(AN22&amp;AO22=AN$5&amp;AO$5,1,0),
IF(AND(AN22=AN$5,AO$6&gt;=$D$115),1,0),
IF(AND(AO22=AN$5,AO$6&gt;=$D$115),1,0),
IF(AND(AP22=AN$5,AO$6&gt;=$D$115),1,0),
IF(AN22&amp;AQ22=AR$5,1,0),
IF(AO22=AN$5,2,0),
IF(AP22=AN$5,1,0),
IF(OR(AN22&amp;AO22&amp;AP22=AN$5&amp;AO$5&amp;AP$5,AN22&amp;AO22&amp;AP22=AN$5&amp;AP$5&amp;AO$5,AN22&amp;AO22&amp;AP22=AO$5&amp;AN$5&amp;AP$5,AN22&amp;AO22&amp;AP22=AO$5&amp;AP$5&amp;AN$5,AN22&amp;AO22&amp;AP22=AP$5&amp;AN$5&amp;AO$5,AN22&amp;AO22&amp;AP22=AP$5&amp;AO$5&amp;AN$5),2,0),IF(AND(AN22=AN$5,AO$6&gt;=$D$129),1,0),IF(AND(AO22=AN$5,AO$6&gt;=$D$129),1,0),IF(AND(AP22=AN$5,AO$6&gt;=$D$129),1,0),IF(AN22&amp;AQ22=AQ$5,4,0),IF(AND(AN22=AN$5,AO$6&lt;=$D$104),-0.5,0),IF(AND(AO22=AN$5,AO$6&lt;=$D$104),-0.5,0),IF(AND(AP22=AN$5,AO$6&lt;=$D$104),-0.5,0))</f>
        <v/>
      </c>
      <c r="AS22" s="416" t="n">
        <v>1</v>
      </c>
      <c r="AT22" s="417" t="n">
        <v>11</v>
      </c>
      <c r="AU22" s="417" t="n">
        <v>10</v>
      </c>
      <c r="AV22" s="417" t="n"/>
      <c r="AW22" s="602">
        <f>SUM(IF(AS22=AS$5,4,0),IF(AS22&amp;AT22=AS$5&amp;AT$5,1,0),
IF(AND(AS22=AS$5,AT$6&gt;=$D$115),1,0),
IF(AND(AT22=AS$5,AT$6&gt;=$D$115),1,0),
IF(AND(AU22=AS$5,AT$6&gt;=$D$115),1,0),
IF(AS22&amp;AV22=AW$5,1,0),
IF(AT22=AS$5,2,0),
IF(AU22=AS$5,1,0),
IF(OR(AS22&amp;AT22&amp;AU22=AS$5&amp;AT$5&amp;AU$5,AS22&amp;AT22&amp;AU22=AS$5&amp;AU$5&amp;AT$5,AS22&amp;AT22&amp;AU22=AT$5&amp;AS$5&amp;AU$5,AS22&amp;AT22&amp;AU22=AT$5&amp;AU$5&amp;AS$5,AS22&amp;AT22&amp;AU22=AU$5&amp;AS$5&amp;AT$5,AS22&amp;AT22&amp;AU22=AU$5&amp;AT$5&amp;AS$5),2,0),IF(AND(AS22=AS$5,AT$6&gt;=$D$129),1,0),IF(AND(AT22=AS$5,AT$6&gt;=$D$129),1,0),IF(AND(AU22=AS$5,AT$6&gt;=$D$129),1,0),IF(AS22&amp;AV22=AV$5,4,0),IF(AND(AS22=AS$5,AT$6&lt;=$D$104),-0.5,0),IF(AND(AT22=AS$5,AT$6&lt;=$D$104),-0.5,0),IF(AND(AU22=AS$5,AT$6&lt;=$D$104),-0.5,0))</f>
        <v/>
      </c>
      <c r="AX22" s="416" t="n">
        <v>6</v>
      </c>
      <c r="AY22" s="417" t="n">
        <v>1</v>
      </c>
      <c r="AZ22" s="417" t="n">
        <v>10</v>
      </c>
      <c r="BA22" s="417" t="n"/>
      <c r="BB22" s="602">
        <f>SUM(IF(AX22=AX$5,4,0),IF(AX22&amp;AY22=AX$5&amp;AY$5,1,0),
IF(AND(AX22=AX$5,AY$6&gt;=$D$115),1,0),
IF(AND(AY22=AX$5,AY$6&gt;=$D$115),1,0),
IF(AND(AZ22=AX$5,AY$6&gt;=$D$115),1,0),
IF(AX22&amp;BA22=BB$5,1,0),
IF(AY22=AX$5,2,0),
IF(AZ22=AX$5,1,0),
IF(OR(AX22&amp;AY22&amp;AZ22=AX$5&amp;AY$5&amp;AZ$5,AX22&amp;AY22&amp;AZ22=AX$5&amp;AZ$5&amp;AY$5,AX22&amp;AY22&amp;AZ22=AY$5&amp;AX$5&amp;AZ$5,AX22&amp;AY22&amp;AZ22=AY$5&amp;AZ$5&amp;AX$5,AX22&amp;AY22&amp;AZ22=AZ$5&amp;AX$5&amp;AY$5,AX22&amp;AY22&amp;AZ22=AZ$5&amp;AY$5&amp;AX$5),2,0),IF(AND(AX22=AX$5,AY$6&gt;=$D$129),1,0),IF(AND(AY22=AX$5,AY$6&gt;=$D$129),1,0),IF(AND(AZ22=AX$5,AY$6&gt;=$D$129),1,0),IF(AX22&amp;BA22=BA$5,4,0),IF(AND(AX22=AX$5,AY$6&lt;=$D$104),-0.5,0),IF(AND(AY22=AX$5,AY$6&lt;=$D$104),-0.5,0),IF(AND(AZ22=AX$5,AY$6&lt;=$D$104),-0.5,0))</f>
        <v/>
      </c>
      <c r="BC22" s="416" t="n">
        <v>7</v>
      </c>
      <c r="BD22" s="417" t="n">
        <v>6</v>
      </c>
      <c r="BE22" s="417" t="n">
        <v>2</v>
      </c>
      <c r="BF22" s="417" t="inlineStr">
        <is>
          <t>F</t>
        </is>
      </c>
      <c r="BG22" s="602">
        <f>SUM(IF(BC22=BC$5,4,0),IF(BC22&amp;BD22=BC$5&amp;BD$5,1,0),
IF(AND(BC22=BC$5,BD$6&gt;=$D$115),1,0),
IF(AND(BD22=BC$5,BD$6&gt;=$D$115),1,0),
IF(AND(BE22=BC$5,BD$6&gt;=$D$115),1,0),
IF(BC22&amp;BF22=BG$5,1,0),
IF(BD22=BC$5,2,0),
IF(BE22=BC$5,1,0),
IF(OR(BC22&amp;BD22&amp;BE22=BC$5&amp;BD$5&amp;BE$5,BC22&amp;BD22&amp;BE22=BC$5&amp;BE$5&amp;BD$5,BC22&amp;BD22&amp;BE22=BD$5&amp;BC$5&amp;BE$5,BC22&amp;BD22&amp;BE22=BD$5&amp;BE$5&amp;BC$5,BC22&amp;BD22&amp;BE22=BE$5&amp;BC$5&amp;BD$5,BC22&amp;BD22&amp;BE22=BE$5&amp;BD$5&amp;BC$5),2,0),IF(AND(BC22=BC$5,BD$6&gt;=$D$129),1,0),IF(AND(BD22=BC$5,BD$6&gt;=$D$129),1,0),IF(AND(BE22=BC$5,BD$6&gt;=$D$129),1,0),IF(BC22&amp;BF22=BF$5,4,0),IF(AND(BC22=BC$5,BD$6&lt;=$D$104),-0.5,0),IF(AND(BD22=BC$5,BD$6&lt;=$D$104),-0.5,0),IF(AND(BE22=BC$5,BD$6&lt;=$D$104),-0.5,0))</f>
        <v/>
      </c>
      <c r="BH22" s="416" t="n">
        <v>1</v>
      </c>
      <c r="BI22" s="417" t="n"/>
      <c r="BJ22" s="417" t="n"/>
      <c r="BK22" s="417" t="inlineStr">
        <is>
          <t>F</t>
        </is>
      </c>
      <c r="BL22" s="602">
        <f>SUM(IF(BH22=BH$5,4,0),IF(BH22&amp;BI22=BH$5&amp;BI$5,1,0),
IF(AND(BH22=BH$5,BI$6&gt;=$D$115),1,0),
IF(AND(BI22=BH$5,BI$6&gt;=$D$115),1,0),
IF(AND(BJ22=BH$5,BI$6&gt;=$D$115),1,0),
IF(BH22&amp;BK22=BL$5,1,0),
IF(BI22=BH$5,2,0),
IF(BJ22=BH$5,1,0),
IF(OR(BH22&amp;BI22&amp;BJ22=BH$5&amp;BI$5&amp;BJ$5,BH22&amp;BI22&amp;BJ22=BH$5&amp;BJ$5&amp;BI$5,BH22&amp;BI22&amp;BJ22=BI$5&amp;BH$5&amp;BJ$5,BH22&amp;BI22&amp;BJ22=BI$5&amp;BJ$5&amp;BH$5,BH22&amp;BI22&amp;BJ22=BJ$5&amp;BH$5&amp;BI$5,BH22&amp;BI22&amp;BJ22=BJ$5&amp;BI$5&amp;BH$5),2,0),IF(AND(BH22=BH$5,BI$6&gt;=$D$129),1,0),IF(AND(BI22=BH$5,BI$6&gt;=$D$129),1,0),IF(AND(BJ22=BH$5,BI$6&gt;=$D$129),1,0),IF(BH22&amp;BK22=BK$5,4,0),IF(AND(BH22=BH$5,BI$6&lt;=$D$104),-0.5,0),IF(AND(BI22=BH$5,BI$6&lt;=$D$104),-0.5,0),IF(AND(BJ22=BH$5,BI$6&lt;=$D$104),-0.5,0))</f>
        <v/>
      </c>
      <c r="BM22" s="416" t="n">
        <v>4</v>
      </c>
      <c r="BN22" s="417" t="n">
        <v>9</v>
      </c>
      <c r="BO22" s="417" t="n">
        <v>1</v>
      </c>
      <c r="BP22" s="417" t="n"/>
      <c r="BQ22" s="602">
        <f>SUM(IF(BM22=BM$5,4,0),IF(BM22&amp;BN22=BM$5&amp;BN$5,1,0),
IF(AND(BM22=BM$5,BN$6&gt;=$D$115),1,0),
IF(AND(BN22=BM$5,BN$6&gt;=$D$115),1,0),
IF(AND(BO22=BM$5,BN$6&gt;=$D$115),1,0),
IF(BM22&amp;BP22=BQ$5,1,0),
IF(BN22=BM$5,2,0),
IF(BO22=BM$5,1,0),
IF(OR(BM22&amp;BN22&amp;BO22=BM$5&amp;BN$5&amp;BO$5,BM22&amp;BN22&amp;BO22=BM$5&amp;BO$5&amp;BN$5,BM22&amp;BN22&amp;BO22=BN$5&amp;BM$5&amp;BO$5,BM22&amp;BN22&amp;BO22=BN$5&amp;BO$5&amp;BM$5,BM22&amp;BN22&amp;BO22=BO$5&amp;BM$5&amp;BN$5,BM22&amp;BN22&amp;BO22=BO$5&amp;BN$5&amp;BM$5),2,0),IF(AND(BM22=BM$5,BN$6&gt;=$D$129),1,0),IF(AND(BN22=BM$5,BN$6&gt;=$D$129),1,0),IF(AND(BO22=BM$5,BN$6&gt;=$D$129),1,0),IF(BM22&amp;BP22=BP$5,4,0),IF(AND(BM22=BM$5,BN$6&lt;=$D$104),-0.5,0),IF(AND(BN22=BM$5,BN$6&lt;=$D$104),-0.5,0),IF(AND(BO22=BM$5,BN$6&lt;=$D$104),-0.5,0))</f>
        <v/>
      </c>
      <c r="BR22" s="416" t="n">
        <v>1</v>
      </c>
      <c r="BS22" s="417" t="n">
        <v>5</v>
      </c>
      <c r="BT22" s="417" t="n">
        <v>7</v>
      </c>
      <c r="BU22" s="417" t="n"/>
      <c r="BV22" s="602">
        <f>SUM(IF(BR22=BR$5,4,0),IF(BR22&amp;BS22=BR$5&amp;BS$5,1,0),
IF(AND(BR22=BR$5,BS$6&gt;=$D$115),1,0),
IF(AND(BS22=BR$5,BS$6&gt;=$D$115),1,0),
IF(AND(BT22=BR$5,BS$6&gt;=$D$115),1,0),
IF(BR22&amp;BU22=BV$5,1,0),
IF(BS22=BR$5,2,0),
IF(BT22=BR$5,1,0),
IF(OR(BR22&amp;BS22&amp;BT22=BR$5&amp;BS$5&amp;BT$5,BR22&amp;BS22&amp;BT22=BR$5&amp;BT$5&amp;BS$5,BR22&amp;BS22&amp;BT22=BS$5&amp;BR$5&amp;BT$5,BR22&amp;BS22&amp;BT22=BS$5&amp;BT$5&amp;BR$5,BR22&amp;BS22&amp;BT22=BT$5&amp;BR$5&amp;BS$5,BR22&amp;BS22&amp;BT22=BT$5&amp;BS$5&amp;BR$5),2,0),IF(AND(BR22=BR$5,BS$6&gt;=$D$129),1,0),IF(AND(BS22=BR$5,BS$6&gt;=$D$129),1,0),IF(AND(BT22=BR$5,BS$6&gt;=$D$129),1,0),IF(BR22&amp;BU22=BU$5,4,0),IF(AND(BR22=BR$5,BS$6&lt;=$D$104),-0.5,0),IF(AND(BS22=BR$5,BS$6&lt;=$D$104),-0.5,0),IF(AND(BT22=BR$5,BS$6&lt;=$D$104),-0.5,0))</f>
        <v/>
      </c>
      <c r="BW22" s="416" t="n"/>
      <c r="BX22" s="417" t="n"/>
      <c r="BY22" s="417" t="n"/>
      <c r="BZ22" s="417" t="n"/>
      <c r="CA22" s="602">
        <f>SUM(IF(BW22=BW$5,4,0),IF(BW22&amp;BX22=BW$5&amp;BX$5,1,0),
IF(AND(BW22=BW$5,BX$6&gt;=$D$115),1,0),
IF(AND(BX22=BW$5,BX$6&gt;=$D$115),1,0),
IF(AND(BY22=BW$5,BX$6&gt;=$D$115),1,0),
IF(BW22&amp;BZ22=CA$5,1,0),
IF(BX22=BW$5,2,0),
IF(BY22=BW$5,1,0),
IF(OR(BW22&amp;BX22&amp;BY22=BW$5&amp;BX$5&amp;BY$5,BW22&amp;BX22&amp;BY22=BW$5&amp;BY$5&amp;BX$5,BW22&amp;BX22&amp;BY22=BX$5&amp;BW$5&amp;BY$5,BW22&amp;BX22&amp;BY22=BX$5&amp;BY$5&amp;BW$5,BW22&amp;BX22&amp;BY22=BY$5&amp;BW$5&amp;BX$5,BW22&amp;BX22&amp;BY22=BY$5&amp;BX$5&amp;BW$5),2,0),IF(AND(BW22=BW$5,BX$6&gt;=$D$129),1,0),IF(AND(BX22=BW$5,BX$6&gt;=$D$129),1,0),IF(AND(BY22=BW$5,BX$6&gt;=$D$129),1,0),IF(BW22&amp;BZ22=BZ$5,4,0),IF(AND(BW22=BW$5,BX$6&lt;=$D$104),-0.5,0),IF(AND(BX22=BW$5,BX$6&lt;=$D$104),-0.5,0),IF(AND(BY22=BW$5,BX$6&lt;=$D$104),-0.5,0))</f>
        <v/>
      </c>
      <c r="CB22" s="416" t="n"/>
      <c r="CC22" s="417" t="n"/>
      <c r="CD22" s="417" t="n"/>
      <c r="CE22" s="417" t="n"/>
      <c r="CF22" s="602">
        <f>SUM(IF(CB22=CB$5,4,0),IF(CB22&amp;CC22=CB$5&amp;CC$5,1,0),
IF(AND(CB22=CB$5,CC$6&gt;=$D$115),1,0),
IF(AND(CC22=CB$5,CC$6&gt;=$D$115),1,0),
IF(AND(CD22=CB$5,CC$6&gt;=$D$115),1,0),
IF(CB22&amp;CE22=CF$5,1,0),
IF(CC22=CB$5,2,0),
IF(CD22=CB$5,1,0),
IF(OR(CB22&amp;CC22&amp;CD22=CB$5&amp;CC$5&amp;CD$5,CB22&amp;CC22&amp;CD22=CB$5&amp;CD$5&amp;CC$5,CB22&amp;CC22&amp;CD22=CC$5&amp;CB$5&amp;CD$5,CB22&amp;CC22&amp;CD22=CC$5&amp;CD$5&amp;CB$5,CB22&amp;CC22&amp;CD22=CD$5&amp;CB$5&amp;CC$5,CB22&amp;CC22&amp;CD22=CD$5&amp;CC$5&amp;CB$5),2,0),IF(AND(CB22=CB$5,CC$6&gt;=$D$129),1,0),IF(AND(CC22=CB$5,CC$6&gt;=$D$129),1,0),IF(AND(CD22=CB$5,CC$6&gt;=$D$129),1,0),IF(CB22&amp;CE22=CE$5,4,0),IF(AND(CB22=CB$5,CC$6&lt;=$D$104),-0.5,0),IF(AND(CC22=CB$5,CC$6&lt;=$D$104),-0.5,0),IF(AND(CD22=CB$5,CC$6&lt;=$D$104),-0.5,0))</f>
        <v/>
      </c>
      <c r="CG22" s="164">
        <f>IF(SEMANA2[[#This Row],[1]]="",0,$B$4)</f>
        <v/>
      </c>
      <c r="CH22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2" s="166">
        <f>IF(SEMANA2[[#This Row],[Columna14]]=0,0,(CH22/CG22))</f>
        <v/>
      </c>
      <c r="CJ22" s="165">
        <f>IF(SEMANA2[[#This Row],[1]]="",0,$B$4)</f>
        <v/>
      </c>
      <c r="CK22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2" s="166">
        <f>IF(SEMANA2[[#This Row],[Columna14]]=0,0,(CK22/CJ22))</f>
        <v/>
      </c>
      <c r="CM22" s="164">
        <f>IF(SEMANA2[[#This Row],[1]]="",0,$B$4)</f>
        <v/>
      </c>
      <c r="CN22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2" s="166">
        <f>IF(SEMANA2[[#This Row],[Columna14]]=0,0,(CN22/CM22))</f>
        <v/>
      </c>
      <c r="CP22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2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Row],[Columna25]],$AX$5,BA22,"SF")+COUNTIFS(SEMANA2[[#This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2" s="166">
        <f>IFERROR(IF(SEMANA2[[#This Row],[Columna14]]=0,0,(CQ22/CP22)),0)</f>
        <v/>
      </c>
      <c r="CS22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2" s="95">
        <f>_xlfn.XLOOKUP(SEMANA2[[#This Row],[COD]],BASE01[COD],BASE01[Columna33])</f>
        <v/>
      </c>
      <c r="CU22" s="604">
        <f>SUM(CS22,CT22)</f>
        <v/>
      </c>
      <c r="CV22" s="450">
        <f>IF(SEMANA2[[#This Row],[TIPO]]="PREMIO",$O$3,"0,00")</f>
        <v/>
      </c>
      <c r="CW22" s="576" t="n"/>
      <c r="CY22" s="393" t="n">
        <v>15</v>
      </c>
      <c r="CZ22" s="354">
        <f>BX$6</f>
        <v/>
      </c>
      <c r="DB22" s="605">
        <f>SEMANA2[[#This Row],[COD]]</f>
        <v/>
      </c>
      <c r="DC22" s="395">
        <f t="array" ref="DC22">IFERROR(IF(AND(INDEX($E$8:$CE$57, MATCH($C22, $C$8:$C$57, 0), (COLUMNS($DC22:DC22)-1)*5 + 1) = INDEX($E$5:$CE$5, 1, (COLUMNS($DC22:DC22)-1)*5 + 1), INDEX($E$8:$CE$57, MATCH($C22, $C$8:$C$57, 0), (COLUMNS($DC22:DC22)-1)*5 + 4) = "F"), INDEX($CZ$8:$CZ$23, COLUMNS($DC22:DC22)), "0"), "")</f>
        <v/>
      </c>
      <c r="DD22" s="395">
        <f t="array" ref="DD22">IFERROR(IF(AND(INDEX($E$8:$CE$57, MATCH($C22, $C$8:$C$57, 0), (COLUMNS($DC22:DD22)-1)*5 + 1) = INDEX($E$5:$CE$5, 1, (COLUMNS($DC22:DD22)-1)*5 + 1), INDEX($E$8:$CE$57, MATCH($C22, $C$8:$C$57, 0), (COLUMNS($DC22:DD22)-1)*5 + 4) = "F"), INDEX($CZ$8:$CZ$23, COLUMNS($DC22:DD22)), "0"), "")</f>
        <v/>
      </c>
      <c r="DE22" s="395">
        <f t="array" ref="DE22">IFERROR(IF(AND(INDEX($E$8:$CE$57, MATCH($C22, $C$8:$C$57, 0), (COLUMNS($DC22:DE22)-1)*5 + 1) = INDEX($E$5:$CE$5, 1, (COLUMNS($DC22:DE22)-1)*5 + 1), INDEX($E$8:$CE$57, MATCH($C22, $C$8:$C$57, 0), (COLUMNS($DC22:DE22)-1)*5 + 4) = "F"), INDEX($CZ$8:$CZ$23, COLUMNS($DC22:DE22)), "0"), "")</f>
        <v/>
      </c>
      <c r="DF22" s="395">
        <f t="array" ref="DF22">IFERROR(IF(AND(INDEX($E$8:$CE$57, MATCH($C22, $C$8:$C$57, 0), (COLUMNS($DC22:DF22)-1)*5 + 1) = INDEX($E$5:$CE$5, 1, (COLUMNS($DC22:DF22)-1)*5 + 1), INDEX($E$8:$CE$57, MATCH($C22, $C$8:$C$57, 0), (COLUMNS($DC22:DF22)-1)*5 + 4) = "F"), INDEX($CZ$8:$CZ$23, COLUMNS($DC22:DF22)), "0"), "")</f>
        <v/>
      </c>
      <c r="DG22" s="395">
        <f t="array" ref="DG22">IFERROR(IF(AND(INDEX($E$8:$CE$57, MATCH($C22, $C$8:$C$57, 0), (COLUMNS($DC22:DG22)-1)*5 + 1) = INDEX($E$5:$CE$5, 1, (COLUMNS($DC22:DG22)-1)*5 + 1), INDEX($E$8:$CE$57, MATCH($C22, $C$8:$C$57, 0), (COLUMNS($DC22:DG22)-1)*5 + 4) = "F"), INDEX($CZ$8:$CZ$23, COLUMNS($DC22:DG22)), "0"), "")</f>
        <v/>
      </c>
      <c r="DH22" s="395">
        <f t="array" ref="DH22">IFERROR(IF(AND(INDEX($E$8:$CE$57, MATCH($C22, $C$8:$C$57, 0), (COLUMNS($DC22:DH22)-1)*5 + 1) = INDEX($E$5:$CE$5, 1, (COLUMNS($DC22:DH22)-1)*5 + 1), INDEX($E$8:$CE$57, MATCH($C22, $C$8:$C$57, 0), (COLUMNS($DC22:DH22)-1)*5 + 4) = "F"), INDEX($CZ$8:$CZ$23, COLUMNS($DC22:DH22)), "0"), "")</f>
        <v/>
      </c>
      <c r="DI22" s="395">
        <f t="array" ref="DI22">IFERROR(IF(AND(INDEX($E$8:$CE$57, MATCH($C22, $C$8:$C$57, 0), (COLUMNS($DC22:DI22)-1)*5 + 1) = INDEX($E$5:$CE$5, 1, (COLUMNS($DC22:DI22)-1)*5 + 1), INDEX($E$8:$CE$57, MATCH($C22, $C$8:$C$57, 0), (COLUMNS($DC22:DI22)-1)*5 + 4) = "F"), INDEX($CZ$8:$CZ$23, COLUMNS($DC22:DI22)), "0"), "")</f>
        <v/>
      </c>
      <c r="DJ22" s="395">
        <f t="array" ref="DJ22">IFERROR(IF(AND(INDEX($E$8:$CE$57, MATCH($C22, $C$8:$C$57, 0), (COLUMNS($DC22:DJ22)-1)*5 + 1) = INDEX($E$5:$CE$5, 1, (COLUMNS($DC22:DJ22)-1)*5 + 1), INDEX($E$8:$CE$57, MATCH($C22, $C$8:$C$57, 0), (COLUMNS($DC22:DJ22)-1)*5 + 4) = "F"), INDEX($CZ$8:$CZ$23, COLUMNS($DC22:DJ22)), "0"), "")</f>
        <v/>
      </c>
      <c r="DK22" s="395">
        <f t="array" ref="DK22">IFERROR(IF(AND(INDEX($E$8:$CE$57, MATCH($C22, $C$8:$C$57, 0), (COLUMNS($DC22:DK22)-1)*5 + 1) = INDEX($E$5:$CE$5, 1, (COLUMNS($DC22:DK22)-1)*5 + 1), INDEX($E$8:$CE$57, MATCH($C22, $C$8:$C$57, 0), (COLUMNS($DC22:DK22)-1)*5 + 4) = "F"), INDEX($CZ$8:$CZ$23, COLUMNS($DC22:DK22)), "0"), "")</f>
        <v/>
      </c>
      <c r="DL22" s="395">
        <f t="array" ref="DL22">IFERROR(IF(AND(INDEX($E$8:$CE$57, MATCH($C22, $C$8:$C$57, 0), (COLUMNS($DC22:DL22)-1)*5 + 1) = INDEX($E$5:$CE$5, 1, (COLUMNS($DC22:DL22)-1)*5 + 1), INDEX($E$8:$CE$57, MATCH($C22, $C$8:$C$57, 0), (COLUMNS($DC22:DL22)-1)*5 + 4) = "F"), INDEX($CZ$8:$CZ$23, COLUMNS($DC22:DL22)), "0"), "")</f>
        <v/>
      </c>
      <c r="DM22" s="395">
        <f t="array" ref="DM22">IFERROR(IF(AND(INDEX($E$8:$CE$57, MATCH($C22, $C$8:$C$57, 0), (COLUMNS($DC22:DM22)-1)*5 + 1) = INDEX($E$5:$CE$5, 1, (COLUMNS($DC22:DM22)-1)*5 + 1), INDEX($E$8:$CE$57, MATCH($C22, $C$8:$C$57, 0), (COLUMNS($DC22:DM22)-1)*5 + 4) = "F"), INDEX($CZ$8:$CZ$23, COLUMNS($DC22:DM22)), "0"), "")</f>
        <v/>
      </c>
      <c r="DN22" s="395">
        <f t="array" ref="DN22">IFERROR(IF(AND(INDEX($E$8:$CE$57, MATCH($C22, $C$8:$C$57, 0), (COLUMNS($DC22:DN22)-1)*5 + 1) = INDEX($E$5:$CE$5, 1, (COLUMNS($DC22:DN22)-1)*5 + 1), INDEX($E$8:$CE$57, MATCH($C22, $C$8:$C$57, 0), (COLUMNS($DC22:DN22)-1)*5 + 4) = "F"), INDEX($CZ$8:$CZ$23, COLUMNS($DC22:DN22)), "0"), "")</f>
        <v/>
      </c>
      <c r="DO22" s="395">
        <f t="array" ref="DO22">IFERROR(IF(AND(INDEX($E$8:$CE$57, MATCH($C22, $C$8:$C$57, 0), (COLUMNS($DC22:DO22)-1)*5 + 1) = INDEX($E$5:$CE$5, 1, (COLUMNS($DC22:DO22)-1)*5 + 1), INDEX($E$8:$CE$57, MATCH($C22, $C$8:$C$57, 0), (COLUMNS($DC22:DO22)-1)*5 + 4) = "F"), INDEX($CZ$8:$CZ$23, COLUMNS($DC22:DO22)), "0"), "")</f>
        <v/>
      </c>
      <c r="DP22" s="395">
        <f t="array" ref="DP22">IFERROR(IF(AND(INDEX($E$8:$CE$57, MATCH($C22, $C$8:$C$57, 0), (COLUMNS($DC22:DP22)-1)*5 + 1) = INDEX($E$5:$CE$5, 1, (COLUMNS($DC22:DP22)-1)*5 + 1), INDEX($E$8:$CE$57, MATCH($C22, $C$8:$C$57, 0), (COLUMNS($DC22:DP22)-1)*5 + 4) = "F"), INDEX($CZ$8:$CZ$23, COLUMNS($DC22:DP22)), "0"), "")</f>
        <v/>
      </c>
      <c r="DQ22" s="395">
        <f t="array" ref="DQ22">IFERROR(IF(AND(INDEX($E$8:$CE$57, MATCH($C22, $C$8:$C$57, 0), (COLUMNS($DC22:DQ22)-1)*5 + 1) = INDEX($E$5:$CE$5, 1, (COLUMNS($DC22:DQ22)-1)*5 + 1), INDEX($E$8:$CE$57, MATCH($C22, $C$8:$C$57, 0), (COLUMNS($DC22:DQ22)-1)*5 + 4) = "F"), INDEX($CZ$8:$CZ$23, COLUMNS($DC22:DQ22)), "0"), "")</f>
        <v/>
      </c>
      <c r="DR22" s="395">
        <f t="array" ref="DR22">IFERROR(IF(AND(INDEX($E$8:$CE$57, MATCH($C22, $C$8:$C$57, 0), (COLUMNS($DC22:DR22)-1)*5 + 1) = INDEX($E$5:$CE$5, 1, (COLUMNS($DC22:DR22)-1)*5 + 1), INDEX($E$8:$CE$57, MATCH($C22, $C$8:$C$57, 0), (COLUMNS($DC22:DR22)-1)*5 + 4) = "F"), INDEX($CZ$8:$CZ$23, COLUMNS($DC22:DR22)), "0"), "")</f>
        <v/>
      </c>
      <c r="DT22" s="605">
        <f>SEMANA2[[#This Row],[COD]]</f>
        <v/>
      </c>
      <c r="DU22" s="395">
        <f t="array" ref="DU22">IFERROR(IF(AND(INDEX($E$8:$CE$57, MATCH($C22, $C$8:$C$57, 0), (COLUMNS($DU22:DU22)-1)*5 + 1) = INDEX($E$5:$CE$5, 1, (COLUMNS($DU22:DU22)-1)*5 + 1), INDEX($E$8:$CE$57, MATCH($C22, $C$8:$C$57, 0), (COLUMNS($DU22:DU22)-1)*5 + 4) = "SF"), INDEX($CZ$8:$CZ$23, COLUMNS($DU22:DU22)), "0"), "")</f>
        <v/>
      </c>
      <c r="DV22" s="395">
        <f t="array" ref="DV22">IFERROR(IF(AND(INDEX($E$8:$CE$57, MATCH($C22, $C$8:$C$57, 0), (COLUMNS($DU22:DV22)-1)*5 + 1) = INDEX($E$5:$CE$5, 1, (COLUMNS($DU22:DV22)-1)*5 + 1), INDEX($E$8:$CE$57, MATCH($C22, $C$8:$C$57, 0), (COLUMNS($DU22:DV22)-1)*5 + 4) = "SF"), INDEX($CZ$8:$CZ$23, COLUMNS($DU22:DV22)), "0"), "")</f>
        <v/>
      </c>
      <c r="DW22" s="395">
        <f t="array" ref="DW22">IFERROR(IF(AND(INDEX($E$8:$CE$57, MATCH($C22, $C$8:$C$57, 0), (COLUMNS($DU22:DW22)-1)*5 + 1) = INDEX($E$5:$CE$5, 1, (COLUMNS($DU22:DW22)-1)*5 + 1), INDEX($E$8:$CE$57, MATCH($C22, $C$8:$C$57, 0), (COLUMNS($DU22:DW22)-1)*5 + 4) = "SF"), INDEX($CZ$8:$CZ$23, COLUMNS($DU22:DW22)), "0"), "")</f>
        <v/>
      </c>
      <c r="DX22" s="395">
        <f t="array" ref="DX22">IFERROR(IF(AND(INDEX($E$8:$CE$57, MATCH($C22, $C$8:$C$57, 0), (COLUMNS($DU22:DX22)-1)*5 + 1) = INDEX($E$5:$CE$5, 1, (COLUMNS($DU22:DX22)-1)*5 + 1), INDEX($E$8:$CE$57, MATCH($C22, $C$8:$C$57, 0), (COLUMNS($DU22:DX22)-1)*5 + 4) = "SF"), INDEX($CZ$8:$CZ$23, COLUMNS($DU22:DX22)), "0"), "")</f>
        <v/>
      </c>
      <c r="DY22" s="395">
        <f t="array" ref="DY22">IFERROR(IF(AND(INDEX($E$8:$CE$57, MATCH($C22, $C$8:$C$57, 0), (COLUMNS($DU22:DY22)-1)*5 + 1) = INDEX($E$5:$CE$5, 1, (COLUMNS($DU22:DY22)-1)*5 + 1), INDEX($E$8:$CE$57, MATCH($C22, $C$8:$C$57, 0), (COLUMNS($DU22:DY22)-1)*5 + 4) = "SF"), INDEX($CZ$8:$CZ$23, COLUMNS($DU22:DY22)), "0"), "")</f>
        <v/>
      </c>
      <c r="DZ22" s="395">
        <f t="array" ref="DZ22">IFERROR(IF(AND(INDEX($E$8:$CE$57, MATCH($C22, $C$8:$C$57, 0), (COLUMNS($DU22:DZ22)-1)*5 + 1) = INDEX($E$5:$CE$5, 1, (COLUMNS($DU22:DZ22)-1)*5 + 1), INDEX($E$8:$CE$57, MATCH($C22, $C$8:$C$57, 0), (COLUMNS($DU22:DZ22)-1)*5 + 4) = "SF"), INDEX($CZ$8:$CZ$23, COLUMNS($DU22:DZ22)), "0"), "")</f>
        <v/>
      </c>
      <c r="EA22" s="395">
        <f t="array" ref="EA22">IFERROR(IF(AND(INDEX($E$8:$CE$57, MATCH($C22, $C$8:$C$57, 0), (COLUMNS($DU22:EA22)-1)*5 + 1) = INDEX($E$5:$CE$5, 1, (COLUMNS($DU22:EA22)-1)*5 + 1), INDEX($E$8:$CE$57, MATCH($C22, $C$8:$C$57, 0), (COLUMNS($DU22:EA22)-1)*5 + 4) = "SF"), INDEX($CZ$8:$CZ$23, COLUMNS($DU22:EA22)), "0"), "")</f>
        <v/>
      </c>
      <c r="EB22" s="395">
        <f t="array" ref="EB22">IFERROR(IF(AND(INDEX($E$8:$CE$57, MATCH($C22, $C$8:$C$57, 0), (COLUMNS($DU22:EB22)-1)*5 + 1) = INDEX($E$5:$CE$5, 1, (COLUMNS($DU22:EB22)-1)*5 + 1), INDEX($E$8:$CE$57, MATCH($C22, $C$8:$C$57, 0), (COLUMNS($DU22:EB22)-1)*5 + 4) = "SF"), INDEX($CZ$8:$CZ$23, COLUMNS($DU22:EB22)), "0"), "")</f>
        <v/>
      </c>
      <c r="EC22" s="395">
        <f t="array" ref="EC22">IFERROR(IF(AND(INDEX($E$8:$CE$57, MATCH($C22, $C$8:$C$57, 0), (COLUMNS($DU22:EC22)-1)*5 + 1) = INDEX($E$5:$CE$5, 1, (COLUMNS($DU22:EC22)-1)*5 + 1), INDEX($E$8:$CE$57, MATCH($C22, $C$8:$C$57, 0), (COLUMNS($DU22:EC22)-1)*5 + 4) = "SF"), INDEX($CZ$8:$CZ$23, COLUMNS($DU22:EC22)), "0"), "")</f>
        <v/>
      </c>
      <c r="ED22" s="395">
        <f t="array" ref="ED22">IFERROR(IF(AND(INDEX($E$8:$CE$57, MATCH($C22, $C$8:$C$57, 0), (COLUMNS($DU22:ED22)-1)*5 + 1) = INDEX($E$5:$CE$5, 1, (COLUMNS($DU22:ED22)-1)*5 + 1), INDEX($E$8:$CE$57, MATCH($C22, $C$8:$C$57, 0), (COLUMNS($DU22:ED22)-1)*5 + 4) = "SF"), INDEX($CZ$8:$CZ$23, COLUMNS($DU22:ED22)), "0"), "")</f>
        <v/>
      </c>
      <c r="EE22" s="395">
        <f t="array" ref="EE22">IFERROR(IF(AND(INDEX($E$8:$CE$57, MATCH($C22, $C$8:$C$57, 0), (COLUMNS($DU22:EE22)-1)*5 + 1) = INDEX($E$5:$CE$5, 1, (COLUMNS($DU22:EE22)-1)*5 + 1), INDEX($E$8:$CE$57, MATCH($C22, $C$8:$C$57, 0), (COLUMNS($DU22:EE22)-1)*5 + 4) = "SF"), INDEX($CZ$8:$CZ$23, COLUMNS($DU22:EE22)), "0"), "")</f>
        <v/>
      </c>
      <c r="EF22" s="395">
        <f t="array" ref="EF22">IFERROR(IF(AND(INDEX($E$8:$CE$57, MATCH($C22, $C$8:$C$57, 0), (COLUMNS($DU22:EF22)-1)*5 + 1) = INDEX($E$5:$CE$5, 1, (COLUMNS($DU22:EF22)-1)*5 + 1), INDEX($E$8:$CE$57, MATCH($C22, $C$8:$C$57, 0), (COLUMNS($DU22:EF22)-1)*5 + 4) = "SF"), INDEX($CZ$8:$CZ$23, COLUMNS($DU22:EF22)), "0"), "")</f>
        <v/>
      </c>
      <c r="EG22" s="395">
        <f t="array" ref="EG22">IFERROR(IF(AND(INDEX($E$8:$CE$57, MATCH($C22, $C$8:$C$57, 0), (COLUMNS($DU22:EG22)-1)*5 + 1) = INDEX($E$5:$CE$5, 1, (COLUMNS($DU22:EG22)-1)*5 + 1), INDEX($E$8:$CE$57, MATCH($C22, $C$8:$C$57, 0), (COLUMNS($DU22:EG22)-1)*5 + 4) = "SF"), INDEX($CZ$8:$CZ$23, COLUMNS($DU22:EG22)), "0"), "")</f>
        <v/>
      </c>
      <c r="EH22" s="395">
        <f t="array" ref="EH22">IFERROR(IF(AND(INDEX($E$8:$CE$57, MATCH($C22, $C$8:$C$57, 0), (COLUMNS($DU22:EH22)-1)*5 + 1) = INDEX($E$5:$CE$5, 1, (COLUMNS($DU22:EH22)-1)*5 + 1), INDEX($E$8:$CE$57, MATCH($C22, $C$8:$C$57, 0), (COLUMNS($DU22:EH22)-1)*5 + 4) = "SF"), INDEX($CZ$8:$CZ$23, COLUMNS($DU22:EH22)), "0"), "")</f>
        <v/>
      </c>
      <c r="EI22" s="395">
        <f t="array" ref="EI22">IFERROR(IF(AND(INDEX($E$8:$CE$57, MATCH($C22, $C$8:$C$57, 0), (COLUMNS($DU22:EI22)-1)*5 + 1) = INDEX($E$5:$CE$5, 1, (COLUMNS($DU22:EI22)-1)*5 + 1), INDEX($E$8:$CE$57, MATCH($C22, $C$8:$C$57, 0), (COLUMNS($DU22:EI22)-1)*5 + 4) = "SF"), INDEX($CZ$8:$CZ$23, COLUMNS($DU22:EI22)), "0"), "")</f>
        <v/>
      </c>
      <c r="EJ22" s="395">
        <f t="array" ref="EJ22">IFERROR(IF(AND(INDEX($E$8:$CE$57, MATCH($C22, $C$8:$C$57, 0), (COLUMNS($DU22:EJ22)-1)*5 + 1) = INDEX($E$5:$CE$5, 1, (COLUMNS($DU22:EJ22)-1)*5 + 1), INDEX($E$8:$CE$57, MATCH($C22, $C$8:$C$57, 0), (COLUMNS($DU22:EJ22)-1)*5 + 4) = "SF"), INDEX($CZ$8:$CZ$23, COLUMNS($DU22:EJ22)), "0"), "")</f>
        <v/>
      </c>
    </row>
    <row r="23" ht="20.1" customHeight="1" s="568">
      <c r="A23" s="576" t="n"/>
      <c r="B23" s="449">
        <f>IF(SEMANA2[[#This Row],[COD]]&lt;&gt;"",B22+1,"")</f>
        <v/>
      </c>
      <c r="C23" s="622" t="inlineStr">
        <is>
          <t>COD 16</t>
        </is>
      </c>
      <c r="D23" s="415">
        <f t="array" ref="D23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3" s="416" t="n">
        <v>9</v>
      </c>
      <c r="F23" s="418" t="n">
        <v>2</v>
      </c>
      <c r="G23" s="418" t="n">
        <v>4</v>
      </c>
      <c r="H23" s="418" t="n"/>
      <c r="I23" s="602">
        <f>SUM(IF(E23=E$5,4,0),IF(E23&amp;F23=E$5&amp;F$5,1,0),
IF(AND(E23=E$5,F$6&gt;=$D$115),1,0),
IF(AND(F23=E$5,F$6&gt;=$D$115),1,0),
IF(AND(G23=E$5,F$6&gt;=$D$115),1,0),
IF(E23&amp;H23=I$5,1,0),
IF(F23=E$5,2,0),
IF(G23=E$5,1,0),
IF(OR(E23&amp;F23&amp;G23=E$5&amp;F$5&amp;G$5,E23&amp;F23&amp;G23=E$5&amp;G$5&amp;F$5,E23&amp;F23&amp;G23=F$5&amp;E$5&amp;G$5,E23&amp;F23&amp;G23=F$5&amp;G$5&amp;E$5,E23&amp;F23&amp;G23=G$5&amp;E$5&amp;F$5,E23&amp;F23&amp;G23=G$5&amp;F$5&amp;E$5),2,0),IF(AND(E23=E$5,F$6&gt;=$D$129),1,0),IF(AND(F23=E$5,F$6&gt;=$D$129),1,0),IF(AND(G23=E$5,F$6&gt;=$D$129),1,0),IF(E23&amp;H23=H$5,4,0),IF(AND(E23=E$5,F$6&lt;=$D$104),-0.5,0),IF(AND(F23=E$5,F$6&lt;=$D$104),-0.5,0),IF(AND(G23=E$5,F$6&lt;=$D$104),-0.5,0))</f>
        <v/>
      </c>
      <c r="J23" s="416" t="n">
        <v>1</v>
      </c>
      <c r="K23" s="418" t="n">
        <v>2</v>
      </c>
      <c r="L23" s="418" t="n">
        <v>7</v>
      </c>
      <c r="M23" s="418" t="n"/>
      <c r="N23" s="602">
        <f>SUM(IF(J23=J$5,4,0),IF(J23&amp;K23=J$5&amp;K$5,1,0),
IF(AND(J23=J$5,K$6&gt;=$D$115),1,0),
IF(AND(K23=J$5,K$6&gt;=$D$115),1,0),
IF(AND(L23=J$5,K$6&gt;=$D$115),1,0),
IF(J23&amp;M23=N$5,1,0),
IF(K23=J$5,2,0),
IF(L23=J$5,1,0),
IF(OR(J23&amp;K23&amp;L23=J$5&amp;K$5&amp;L$5,J23&amp;K23&amp;L23=J$5&amp;L$5&amp;K$5,J23&amp;K23&amp;L23=K$5&amp;J$5&amp;L$5,J23&amp;K23&amp;L23=K$5&amp;L$5&amp;J$5,J23&amp;K23&amp;L23=L$5&amp;J$5&amp;K$5,J23&amp;K23&amp;L23=L$5&amp;K$5&amp;J$5),2,0),IF(AND(J23=J$5,K$6&gt;=$D$129),1,0),IF(AND(K23=J$5,K$6&gt;=$D$129),1,0),IF(AND(L23=J$5,K$6&gt;=$D$129),1,0),IF(J23&amp;M23=M$5,4,0),IF(AND(J23=J$5,K$6&lt;=$D$104),-0.5,0),IF(AND(K23=J$5,K$6&lt;=$D$104),-0.5,0),IF(AND(L23=J$5,K$6&lt;=$D$104),-0.5,0))</f>
        <v/>
      </c>
      <c r="O23" s="416" t="n">
        <v>5</v>
      </c>
      <c r="P23" s="418" t="n">
        <v>8</v>
      </c>
      <c r="Q23" s="418" t="n">
        <v>1</v>
      </c>
      <c r="R23" s="418" t="n"/>
      <c r="S23" s="602">
        <f>SUM(IF(O23=O$5,4,0),IF(O23&amp;P23=O$5&amp;P$5,1,0),
IF(AND(O23=O$5,P$6&gt;=$D$115),1,0),
IF(AND(P23=O$5,P$6&gt;=$D$115),1,0),
IF(AND(Q23=O$5,P$6&gt;=$D$115),1,0),
IF(O23&amp;R23=S$5,1,0),
IF(P23=O$5,2,0),
IF(Q23=O$5,1,0),
IF(OR(O23&amp;P23&amp;Q23=O$5&amp;P$5&amp;Q$5,O23&amp;P23&amp;Q23=O$5&amp;Q$5&amp;P$5,O23&amp;P23&amp;Q23=P$5&amp;O$5&amp;Q$5,O23&amp;P23&amp;Q23=P$5&amp;Q$5&amp;O$5,O23&amp;P23&amp;Q23=Q$5&amp;O$5&amp;P$5,O23&amp;P23&amp;Q23=Q$5&amp;P$5&amp;O$5),2,0),IF(AND(O23=O$5,P$6&gt;=$D$129),1,0),IF(AND(P23=O$5,P$6&gt;=$D$129),1,0),IF(AND(Q23=O$5,P$6&gt;=$D$129),1,0),IF(O23&amp;R23=R$5,4,0),IF(AND(O23=O$5,P$6&lt;=$D$104),-0.5,0),IF(AND(P23=O$5,P$6&lt;=$D$104),-0.5,0),IF(AND(Q23=O$5,P$6&lt;=$D$104),-0.5,0))</f>
        <v/>
      </c>
      <c r="T23" s="416" t="n">
        <v>3</v>
      </c>
      <c r="U23" s="418" t="n">
        <v>5</v>
      </c>
      <c r="V23" s="418" t="n">
        <v>4</v>
      </c>
      <c r="W23" s="418" t="n"/>
      <c r="X23" s="602">
        <f>SUM(IF(T23=T$5,4,0),IF(T23&amp;U23=T$5&amp;U$5,1,0),
IF(AND(T23=T$5,U$6&gt;=$D$115),1,0),
IF(AND(U23=T$5,U$6&gt;=$D$115),1,0),
IF(AND(V23=T$5,U$6&gt;=$D$115),1,0),
IF(T23&amp;W23=X$5,1,0),
IF(U23=T$5,2,0),
IF(V23=T$5,1,0),
IF(OR(T23&amp;U23&amp;V23=T$5&amp;U$5&amp;V$5,T23&amp;U23&amp;V23=T$5&amp;V$5&amp;U$5,T23&amp;U23&amp;V23=U$5&amp;T$5&amp;V$5,T23&amp;U23&amp;V23=U$5&amp;V$5&amp;T$5,T23&amp;U23&amp;V23=V$5&amp;T$5&amp;U$5,T23&amp;U23&amp;V23=V$5&amp;U$5&amp;T$5),2,0),IF(AND(T23=T$5,U$6&gt;=$D$129),1,0),IF(AND(U23=T$5,U$6&gt;=$D$129),1,0),IF(AND(V23=T$5,U$6&gt;=$D$129),1,0),IF(T23&amp;W23=W$5,4,0),IF(AND(T23=T$5,U$6&lt;=$D$104),-0.5,0),IF(AND(U23=T$5,U$6&lt;=$D$104),-0.5,0),IF(AND(V23=T$5,U$6&lt;=$D$104),-0.5,0))</f>
        <v/>
      </c>
      <c r="Y23" s="416" t="n">
        <v>2</v>
      </c>
      <c r="Z23" s="418" t="n">
        <v>1</v>
      </c>
      <c r="AA23" s="418" t="n">
        <v>4</v>
      </c>
      <c r="AB23" s="418" t="n"/>
      <c r="AC23" s="602">
        <f>SUM(IF(Y23=Y$5,4,0),IF(Y23&amp;Z23=Y$5&amp;Z$5,1,0),
IF(AND(Y23=Y$5,Z$6&gt;=$D$115),1,0),
IF(AND(Z23=Y$5,Z$6&gt;=$D$115),1,0),
IF(AND(AA23=Y$5,Z$6&gt;=$D$115),1,0),
IF(Y23&amp;AB23=AC$5,1,0),
IF(Z23=Y$5,2,0),
IF(AA23=Y$5,1,0),
IF(OR(Y23&amp;Z23&amp;AA23=Y$5&amp;Z$5&amp;AA$5,Y23&amp;Z23&amp;AA23=Y$5&amp;AA$5&amp;Z$5,Y23&amp;Z23&amp;AA23=Z$5&amp;Y$5&amp;AA$5,Y23&amp;Z23&amp;AA23=Z$5&amp;AA$5&amp;Y$5,Y23&amp;Z23&amp;AA23=AA$5&amp;Y$5&amp;Z$5,Y23&amp;Z23&amp;AA23=AA$5&amp;Z$5&amp;Y$5),2,0),IF(AND(Y23=Y$5,Z$6&gt;=$D$129),1,0),IF(AND(Z23=Y$5,Z$6&gt;=$D$129),1,0),IF(AND(AA23=Y$5,Z$6&gt;=$D$129),1,0),IF(Y23&amp;AB23=AB$5,4,0),IF(AND(Y23=Y$5,Z$6&lt;=$D$104),-0.5,0),IF(AND(Z23=Y$5,Z$6&lt;=$D$104),-0.5,0),IF(AND(AA23=Y$5,Z$6&lt;=$D$104),-0.5,0))</f>
        <v/>
      </c>
      <c r="AD23" s="416" t="n">
        <v>5</v>
      </c>
      <c r="AE23" s="418" t="n">
        <v>4</v>
      </c>
      <c r="AF23" s="418" t="n">
        <v>10</v>
      </c>
      <c r="AG23" s="418" t="n"/>
      <c r="AH23" s="602">
        <f>SUM(IF(AD23=AD$5,4,0),IF(AD23&amp;AE23=AD$5&amp;AE$5,1,0),
IF(AND(AD23=AD$5,AE$6&gt;=$D$115),1,0),
IF(AND(AE23=AD$5,AE$6&gt;=$D$115),1,0),
IF(AND(AF23=AD$5,AE$6&gt;=$D$115),1,0),
IF(AD23&amp;AG23=AH$5,1,0),
IF(AE23=AD$5,2,0),
IF(AF23=AD$5,1,0),
IF(OR(AD23&amp;AE23&amp;AF23=AD$5&amp;AE$5&amp;AF$5,AD23&amp;AE23&amp;AF23=AD$5&amp;AF$5&amp;AE$5,AD23&amp;AE23&amp;AF23=AE$5&amp;AD$5&amp;AF$5,AD23&amp;AE23&amp;AF23=AE$5&amp;AF$5&amp;AD$5,AD23&amp;AE23&amp;AF23=AF$5&amp;AD$5&amp;AE$5,AD23&amp;AE23&amp;AF23=AF$5&amp;AE$5&amp;AD$5),2,0),IF(AND(AD23=AD$5,AE$6&gt;=$D$129),1,0),IF(AND(AE23=AD$5,AE$6&gt;=$D$129),1,0),IF(AND(AF23=AD$5,AE$6&gt;=$D$129),1,0),IF(AD23&amp;AG23=AG$5,4,0),IF(AND(AD23=AD$5,AE$6&lt;=$D$104),-0.5,0),IF(AND(AE23=AD$5,AE$6&lt;=$D$104),-0.5,0),IF(AND(AF23=AD$5,AE$6&lt;=$D$104),-0.5,0))</f>
        <v/>
      </c>
      <c r="AI23" s="416" t="n">
        <v>7</v>
      </c>
      <c r="AJ23" s="418" t="n">
        <v>6</v>
      </c>
      <c r="AK23" s="418" t="n">
        <v>9</v>
      </c>
      <c r="AL23" s="418" t="inlineStr">
        <is>
          <t>F</t>
        </is>
      </c>
      <c r="AM23" s="602">
        <f>SUM(IF(AI23=AI$5,4,0),IF(AI23&amp;AJ23=AI$5&amp;AJ$5,1,0),
IF(AND(AI23=AI$5,AJ$6&gt;=$D$115),1,0),
IF(AND(AJ23=AI$5,AJ$6&gt;=$D$115),1,0),
IF(AND(AK23=AI$5,AJ$6&gt;=$D$115),1,0),
IF(AI23&amp;AL23=AM$5,1,0),
IF(AJ23=AI$5,2,0),
IF(AK23=AI$5,1,0),
IF(OR(AI23&amp;AJ23&amp;AK23=AI$5&amp;AJ$5&amp;AK$5,AI23&amp;AJ23&amp;AK23=AI$5&amp;AK$5&amp;AJ$5,AI23&amp;AJ23&amp;AK23=AJ$5&amp;AI$5&amp;AK$5,AI23&amp;AJ23&amp;AK23=AJ$5&amp;AK$5&amp;AI$5,AI23&amp;AJ23&amp;AK23=AK$5&amp;AI$5&amp;AJ$5,AI23&amp;AJ23&amp;AK23=AK$5&amp;AJ$5&amp;AI$5),2,0),IF(AND(AI23=AI$5,AJ$6&gt;=$D$129),1,0),IF(AND(AJ23=AI$5,AJ$6&gt;=$D$129),1,0),IF(AND(AK23=AI$5,AJ$6&gt;=$D$129),1,0),IF(AI23&amp;AL23=AL$5,4,0),IF(AND(AI23=AI$5,AJ$6&lt;=$D$104),-0.5,0),IF(AND(AJ23=AI$5,AJ$6&lt;=$D$104),-0.5,0),IF(AND(AK23=AI$5,AJ$6&lt;=$D$104),-0.5,0))</f>
        <v/>
      </c>
      <c r="AN23" s="416" t="n">
        <v>8</v>
      </c>
      <c r="AO23" s="418" t="n"/>
      <c r="AP23" s="418" t="n"/>
      <c r="AQ23" s="418" t="inlineStr">
        <is>
          <t>SF</t>
        </is>
      </c>
      <c r="AR23" s="602">
        <f>SUM(IF(AN23=AN$5,4,0),IF(AN23&amp;AO23=AN$5&amp;AO$5,1,0),
IF(AND(AN23=AN$5,AO$6&gt;=$D$115),1,0),
IF(AND(AO23=AN$5,AO$6&gt;=$D$115),1,0),
IF(AND(AP23=AN$5,AO$6&gt;=$D$115),1,0),
IF(AN23&amp;AQ23=AR$5,1,0),
IF(AO23=AN$5,2,0),
IF(AP23=AN$5,1,0),
IF(OR(AN23&amp;AO23&amp;AP23=AN$5&amp;AO$5&amp;AP$5,AN23&amp;AO23&amp;AP23=AN$5&amp;AP$5&amp;AO$5,AN23&amp;AO23&amp;AP23=AO$5&amp;AN$5&amp;AP$5,AN23&amp;AO23&amp;AP23=AO$5&amp;AP$5&amp;AN$5,AN23&amp;AO23&amp;AP23=AP$5&amp;AN$5&amp;AO$5,AN23&amp;AO23&amp;AP23=AP$5&amp;AO$5&amp;AN$5),2,0),IF(AND(AN23=AN$5,AO$6&gt;=$D$129),1,0),IF(AND(AO23=AN$5,AO$6&gt;=$D$129),1,0),IF(AND(AP23=AN$5,AO$6&gt;=$D$129),1,0),IF(AN23&amp;AQ23=AQ$5,4,0),IF(AND(AN23=AN$5,AO$6&lt;=$D$104),-0.5,0),IF(AND(AO23=AN$5,AO$6&lt;=$D$104),-0.5,0),IF(AND(AP23=AN$5,AO$6&lt;=$D$104),-0.5,0))</f>
        <v/>
      </c>
      <c r="AS23" s="416" t="n">
        <v>10</v>
      </c>
      <c r="AT23" s="418" t="n">
        <v>1</v>
      </c>
      <c r="AU23" s="418" t="n">
        <v>2</v>
      </c>
      <c r="AV23" s="418" t="n"/>
      <c r="AW23" s="602">
        <f>SUM(IF(AS23=AS$5,4,0),IF(AS23&amp;AT23=AS$5&amp;AT$5,1,0),
IF(AND(AS23=AS$5,AT$6&gt;=$D$115),1,0),
IF(AND(AT23=AS$5,AT$6&gt;=$D$115),1,0),
IF(AND(AU23=AS$5,AT$6&gt;=$D$115),1,0),
IF(AS23&amp;AV23=AW$5,1,0),
IF(AT23=AS$5,2,0),
IF(AU23=AS$5,1,0),
IF(OR(AS23&amp;AT23&amp;AU23=AS$5&amp;AT$5&amp;AU$5,AS23&amp;AT23&amp;AU23=AS$5&amp;AU$5&amp;AT$5,AS23&amp;AT23&amp;AU23=AT$5&amp;AS$5&amp;AU$5,AS23&amp;AT23&amp;AU23=AT$5&amp;AU$5&amp;AS$5,AS23&amp;AT23&amp;AU23=AU$5&amp;AS$5&amp;AT$5,AS23&amp;AT23&amp;AU23=AU$5&amp;AT$5&amp;AS$5),2,0),IF(AND(AS23=AS$5,AT$6&gt;=$D$129),1,0),IF(AND(AT23=AS$5,AT$6&gt;=$D$129),1,0),IF(AND(AU23=AS$5,AT$6&gt;=$D$129),1,0),IF(AS23&amp;AV23=AV$5,4,0),IF(AND(AS23=AS$5,AT$6&lt;=$D$104),-0.5,0),IF(AND(AT23=AS$5,AT$6&lt;=$D$104),-0.5,0),IF(AND(AU23=AS$5,AT$6&lt;=$D$104),-0.5,0))</f>
        <v/>
      </c>
      <c r="AX23" s="416" t="n">
        <v>2</v>
      </c>
      <c r="AY23" s="418" t="n">
        <v>10</v>
      </c>
      <c r="AZ23" s="418" t="n">
        <v>1</v>
      </c>
      <c r="BA23" s="418" t="n"/>
      <c r="BB23" s="602">
        <f>SUM(IF(AX23=AX$5,4,0),IF(AX23&amp;AY23=AX$5&amp;AY$5,1,0),
IF(AND(AX23=AX$5,AY$6&gt;=$D$115),1,0),
IF(AND(AY23=AX$5,AY$6&gt;=$D$115),1,0),
IF(AND(AZ23=AX$5,AY$6&gt;=$D$115),1,0),
IF(AX23&amp;BA23=BB$5,1,0),
IF(AY23=AX$5,2,0),
IF(AZ23=AX$5,1,0),
IF(OR(AX23&amp;AY23&amp;AZ23=AX$5&amp;AY$5&amp;AZ$5,AX23&amp;AY23&amp;AZ23=AX$5&amp;AZ$5&amp;AY$5,AX23&amp;AY23&amp;AZ23=AY$5&amp;AX$5&amp;AZ$5,AX23&amp;AY23&amp;AZ23=AY$5&amp;AZ$5&amp;AX$5,AX23&amp;AY23&amp;AZ23=AZ$5&amp;AX$5&amp;AY$5,AX23&amp;AY23&amp;AZ23=AZ$5&amp;AY$5&amp;AX$5),2,0),IF(AND(AX23=AX$5,AY$6&gt;=$D$129),1,0),IF(AND(AY23=AX$5,AY$6&gt;=$D$129),1,0),IF(AND(AZ23=AX$5,AY$6&gt;=$D$129),1,0),IF(AX23&amp;BA23=BA$5,4,0),IF(AND(AX23=AX$5,AY$6&lt;=$D$104),-0.5,0),IF(AND(AY23=AX$5,AY$6&lt;=$D$104),-0.5,0),IF(AND(AZ23=AX$5,AY$6&lt;=$D$104),-0.5,0))</f>
        <v/>
      </c>
      <c r="BC23" s="416" t="n">
        <v>7</v>
      </c>
      <c r="BD23" s="418" t="n">
        <v>5</v>
      </c>
      <c r="BE23" s="418" t="n">
        <v>3</v>
      </c>
      <c r="BF23" s="418" t="inlineStr">
        <is>
          <t>F</t>
        </is>
      </c>
      <c r="BG23" s="602">
        <f>SUM(IF(BC23=BC$5,4,0),IF(BC23&amp;BD23=BC$5&amp;BD$5,1,0),
IF(AND(BC23=BC$5,BD$6&gt;=$D$115),1,0),
IF(AND(BD23=BC$5,BD$6&gt;=$D$115),1,0),
IF(AND(BE23=BC$5,BD$6&gt;=$D$115),1,0),
IF(BC23&amp;BF23=BG$5,1,0),
IF(BD23=BC$5,2,0),
IF(BE23=BC$5,1,0),
IF(OR(BC23&amp;BD23&amp;BE23=BC$5&amp;BD$5&amp;BE$5,BC23&amp;BD23&amp;BE23=BC$5&amp;BE$5&amp;BD$5,BC23&amp;BD23&amp;BE23=BD$5&amp;BC$5&amp;BE$5,BC23&amp;BD23&amp;BE23=BD$5&amp;BE$5&amp;BC$5,BC23&amp;BD23&amp;BE23=BE$5&amp;BC$5&amp;BD$5,BC23&amp;BD23&amp;BE23=BE$5&amp;BD$5&amp;BC$5),2,0),IF(AND(BC23=BC$5,BD$6&gt;=$D$129),1,0),IF(AND(BD23=BC$5,BD$6&gt;=$D$129),1,0),IF(AND(BE23=BC$5,BD$6&gt;=$D$129),1,0),IF(BC23&amp;BF23=BF$5,4,0),IF(AND(BC23=BC$5,BD$6&lt;=$D$104),-0.5,0),IF(AND(BD23=BC$5,BD$6&lt;=$D$104),-0.5,0),IF(AND(BE23=BC$5,BD$6&lt;=$D$104),-0.5,0))</f>
        <v/>
      </c>
      <c r="BH23" s="416" t="n">
        <v>1</v>
      </c>
      <c r="BI23" s="418" t="n">
        <v>6</v>
      </c>
      <c r="BJ23" s="418" t="n">
        <v>2</v>
      </c>
      <c r="BK23" s="418" t="n"/>
      <c r="BL23" s="602">
        <f>SUM(IF(BH23=BH$5,4,0),IF(BH23&amp;BI23=BH$5&amp;BI$5,1,0),
IF(AND(BH23=BH$5,BI$6&gt;=$D$115),1,0),
IF(AND(BI23=BH$5,BI$6&gt;=$D$115),1,0),
IF(AND(BJ23=BH$5,BI$6&gt;=$D$115),1,0),
IF(BH23&amp;BK23=BL$5,1,0),
IF(BI23=BH$5,2,0),
IF(BJ23=BH$5,1,0),
IF(OR(BH23&amp;BI23&amp;BJ23=BH$5&amp;BI$5&amp;BJ$5,BH23&amp;BI23&amp;BJ23=BH$5&amp;BJ$5&amp;BI$5,BH23&amp;BI23&amp;BJ23=BI$5&amp;BH$5&amp;BJ$5,BH23&amp;BI23&amp;BJ23=BI$5&amp;BJ$5&amp;BH$5,BH23&amp;BI23&amp;BJ23=BJ$5&amp;BH$5&amp;BI$5,BH23&amp;BI23&amp;BJ23=BJ$5&amp;BI$5&amp;BH$5),2,0),IF(AND(BH23=BH$5,BI$6&gt;=$D$129),1,0),IF(AND(BI23=BH$5,BI$6&gt;=$D$129),1,0),IF(AND(BJ23=BH$5,BI$6&gt;=$D$129),1,0),IF(BH23&amp;BK23=BK$5,4,0),IF(AND(BH23=BH$5,BI$6&lt;=$D$104),-0.5,0),IF(AND(BI23=BH$5,BI$6&lt;=$D$104),-0.5,0),IF(AND(BJ23=BH$5,BI$6&lt;=$D$104),-0.5,0))</f>
        <v/>
      </c>
      <c r="BM23" s="416" t="n">
        <v>4</v>
      </c>
      <c r="BN23" s="418" t="n">
        <v>1</v>
      </c>
      <c r="BO23" s="418" t="n">
        <v>9</v>
      </c>
      <c r="BP23" s="418" t="n"/>
      <c r="BQ23" s="602">
        <f>SUM(IF(BM23=BM$5,4,0),IF(BM23&amp;BN23=BM$5&amp;BN$5,1,0),
IF(AND(BM23=BM$5,BN$6&gt;=$D$115),1,0),
IF(AND(BN23=BM$5,BN$6&gt;=$D$115),1,0),
IF(AND(BO23=BM$5,BN$6&gt;=$D$115),1,0),
IF(BM23&amp;BP23=BQ$5,1,0),
IF(BN23=BM$5,2,0),
IF(BO23=BM$5,1,0),
IF(OR(BM23&amp;BN23&amp;BO23=BM$5&amp;BN$5&amp;BO$5,BM23&amp;BN23&amp;BO23=BM$5&amp;BO$5&amp;BN$5,BM23&amp;BN23&amp;BO23=BN$5&amp;BM$5&amp;BO$5,BM23&amp;BN23&amp;BO23=BN$5&amp;BO$5&amp;BM$5,BM23&amp;BN23&amp;BO23=BO$5&amp;BM$5&amp;BN$5,BM23&amp;BN23&amp;BO23=BO$5&amp;BN$5&amp;BM$5),2,0),IF(AND(BM23=BM$5,BN$6&gt;=$D$129),1,0),IF(AND(BN23=BM$5,BN$6&gt;=$D$129),1,0),IF(AND(BO23=BM$5,BN$6&gt;=$D$129),1,0),IF(BM23&amp;BP23=BP$5,4,0),IF(AND(BM23=BM$5,BN$6&lt;=$D$104),-0.5,0),IF(AND(BN23=BM$5,BN$6&lt;=$D$104),-0.5,0),IF(AND(BO23=BM$5,BN$6&lt;=$D$104),-0.5,0))</f>
        <v/>
      </c>
      <c r="BR23" s="416" t="n">
        <v>11</v>
      </c>
      <c r="BS23" s="418" t="n">
        <v>2</v>
      </c>
      <c r="BT23" s="418" t="n">
        <v>1</v>
      </c>
      <c r="BU23" s="418" t="n"/>
      <c r="BV23" s="602">
        <f>SUM(IF(BR23=BR$5,4,0),IF(BR23&amp;BS23=BR$5&amp;BS$5,1,0),
IF(AND(BR23=BR$5,BS$6&gt;=$D$115),1,0),
IF(AND(BS23=BR$5,BS$6&gt;=$D$115),1,0),
IF(AND(BT23=BR$5,BS$6&gt;=$D$115),1,0),
IF(BR23&amp;BU23=BV$5,1,0),
IF(BS23=BR$5,2,0),
IF(BT23=BR$5,1,0),
IF(OR(BR23&amp;BS23&amp;BT23=BR$5&amp;BS$5&amp;BT$5,BR23&amp;BS23&amp;BT23=BR$5&amp;BT$5&amp;BS$5,BR23&amp;BS23&amp;BT23=BS$5&amp;BR$5&amp;BT$5,BR23&amp;BS23&amp;BT23=BS$5&amp;BT$5&amp;BR$5,BR23&amp;BS23&amp;BT23=BT$5&amp;BR$5&amp;BS$5,BR23&amp;BS23&amp;BT23=BT$5&amp;BS$5&amp;BR$5),2,0),IF(AND(BR23=BR$5,BS$6&gt;=$D$129),1,0),IF(AND(BS23=BR$5,BS$6&gt;=$D$129),1,0),IF(AND(BT23=BR$5,BS$6&gt;=$D$129),1,0),IF(BR23&amp;BU23=BU$5,4,0),IF(AND(BR23=BR$5,BS$6&lt;=$D$104),-0.5,0),IF(AND(BS23=BR$5,BS$6&lt;=$D$104),-0.5,0),IF(AND(BT23=BR$5,BS$6&lt;=$D$104),-0.5,0))</f>
        <v/>
      </c>
      <c r="BW23" s="416" t="n"/>
      <c r="BX23" s="418" t="n"/>
      <c r="BY23" s="418" t="n"/>
      <c r="BZ23" s="418" t="n"/>
      <c r="CA23" s="602">
        <f>SUM(IF(BW23=BW$5,4,0),IF(BW23&amp;BX23=BW$5&amp;BX$5,1,0),
IF(AND(BW23=BW$5,BX$6&gt;=$D$115),1,0),
IF(AND(BX23=BW$5,BX$6&gt;=$D$115),1,0),
IF(AND(BY23=BW$5,BX$6&gt;=$D$115),1,0),
IF(BW23&amp;BZ23=CA$5,1,0),
IF(BX23=BW$5,2,0),
IF(BY23=BW$5,1,0),
IF(OR(BW23&amp;BX23&amp;BY23=BW$5&amp;BX$5&amp;BY$5,BW23&amp;BX23&amp;BY23=BW$5&amp;BY$5&amp;BX$5,BW23&amp;BX23&amp;BY23=BX$5&amp;BW$5&amp;BY$5,BW23&amp;BX23&amp;BY23=BX$5&amp;BY$5&amp;BW$5,BW23&amp;BX23&amp;BY23=BY$5&amp;BW$5&amp;BX$5,BW23&amp;BX23&amp;BY23=BY$5&amp;BX$5&amp;BW$5),2,0),IF(AND(BW23=BW$5,BX$6&gt;=$D$129),1,0),IF(AND(BX23=BW$5,BX$6&gt;=$D$129),1,0),IF(AND(BY23=BW$5,BX$6&gt;=$D$129),1,0),IF(BW23&amp;BZ23=BZ$5,4,0),IF(AND(BW23=BW$5,BX$6&lt;=$D$104),-0.5,0),IF(AND(BX23=BW$5,BX$6&lt;=$D$104),-0.5,0),IF(AND(BY23=BW$5,BX$6&lt;=$D$104),-0.5,0))</f>
        <v/>
      </c>
      <c r="CB23" s="416" t="n"/>
      <c r="CC23" s="418" t="n"/>
      <c r="CD23" s="418" t="n"/>
      <c r="CE23" s="418" t="n"/>
      <c r="CF23" s="602">
        <f>SUM(IF(CB23=CB$5,4,0),IF(CB23&amp;CC23=CB$5&amp;CC$5,1,0),
IF(AND(CB23=CB$5,CC$6&gt;=$D$115),1,0),
IF(AND(CC23=CB$5,CC$6&gt;=$D$115),1,0),
IF(AND(CD23=CB$5,CC$6&gt;=$D$115),1,0),
IF(CB23&amp;CE23=CF$5,1,0),
IF(CC23=CB$5,2,0),
IF(CD23=CB$5,1,0),
IF(OR(CB23&amp;CC23&amp;CD23=CB$5&amp;CC$5&amp;CD$5,CB23&amp;CC23&amp;CD23=CB$5&amp;CD$5&amp;CC$5,CB23&amp;CC23&amp;CD23=CC$5&amp;CB$5&amp;CD$5,CB23&amp;CC23&amp;CD23=CC$5&amp;CD$5&amp;CB$5,CB23&amp;CC23&amp;CD23=CD$5&amp;CB$5&amp;CC$5,CB23&amp;CC23&amp;CD23=CD$5&amp;CC$5&amp;CB$5),2,0),IF(AND(CB23=CB$5,CC$6&gt;=$D$129),1,0),IF(AND(CC23=CB$5,CC$6&gt;=$D$129),1,0),IF(AND(CD23=CB$5,CC$6&gt;=$D$129),1,0),IF(CB23&amp;CE23=CE$5,4,0),IF(AND(CB23=CB$5,CC$6&lt;=$D$104),-0.5,0),IF(AND(CC23=CB$5,CC$6&lt;=$D$104),-0.5,0),IF(AND(CD23=CB$5,CC$6&lt;=$D$104),-0.5,0))</f>
        <v/>
      </c>
      <c r="CG23" s="164">
        <f>IF(SEMANA2[[#This Row],[1]]="",0,$B$4)</f>
        <v/>
      </c>
      <c r="CH23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3" s="166">
        <f>IF(SEMANA2[[#This Row],[Columna14]]=0,0,(CH23/CG23))</f>
        <v/>
      </c>
      <c r="CJ23" s="165">
        <f>IF(SEMANA2[[#This Row],[1]]="",0,$B$4)</f>
        <v/>
      </c>
      <c r="CK23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3" s="166">
        <f>IF(SEMANA2[[#This Row],[Columna14]]=0,0,(CK23/CJ23))</f>
        <v/>
      </c>
      <c r="CM23" s="164">
        <f>IF(SEMANA2[[#This Row],[1]]="",0,$B$4)</f>
        <v/>
      </c>
      <c r="CN23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3" s="166">
        <f>IF(SEMANA2[[#This Row],[Columna14]]=0,0,(CN23/CM23))</f>
        <v/>
      </c>
      <c r="CP23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3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Row],[Columna25]],$AX$5,BA23,"SF")+COUNTIFS(SEMANA2[[#This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3" s="166">
        <f>IFERROR(IF(SEMANA2[[#This Row],[Columna14]]=0,0,(CQ23/CP23)),0)</f>
        <v/>
      </c>
      <c r="CS23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3" s="95">
        <f>_xlfn.XLOOKUP(SEMANA2[[#This Row],[COD]],BASE01[COD],BASE01[Columna33])</f>
        <v/>
      </c>
      <c r="CU23" s="604">
        <f>SUM(CS23,CT23)</f>
        <v/>
      </c>
      <c r="CV23" s="450">
        <f>IF(SEMANA2[[#This Row],[TIPO]]="PREMIO",$O$3,"0,00")</f>
        <v/>
      </c>
      <c r="CW23" s="576" t="n"/>
      <c r="CY23" s="393" t="n">
        <v>16</v>
      </c>
      <c r="CZ23" s="354">
        <f>CC$6</f>
        <v/>
      </c>
      <c r="DB23" s="605">
        <f>SEMANA2[[#This Row],[COD]]</f>
        <v/>
      </c>
      <c r="DC23" s="395">
        <f t="array" ref="DC23">IFERROR(IF(AND(INDEX($E$8:$CE$57, MATCH($C23, $C$8:$C$57, 0), (COLUMNS($DC23:DC23)-1)*5 + 1) = INDEX($E$5:$CE$5, 1, (COLUMNS($DC23:DC23)-1)*5 + 1), INDEX($E$8:$CE$57, MATCH($C23, $C$8:$C$57, 0), (COLUMNS($DC23:DC23)-1)*5 + 4) = "F"), INDEX($CZ$8:$CZ$23, COLUMNS($DC23:DC23)), "0"), "")</f>
        <v/>
      </c>
      <c r="DD23" s="395">
        <f t="array" ref="DD23">IFERROR(IF(AND(INDEX($E$8:$CE$57, MATCH($C23, $C$8:$C$57, 0), (COLUMNS($DC23:DD23)-1)*5 + 1) = INDEX($E$5:$CE$5, 1, (COLUMNS($DC23:DD23)-1)*5 + 1), INDEX($E$8:$CE$57, MATCH($C23, $C$8:$C$57, 0), (COLUMNS($DC23:DD23)-1)*5 + 4) = "F"), INDEX($CZ$8:$CZ$23, COLUMNS($DC23:DD23)), "0"), "")</f>
        <v/>
      </c>
      <c r="DE23" s="395">
        <f t="array" ref="DE23">IFERROR(IF(AND(INDEX($E$8:$CE$57, MATCH($C23, $C$8:$C$57, 0), (COLUMNS($DC23:DE23)-1)*5 + 1) = INDEX($E$5:$CE$5, 1, (COLUMNS($DC23:DE23)-1)*5 + 1), INDEX($E$8:$CE$57, MATCH($C23, $C$8:$C$57, 0), (COLUMNS($DC23:DE23)-1)*5 + 4) = "F"), INDEX($CZ$8:$CZ$23, COLUMNS($DC23:DE23)), "0"), "")</f>
        <v/>
      </c>
      <c r="DF23" s="395">
        <f t="array" ref="DF23">IFERROR(IF(AND(INDEX($E$8:$CE$57, MATCH($C23, $C$8:$C$57, 0), (COLUMNS($DC23:DF23)-1)*5 + 1) = INDEX($E$5:$CE$5, 1, (COLUMNS($DC23:DF23)-1)*5 + 1), INDEX($E$8:$CE$57, MATCH($C23, $C$8:$C$57, 0), (COLUMNS($DC23:DF23)-1)*5 + 4) = "F"), INDEX($CZ$8:$CZ$23, COLUMNS($DC23:DF23)), "0"), "")</f>
        <v/>
      </c>
      <c r="DG23" s="395">
        <f t="array" ref="DG23">IFERROR(IF(AND(INDEX($E$8:$CE$57, MATCH($C23, $C$8:$C$57, 0), (COLUMNS($DC23:DG23)-1)*5 + 1) = INDEX($E$5:$CE$5, 1, (COLUMNS($DC23:DG23)-1)*5 + 1), INDEX($E$8:$CE$57, MATCH($C23, $C$8:$C$57, 0), (COLUMNS($DC23:DG23)-1)*5 + 4) = "F"), INDEX($CZ$8:$CZ$23, COLUMNS($DC23:DG23)), "0"), "")</f>
        <v/>
      </c>
      <c r="DH23" s="395">
        <f t="array" ref="DH23">IFERROR(IF(AND(INDEX($E$8:$CE$57, MATCH($C23, $C$8:$C$57, 0), (COLUMNS($DC23:DH23)-1)*5 + 1) = INDEX($E$5:$CE$5, 1, (COLUMNS($DC23:DH23)-1)*5 + 1), INDEX($E$8:$CE$57, MATCH($C23, $C$8:$C$57, 0), (COLUMNS($DC23:DH23)-1)*5 + 4) = "F"), INDEX($CZ$8:$CZ$23, COLUMNS($DC23:DH23)), "0"), "")</f>
        <v/>
      </c>
      <c r="DI23" s="395">
        <f t="array" ref="DI23">IFERROR(IF(AND(INDEX($E$8:$CE$57, MATCH($C23, $C$8:$C$57, 0), (COLUMNS($DC23:DI23)-1)*5 + 1) = INDEX($E$5:$CE$5, 1, (COLUMNS($DC23:DI23)-1)*5 + 1), INDEX($E$8:$CE$57, MATCH($C23, $C$8:$C$57, 0), (COLUMNS($DC23:DI23)-1)*5 + 4) = "F"), INDEX($CZ$8:$CZ$23, COLUMNS($DC23:DI23)), "0"), "")</f>
        <v/>
      </c>
      <c r="DJ23" s="395">
        <f t="array" ref="DJ23">IFERROR(IF(AND(INDEX($E$8:$CE$57, MATCH($C23, $C$8:$C$57, 0), (COLUMNS($DC23:DJ23)-1)*5 + 1) = INDEX($E$5:$CE$5, 1, (COLUMNS($DC23:DJ23)-1)*5 + 1), INDEX($E$8:$CE$57, MATCH($C23, $C$8:$C$57, 0), (COLUMNS($DC23:DJ23)-1)*5 + 4) = "F"), INDEX($CZ$8:$CZ$23, COLUMNS($DC23:DJ23)), "0"), "")</f>
        <v/>
      </c>
      <c r="DK23" s="395">
        <f t="array" ref="DK23">IFERROR(IF(AND(INDEX($E$8:$CE$57, MATCH($C23, $C$8:$C$57, 0), (COLUMNS($DC23:DK23)-1)*5 + 1) = INDEX($E$5:$CE$5, 1, (COLUMNS($DC23:DK23)-1)*5 + 1), INDEX($E$8:$CE$57, MATCH($C23, $C$8:$C$57, 0), (COLUMNS($DC23:DK23)-1)*5 + 4) = "F"), INDEX($CZ$8:$CZ$23, COLUMNS($DC23:DK23)), "0"), "")</f>
        <v/>
      </c>
      <c r="DL23" s="395">
        <f t="array" ref="DL23">IFERROR(IF(AND(INDEX($E$8:$CE$57, MATCH($C23, $C$8:$C$57, 0), (COLUMNS($DC23:DL23)-1)*5 + 1) = INDEX($E$5:$CE$5, 1, (COLUMNS($DC23:DL23)-1)*5 + 1), INDEX($E$8:$CE$57, MATCH($C23, $C$8:$C$57, 0), (COLUMNS($DC23:DL23)-1)*5 + 4) = "F"), INDEX($CZ$8:$CZ$23, COLUMNS($DC23:DL23)), "0"), "")</f>
        <v/>
      </c>
      <c r="DM23" s="395">
        <f t="array" ref="DM23">IFERROR(IF(AND(INDEX($E$8:$CE$57, MATCH($C23, $C$8:$C$57, 0), (COLUMNS($DC23:DM23)-1)*5 + 1) = INDEX($E$5:$CE$5, 1, (COLUMNS($DC23:DM23)-1)*5 + 1), INDEX($E$8:$CE$57, MATCH($C23, $C$8:$C$57, 0), (COLUMNS($DC23:DM23)-1)*5 + 4) = "F"), INDEX($CZ$8:$CZ$23, COLUMNS($DC23:DM23)), "0"), "")</f>
        <v/>
      </c>
      <c r="DN23" s="395">
        <f t="array" ref="DN23">IFERROR(IF(AND(INDEX($E$8:$CE$57, MATCH($C23, $C$8:$C$57, 0), (COLUMNS($DC23:DN23)-1)*5 + 1) = INDEX($E$5:$CE$5, 1, (COLUMNS($DC23:DN23)-1)*5 + 1), INDEX($E$8:$CE$57, MATCH($C23, $C$8:$C$57, 0), (COLUMNS($DC23:DN23)-1)*5 + 4) = "F"), INDEX($CZ$8:$CZ$23, COLUMNS($DC23:DN23)), "0"), "")</f>
        <v/>
      </c>
      <c r="DO23" s="395">
        <f t="array" ref="DO23">IFERROR(IF(AND(INDEX($E$8:$CE$57, MATCH($C23, $C$8:$C$57, 0), (COLUMNS($DC23:DO23)-1)*5 + 1) = INDEX($E$5:$CE$5, 1, (COLUMNS($DC23:DO23)-1)*5 + 1), INDEX($E$8:$CE$57, MATCH($C23, $C$8:$C$57, 0), (COLUMNS($DC23:DO23)-1)*5 + 4) = "F"), INDEX($CZ$8:$CZ$23, COLUMNS($DC23:DO23)), "0"), "")</f>
        <v/>
      </c>
      <c r="DP23" s="395">
        <f t="array" ref="DP23">IFERROR(IF(AND(INDEX($E$8:$CE$57, MATCH($C23, $C$8:$C$57, 0), (COLUMNS($DC23:DP23)-1)*5 + 1) = INDEX($E$5:$CE$5, 1, (COLUMNS($DC23:DP23)-1)*5 + 1), INDEX($E$8:$CE$57, MATCH($C23, $C$8:$C$57, 0), (COLUMNS($DC23:DP23)-1)*5 + 4) = "F"), INDEX($CZ$8:$CZ$23, COLUMNS($DC23:DP23)), "0"), "")</f>
        <v/>
      </c>
      <c r="DQ23" s="395">
        <f t="array" ref="DQ23">IFERROR(IF(AND(INDEX($E$8:$CE$57, MATCH($C23, $C$8:$C$57, 0), (COLUMNS($DC23:DQ23)-1)*5 + 1) = INDEX($E$5:$CE$5, 1, (COLUMNS($DC23:DQ23)-1)*5 + 1), INDEX($E$8:$CE$57, MATCH($C23, $C$8:$C$57, 0), (COLUMNS($DC23:DQ23)-1)*5 + 4) = "F"), INDEX($CZ$8:$CZ$23, COLUMNS($DC23:DQ23)), "0"), "")</f>
        <v/>
      </c>
      <c r="DR23" s="395">
        <f t="array" ref="DR23">IFERROR(IF(AND(INDEX($E$8:$CE$57, MATCH($C23, $C$8:$C$57, 0), (COLUMNS($DC23:DR23)-1)*5 + 1) = INDEX($E$5:$CE$5, 1, (COLUMNS($DC23:DR23)-1)*5 + 1), INDEX($E$8:$CE$57, MATCH($C23, $C$8:$C$57, 0), (COLUMNS($DC23:DR23)-1)*5 + 4) = "F"), INDEX($CZ$8:$CZ$23, COLUMNS($DC23:DR23)), "0"), "")</f>
        <v/>
      </c>
      <c r="DT23" s="605">
        <f>SEMANA2[[#This Row],[COD]]</f>
        <v/>
      </c>
      <c r="DU23" s="395">
        <f t="array" ref="DU23">IFERROR(IF(AND(INDEX($E$8:$CE$57, MATCH($C23, $C$8:$C$57, 0), (COLUMNS($DU23:DU23)-1)*5 + 1) = INDEX($E$5:$CE$5, 1, (COLUMNS($DU23:DU23)-1)*5 + 1), INDEX($E$8:$CE$57, MATCH($C23, $C$8:$C$57, 0), (COLUMNS($DU23:DU23)-1)*5 + 4) = "SF"), INDEX($CZ$8:$CZ$23, COLUMNS($DU23:DU23)), "0"), "")</f>
        <v/>
      </c>
      <c r="DV23" s="395">
        <f t="array" ref="DV23">IFERROR(IF(AND(INDEX($E$8:$CE$57, MATCH($C23, $C$8:$C$57, 0), (COLUMNS($DU23:DV23)-1)*5 + 1) = INDEX($E$5:$CE$5, 1, (COLUMNS($DU23:DV23)-1)*5 + 1), INDEX($E$8:$CE$57, MATCH($C23, $C$8:$C$57, 0), (COLUMNS($DU23:DV23)-1)*5 + 4) = "SF"), INDEX($CZ$8:$CZ$23, COLUMNS($DU23:DV23)), "0"), "")</f>
        <v/>
      </c>
      <c r="DW23" s="395">
        <f t="array" ref="DW23">IFERROR(IF(AND(INDEX($E$8:$CE$57, MATCH($C23, $C$8:$C$57, 0), (COLUMNS($DU23:DW23)-1)*5 + 1) = INDEX($E$5:$CE$5, 1, (COLUMNS($DU23:DW23)-1)*5 + 1), INDEX($E$8:$CE$57, MATCH($C23, $C$8:$C$57, 0), (COLUMNS($DU23:DW23)-1)*5 + 4) = "SF"), INDEX($CZ$8:$CZ$23, COLUMNS($DU23:DW23)), "0"), "")</f>
        <v/>
      </c>
      <c r="DX23" s="395">
        <f t="array" ref="DX23">IFERROR(IF(AND(INDEX($E$8:$CE$57, MATCH($C23, $C$8:$C$57, 0), (COLUMNS($DU23:DX23)-1)*5 + 1) = INDEX($E$5:$CE$5, 1, (COLUMNS($DU23:DX23)-1)*5 + 1), INDEX($E$8:$CE$57, MATCH($C23, $C$8:$C$57, 0), (COLUMNS($DU23:DX23)-1)*5 + 4) = "SF"), INDEX($CZ$8:$CZ$23, COLUMNS($DU23:DX23)), "0"), "")</f>
        <v/>
      </c>
      <c r="DY23" s="395">
        <f t="array" ref="DY23">IFERROR(IF(AND(INDEX($E$8:$CE$57, MATCH($C23, $C$8:$C$57, 0), (COLUMNS($DU23:DY23)-1)*5 + 1) = INDEX($E$5:$CE$5, 1, (COLUMNS($DU23:DY23)-1)*5 + 1), INDEX($E$8:$CE$57, MATCH($C23, $C$8:$C$57, 0), (COLUMNS($DU23:DY23)-1)*5 + 4) = "SF"), INDEX($CZ$8:$CZ$23, COLUMNS($DU23:DY23)), "0"), "")</f>
        <v/>
      </c>
      <c r="DZ23" s="395">
        <f t="array" ref="DZ23">IFERROR(IF(AND(INDEX($E$8:$CE$57, MATCH($C23, $C$8:$C$57, 0), (COLUMNS($DU23:DZ23)-1)*5 + 1) = INDEX($E$5:$CE$5, 1, (COLUMNS($DU23:DZ23)-1)*5 + 1), INDEX($E$8:$CE$57, MATCH($C23, $C$8:$C$57, 0), (COLUMNS($DU23:DZ23)-1)*5 + 4) = "SF"), INDEX($CZ$8:$CZ$23, COLUMNS($DU23:DZ23)), "0"), "")</f>
        <v/>
      </c>
      <c r="EA23" s="395">
        <f t="array" ref="EA23">IFERROR(IF(AND(INDEX($E$8:$CE$57, MATCH($C23, $C$8:$C$57, 0), (COLUMNS($DU23:EA23)-1)*5 + 1) = INDEX($E$5:$CE$5, 1, (COLUMNS($DU23:EA23)-1)*5 + 1), INDEX($E$8:$CE$57, MATCH($C23, $C$8:$C$57, 0), (COLUMNS($DU23:EA23)-1)*5 + 4) = "SF"), INDEX($CZ$8:$CZ$23, COLUMNS($DU23:EA23)), "0"), "")</f>
        <v/>
      </c>
      <c r="EB23" s="395">
        <f t="array" ref="EB23">IFERROR(IF(AND(INDEX($E$8:$CE$57, MATCH($C23, $C$8:$C$57, 0), (COLUMNS($DU23:EB23)-1)*5 + 1) = INDEX($E$5:$CE$5, 1, (COLUMNS($DU23:EB23)-1)*5 + 1), INDEX($E$8:$CE$57, MATCH($C23, $C$8:$C$57, 0), (COLUMNS($DU23:EB23)-1)*5 + 4) = "SF"), INDEX($CZ$8:$CZ$23, COLUMNS($DU23:EB23)), "0"), "")</f>
        <v/>
      </c>
      <c r="EC23" s="395">
        <f t="array" ref="EC23">IFERROR(IF(AND(INDEX($E$8:$CE$57, MATCH($C23, $C$8:$C$57, 0), (COLUMNS($DU23:EC23)-1)*5 + 1) = INDEX($E$5:$CE$5, 1, (COLUMNS($DU23:EC23)-1)*5 + 1), INDEX($E$8:$CE$57, MATCH($C23, $C$8:$C$57, 0), (COLUMNS($DU23:EC23)-1)*5 + 4) = "SF"), INDEX($CZ$8:$CZ$23, COLUMNS($DU23:EC23)), "0"), "")</f>
        <v/>
      </c>
      <c r="ED23" s="395">
        <f t="array" ref="ED23">IFERROR(IF(AND(INDEX($E$8:$CE$57, MATCH($C23, $C$8:$C$57, 0), (COLUMNS($DU23:ED23)-1)*5 + 1) = INDEX($E$5:$CE$5, 1, (COLUMNS($DU23:ED23)-1)*5 + 1), INDEX($E$8:$CE$57, MATCH($C23, $C$8:$C$57, 0), (COLUMNS($DU23:ED23)-1)*5 + 4) = "SF"), INDEX($CZ$8:$CZ$23, COLUMNS($DU23:ED23)), "0"), "")</f>
        <v/>
      </c>
      <c r="EE23" s="395">
        <f t="array" ref="EE23">IFERROR(IF(AND(INDEX($E$8:$CE$57, MATCH($C23, $C$8:$C$57, 0), (COLUMNS($DU23:EE23)-1)*5 + 1) = INDEX($E$5:$CE$5, 1, (COLUMNS($DU23:EE23)-1)*5 + 1), INDEX($E$8:$CE$57, MATCH($C23, $C$8:$C$57, 0), (COLUMNS($DU23:EE23)-1)*5 + 4) = "SF"), INDEX($CZ$8:$CZ$23, COLUMNS($DU23:EE23)), "0"), "")</f>
        <v/>
      </c>
      <c r="EF23" s="395">
        <f t="array" ref="EF23">IFERROR(IF(AND(INDEX($E$8:$CE$57, MATCH($C23, $C$8:$C$57, 0), (COLUMNS($DU23:EF23)-1)*5 + 1) = INDEX($E$5:$CE$5, 1, (COLUMNS($DU23:EF23)-1)*5 + 1), INDEX($E$8:$CE$57, MATCH($C23, $C$8:$C$57, 0), (COLUMNS($DU23:EF23)-1)*5 + 4) = "SF"), INDEX($CZ$8:$CZ$23, COLUMNS($DU23:EF23)), "0"), "")</f>
        <v/>
      </c>
      <c r="EG23" s="395">
        <f t="array" ref="EG23">IFERROR(IF(AND(INDEX($E$8:$CE$57, MATCH($C23, $C$8:$C$57, 0), (COLUMNS($DU23:EG23)-1)*5 + 1) = INDEX($E$5:$CE$5, 1, (COLUMNS($DU23:EG23)-1)*5 + 1), INDEX($E$8:$CE$57, MATCH($C23, $C$8:$C$57, 0), (COLUMNS($DU23:EG23)-1)*5 + 4) = "SF"), INDEX($CZ$8:$CZ$23, COLUMNS($DU23:EG23)), "0"), "")</f>
        <v/>
      </c>
      <c r="EH23" s="395">
        <f t="array" ref="EH23">IFERROR(IF(AND(INDEX($E$8:$CE$57, MATCH($C23, $C$8:$C$57, 0), (COLUMNS($DU23:EH23)-1)*5 + 1) = INDEX($E$5:$CE$5, 1, (COLUMNS($DU23:EH23)-1)*5 + 1), INDEX($E$8:$CE$57, MATCH($C23, $C$8:$C$57, 0), (COLUMNS($DU23:EH23)-1)*5 + 4) = "SF"), INDEX($CZ$8:$CZ$23, COLUMNS($DU23:EH23)), "0"), "")</f>
        <v/>
      </c>
      <c r="EI23" s="395">
        <f t="array" ref="EI23">IFERROR(IF(AND(INDEX($E$8:$CE$57, MATCH($C23, $C$8:$C$57, 0), (COLUMNS($DU23:EI23)-1)*5 + 1) = INDEX($E$5:$CE$5, 1, (COLUMNS($DU23:EI23)-1)*5 + 1), INDEX($E$8:$CE$57, MATCH($C23, $C$8:$C$57, 0), (COLUMNS($DU23:EI23)-1)*5 + 4) = "SF"), INDEX($CZ$8:$CZ$23, COLUMNS($DU23:EI23)), "0"), "")</f>
        <v/>
      </c>
      <c r="EJ23" s="395">
        <f t="array" ref="EJ23">IFERROR(IF(AND(INDEX($E$8:$CE$57, MATCH($C23, $C$8:$C$57, 0), (COLUMNS($DU23:EJ23)-1)*5 + 1) = INDEX($E$5:$CE$5, 1, (COLUMNS($DU23:EJ23)-1)*5 + 1), INDEX($E$8:$CE$57, MATCH($C23, $C$8:$C$57, 0), (COLUMNS($DU23:EJ23)-1)*5 + 4) = "SF"), INDEX($CZ$8:$CZ$23, COLUMNS($DU23:EJ23)), "0"), "")</f>
        <v/>
      </c>
    </row>
    <row r="24" ht="20.1" customHeight="1" s="568">
      <c r="A24" s="576" t="n"/>
      <c r="B24" s="449">
        <f>IF(SEMANA2[[#This Row],[COD]]&lt;&gt;"",B23+1,"")</f>
        <v/>
      </c>
      <c r="C24" s="622" t="inlineStr">
        <is>
          <t>COD 17</t>
        </is>
      </c>
      <c r="D24" s="415">
        <f t="array" ref="D24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4" s="416" t="n">
        <v>6</v>
      </c>
      <c r="F24" s="418" t="n">
        <v>9</v>
      </c>
      <c r="G24" s="418" t="n">
        <v>4</v>
      </c>
      <c r="H24" s="418" t="n"/>
      <c r="I24" s="602">
        <f>SUM(IF(E24=E$5,4,0),IF(E24&amp;F24=E$5&amp;F$5,1,0),
IF(AND(E24=E$5,F$6&gt;=$D$115),1,0),
IF(AND(F24=E$5,F$6&gt;=$D$115),1,0),
IF(AND(G24=E$5,F$6&gt;=$D$115),1,0),
IF(E24&amp;H24=I$5,1,0),
IF(F24=E$5,2,0),
IF(G24=E$5,1,0),
IF(OR(E24&amp;F24&amp;G24=E$5&amp;F$5&amp;G$5,E24&amp;F24&amp;G24=E$5&amp;G$5&amp;F$5,E24&amp;F24&amp;G24=F$5&amp;E$5&amp;G$5,E24&amp;F24&amp;G24=F$5&amp;G$5&amp;E$5,E24&amp;F24&amp;G24=G$5&amp;E$5&amp;F$5,E24&amp;F24&amp;G24=G$5&amp;F$5&amp;E$5),2,0),IF(AND(E24=E$5,F$6&gt;=$D$129),1,0),IF(AND(F24=E$5,F$6&gt;=$D$129),1,0),IF(AND(G24=E$5,F$6&gt;=$D$129),1,0),IF(E24&amp;H24=H$5,4,0),IF(AND(E24=E$5,F$6&lt;=$D$104),-0.5,0),IF(AND(F24=E$5,F$6&lt;=$D$104),-0.5,0),IF(AND(G24=E$5,F$6&lt;=$D$104),-0.5,0))</f>
        <v/>
      </c>
      <c r="J24" s="416" t="n">
        <v>1</v>
      </c>
      <c r="K24" s="418" t="n"/>
      <c r="L24" s="418" t="n"/>
      <c r="M24" s="418" t="inlineStr">
        <is>
          <t>SF</t>
        </is>
      </c>
      <c r="N24" s="602">
        <f>SUM(IF(J24=J$5,4,0),IF(J24&amp;K24=J$5&amp;K$5,1,0),
IF(AND(J24=J$5,K$6&gt;=$D$115),1,0),
IF(AND(K24=J$5,K$6&gt;=$D$115),1,0),
IF(AND(L24=J$5,K$6&gt;=$D$115),1,0),
IF(J24&amp;M24=N$5,1,0),
IF(K24=J$5,2,0),
IF(L24=J$5,1,0),
IF(OR(J24&amp;K24&amp;L24=J$5&amp;K$5&amp;L$5,J24&amp;K24&amp;L24=J$5&amp;L$5&amp;K$5,J24&amp;K24&amp;L24=K$5&amp;J$5&amp;L$5,J24&amp;K24&amp;L24=K$5&amp;L$5&amp;J$5,J24&amp;K24&amp;L24=L$5&amp;J$5&amp;K$5,J24&amp;K24&amp;L24=L$5&amp;K$5&amp;J$5),2,0),IF(AND(J24=J$5,K$6&gt;=$D$129),1,0),IF(AND(K24=J$5,K$6&gt;=$D$129),1,0),IF(AND(L24=J$5,K$6&gt;=$D$129),1,0),IF(J24&amp;M24=M$5,4,0),IF(AND(J24=J$5,K$6&lt;=$D$104),-0.5,0),IF(AND(K24=J$5,K$6&lt;=$D$104),-0.5,0),IF(AND(L24=J$5,K$6&lt;=$D$104),-0.5,0))</f>
        <v/>
      </c>
      <c r="O24" s="416" t="n">
        <v>1</v>
      </c>
      <c r="P24" s="418" t="n">
        <v>5</v>
      </c>
      <c r="Q24" s="418" t="n">
        <v>10</v>
      </c>
      <c r="R24" s="418" t="n"/>
      <c r="S24" s="602">
        <f>SUM(IF(O24=O$5,4,0),IF(O24&amp;P24=O$5&amp;P$5,1,0),
IF(AND(O24=O$5,P$6&gt;=$D$115),1,0),
IF(AND(P24=O$5,P$6&gt;=$D$115),1,0),
IF(AND(Q24=O$5,P$6&gt;=$D$115),1,0),
IF(O24&amp;R24=S$5,1,0),
IF(P24=O$5,2,0),
IF(Q24=O$5,1,0),
IF(OR(O24&amp;P24&amp;Q24=O$5&amp;P$5&amp;Q$5,O24&amp;P24&amp;Q24=O$5&amp;Q$5&amp;P$5,O24&amp;P24&amp;Q24=P$5&amp;O$5&amp;Q$5,O24&amp;P24&amp;Q24=P$5&amp;Q$5&amp;O$5,O24&amp;P24&amp;Q24=Q$5&amp;O$5&amp;P$5,O24&amp;P24&amp;Q24=Q$5&amp;P$5&amp;O$5),2,0),IF(AND(O24=O$5,P$6&gt;=$D$129),1,0),IF(AND(P24=O$5,P$6&gt;=$D$129),1,0),IF(AND(Q24=O$5,P$6&gt;=$D$129),1,0),IF(O24&amp;R24=R$5,4,0),IF(AND(O24=O$5,P$6&lt;=$D$104),-0.5,0),IF(AND(P24=O$5,P$6&lt;=$D$104),-0.5,0),IF(AND(Q24=O$5,P$6&lt;=$D$104),-0.5,0))</f>
        <v/>
      </c>
      <c r="T24" s="416" t="n">
        <v>5</v>
      </c>
      <c r="U24" s="418" t="n">
        <v>3</v>
      </c>
      <c r="V24" s="418" t="n">
        <v>4</v>
      </c>
      <c r="W24" s="418" t="n"/>
      <c r="X24" s="602">
        <f>SUM(IF(T24=T$5,4,0),IF(T24&amp;U24=T$5&amp;U$5,1,0),
IF(AND(T24=T$5,U$6&gt;=$D$115),1,0),
IF(AND(U24=T$5,U$6&gt;=$D$115),1,0),
IF(AND(V24=T$5,U$6&gt;=$D$115),1,0),
IF(T24&amp;W24=X$5,1,0),
IF(U24=T$5,2,0),
IF(V24=T$5,1,0),
IF(OR(T24&amp;U24&amp;V24=T$5&amp;U$5&amp;V$5,T24&amp;U24&amp;V24=T$5&amp;V$5&amp;U$5,T24&amp;U24&amp;V24=U$5&amp;T$5&amp;V$5,T24&amp;U24&amp;V24=U$5&amp;V$5&amp;T$5,T24&amp;U24&amp;V24=V$5&amp;T$5&amp;U$5,T24&amp;U24&amp;V24=V$5&amp;U$5&amp;T$5),2,0),IF(AND(T24=T$5,U$6&gt;=$D$129),1,0),IF(AND(U24=T$5,U$6&gt;=$D$129),1,0),IF(AND(V24=T$5,U$6&gt;=$D$129),1,0),IF(T24&amp;W24=W$5,4,0),IF(AND(T24=T$5,U$6&lt;=$D$104),-0.5,0),IF(AND(U24=T$5,U$6&lt;=$D$104),-0.5,0),IF(AND(V24=T$5,U$6&lt;=$D$104),-0.5,0))</f>
        <v/>
      </c>
      <c r="Y24" s="416" t="n">
        <v>1</v>
      </c>
      <c r="Z24" s="418" t="n">
        <v>2</v>
      </c>
      <c r="AA24" s="418" t="n">
        <v>5</v>
      </c>
      <c r="AB24" s="418" t="n"/>
      <c r="AC24" s="602">
        <f>SUM(IF(Y24=Y$5,4,0),IF(Y24&amp;Z24=Y$5&amp;Z$5,1,0),
IF(AND(Y24=Y$5,Z$6&gt;=$D$115),1,0),
IF(AND(Z24=Y$5,Z$6&gt;=$D$115),1,0),
IF(AND(AA24=Y$5,Z$6&gt;=$D$115),1,0),
IF(Y24&amp;AB24=AC$5,1,0),
IF(Z24=Y$5,2,0),
IF(AA24=Y$5,1,0),
IF(OR(Y24&amp;Z24&amp;AA24=Y$5&amp;Z$5&amp;AA$5,Y24&amp;Z24&amp;AA24=Y$5&amp;AA$5&amp;Z$5,Y24&amp;Z24&amp;AA24=Z$5&amp;Y$5&amp;AA$5,Y24&amp;Z24&amp;AA24=Z$5&amp;AA$5&amp;Y$5,Y24&amp;Z24&amp;AA24=AA$5&amp;Y$5&amp;Z$5,Y24&amp;Z24&amp;AA24=AA$5&amp;Z$5&amp;Y$5),2,0),IF(AND(Y24=Y$5,Z$6&gt;=$D$129),1,0),IF(AND(Z24=Y$5,Z$6&gt;=$D$129),1,0),IF(AND(AA24=Y$5,Z$6&gt;=$D$129),1,0),IF(Y24&amp;AB24=AB$5,4,0),IF(AND(Y24=Y$5,Z$6&lt;=$D$104),-0.5,0),IF(AND(Z24=Y$5,Z$6&lt;=$D$104),-0.5,0),IF(AND(AA24=Y$5,Z$6&lt;=$D$104),-0.5,0))</f>
        <v/>
      </c>
      <c r="AD24" s="416" t="n">
        <v>4</v>
      </c>
      <c r="AE24" s="418" t="n">
        <v>5</v>
      </c>
      <c r="AF24" s="418" t="n">
        <v>10</v>
      </c>
      <c r="AG24" s="418" t="n"/>
      <c r="AH24" s="602">
        <f>SUM(IF(AD24=AD$5,4,0),IF(AD24&amp;AE24=AD$5&amp;AE$5,1,0),
IF(AND(AD24=AD$5,AE$6&gt;=$D$115),1,0),
IF(AND(AE24=AD$5,AE$6&gt;=$D$115),1,0),
IF(AND(AF24=AD$5,AE$6&gt;=$D$115),1,0),
IF(AD24&amp;AG24=AH$5,1,0),
IF(AE24=AD$5,2,0),
IF(AF24=AD$5,1,0),
IF(OR(AD24&amp;AE24&amp;AF24=AD$5&amp;AE$5&amp;AF$5,AD24&amp;AE24&amp;AF24=AD$5&amp;AF$5&amp;AE$5,AD24&amp;AE24&amp;AF24=AE$5&amp;AD$5&amp;AF$5,AD24&amp;AE24&amp;AF24=AE$5&amp;AF$5&amp;AD$5,AD24&amp;AE24&amp;AF24=AF$5&amp;AD$5&amp;AE$5,AD24&amp;AE24&amp;AF24=AF$5&amp;AE$5&amp;AD$5),2,0),IF(AND(AD24=AD$5,AE$6&gt;=$D$129),1,0),IF(AND(AE24=AD$5,AE$6&gt;=$D$129),1,0),IF(AND(AF24=AD$5,AE$6&gt;=$D$129),1,0),IF(AD24&amp;AG24=AG$5,4,0),IF(AND(AD24=AD$5,AE$6&lt;=$D$104),-0.5,0),IF(AND(AE24=AD$5,AE$6&lt;=$D$104),-0.5,0),IF(AND(AF24=AD$5,AE$6&lt;=$D$104),-0.5,0))</f>
        <v/>
      </c>
      <c r="AI24" s="416" t="n">
        <v>7</v>
      </c>
      <c r="AJ24" s="418" t="n">
        <v>6</v>
      </c>
      <c r="AK24" s="418" t="n">
        <v>2</v>
      </c>
      <c r="AL24" s="418" t="n"/>
      <c r="AM24" s="602">
        <f>SUM(IF(AI24=AI$5,4,0),IF(AI24&amp;AJ24=AI$5&amp;AJ$5,1,0),
IF(AND(AI24=AI$5,AJ$6&gt;=$D$115),1,0),
IF(AND(AJ24=AI$5,AJ$6&gt;=$D$115),1,0),
IF(AND(AK24=AI$5,AJ$6&gt;=$D$115),1,0),
IF(AI24&amp;AL24=AM$5,1,0),
IF(AJ24=AI$5,2,0),
IF(AK24=AI$5,1,0),
IF(OR(AI24&amp;AJ24&amp;AK24=AI$5&amp;AJ$5&amp;AK$5,AI24&amp;AJ24&amp;AK24=AI$5&amp;AK$5&amp;AJ$5,AI24&amp;AJ24&amp;AK24=AJ$5&amp;AI$5&amp;AK$5,AI24&amp;AJ24&amp;AK24=AJ$5&amp;AK$5&amp;AI$5,AI24&amp;AJ24&amp;AK24=AK$5&amp;AI$5&amp;AJ$5,AI24&amp;AJ24&amp;AK24=AK$5&amp;AJ$5&amp;AI$5),2,0),IF(AND(AI24=AI$5,AJ$6&gt;=$D$129),1,0),IF(AND(AJ24=AI$5,AJ$6&gt;=$D$129),1,0),IF(AND(AK24=AI$5,AJ$6&gt;=$D$129),1,0),IF(AI24&amp;AL24=AL$5,4,0),IF(AND(AI24=AI$5,AJ$6&lt;=$D$104),-0.5,0),IF(AND(AJ24=AI$5,AJ$6&lt;=$D$104),-0.5,0),IF(AND(AK24=AI$5,AJ$6&lt;=$D$104),-0.5,0))</f>
        <v/>
      </c>
      <c r="AN24" s="416" t="n">
        <v>8</v>
      </c>
      <c r="AO24" s="418" t="n">
        <v>2</v>
      </c>
      <c r="AP24" s="418" t="n">
        <v>1</v>
      </c>
      <c r="AQ24" s="418" t="inlineStr">
        <is>
          <t>F</t>
        </is>
      </c>
      <c r="AR24" s="602">
        <f>SUM(IF(AN24=AN$5,4,0),IF(AN24&amp;AO24=AN$5&amp;AO$5,1,0),
IF(AND(AN24=AN$5,AO$6&gt;=$D$115),1,0),
IF(AND(AO24=AN$5,AO$6&gt;=$D$115),1,0),
IF(AND(AP24=AN$5,AO$6&gt;=$D$115),1,0),
IF(AN24&amp;AQ24=AR$5,1,0),
IF(AO24=AN$5,2,0),
IF(AP24=AN$5,1,0),
IF(OR(AN24&amp;AO24&amp;AP24=AN$5&amp;AO$5&amp;AP$5,AN24&amp;AO24&amp;AP24=AN$5&amp;AP$5&amp;AO$5,AN24&amp;AO24&amp;AP24=AO$5&amp;AN$5&amp;AP$5,AN24&amp;AO24&amp;AP24=AO$5&amp;AP$5&amp;AN$5,AN24&amp;AO24&amp;AP24=AP$5&amp;AN$5&amp;AO$5,AN24&amp;AO24&amp;AP24=AP$5&amp;AO$5&amp;AN$5),2,0),IF(AND(AN24=AN$5,AO$6&gt;=$D$129),1,0),IF(AND(AO24=AN$5,AO$6&gt;=$D$129),1,0),IF(AND(AP24=AN$5,AO$6&gt;=$D$129),1,0),IF(AN24&amp;AQ24=AQ$5,4,0),IF(AND(AN24=AN$5,AO$6&lt;=$D$104),-0.5,0),IF(AND(AO24=AN$5,AO$6&lt;=$D$104),-0.5,0),IF(AND(AP24=AN$5,AO$6&lt;=$D$104),-0.5,0))</f>
        <v/>
      </c>
      <c r="AS24" s="416" t="n">
        <v>1</v>
      </c>
      <c r="AT24" s="418" t="n">
        <v>2</v>
      </c>
      <c r="AU24" s="418" t="n">
        <v>5</v>
      </c>
      <c r="AV24" s="418" t="n"/>
      <c r="AW24" s="602">
        <f>SUM(IF(AS24=AS$5,4,0),IF(AS24&amp;AT24=AS$5&amp;AT$5,1,0),
IF(AND(AS24=AS$5,AT$6&gt;=$D$115),1,0),
IF(AND(AT24=AS$5,AT$6&gt;=$D$115),1,0),
IF(AND(AU24=AS$5,AT$6&gt;=$D$115),1,0),
IF(AS24&amp;AV24=AW$5,1,0),
IF(AT24=AS$5,2,0),
IF(AU24=AS$5,1,0),
IF(OR(AS24&amp;AT24&amp;AU24=AS$5&amp;AT$5&amp;AU$5,AS24&amp;AT24&amp;AU24=AS$5&amp;AU$5&amp;AT$5,AS24&amp;AT24&amp;AU24=AT$5&amp;AS$5&amp;AU$5,AS24&amp;AT24&amp;AU24=AT$5&amp;AU$5&amp;AS$5,AS24&amp;AT24&amp;AU24=AU$5&amp;AS$5&amp;AT$5,AS24&amp;AT24&amp;AU24=AU$5&amp;AT$5&amp;AS$5),2,0),IF(AND(AS24=AS$5,AT$6&gt;=$D$129),1,0),IF(AND(AT24=AS$5,AT$6&gt;=$D$129),1,0),IF(AND(AU24=AS$5,AT$6&gt;=$D$129),1,0),IF(AS24&amp;AV24=AV$5,4,0),IF(AND(AS24=AS$5,AT$6&lt;=$D$104),-0.5,0),IF(AND(AT24=AS$5,AT$6&lt;=$D$104),-0.5,0),IF(AND(AU24=AS$5,AT$6&lt;=$D$104),-0.5,0))</f>
        <v/>
      </c>
      <c r="AX24" s="416" t="n">
        <v>6</v>
      </c>
      <c r="AY24" s="418" t="n">
        <v>10</v>
      </c>
      <c r="AZ24" s="418" t="n">
        <v>1</v>
      </c>
      <c r="BA24" s="418" t="n"/>
      <c r="BB24" s="602">
        <f>SUM(IF(AX24=AX$5,4,0),IF(AX24&amp;AY24=AX$5&amp;AY$5,1,0),
IF(AND(AX24=AX$5,AY$6&gt;=$D$115),1,0),
IF(AND(AY24=AX$5,AY$6&gt;=$D$115),1,0),
IF(AND(AZ24=AX$5,AY$6&gt;=$D$115),1,0),
IF(AX24&amp;BA24=BB$5,1,0),
IF(AY24=AX$5,2,0),
IF(AZ24=AX$5,1,0),
IF(OR(AX24&amp;AY24&amp;AZ24=AX$5&amp;AY$5&amp;AZ$5,AX24&amp;AY24&amp;AZ24=AX$5&amp;AZ$5&amp;AY$5,AX24&amp;AY24&amp;AZ24=AY$5&amp;AX$5&amp;AZ$5,AX24&amp;AY24&amp;AZ24=AY$5&amp;AZ$5&amp;AX$5,AX24&amp;AY24&amp;AZ24=AZ$5&amp;AX$5&amp;AY$5,AX24&amp;AY24&amp;AZ24=AZ$5&amp;AY$5&amp;AX$5),2,0),IF(AND(AX24=AX$5,AY$6&gt;=$D$129),1,0),IF(AND(AY24=AX$5,AY$6&gt;=$D$129),1,0),IF(AND(AZ24=AX$5,AY$6&gt;=$D$129),1,0),IF(AX24&amp;BA24=BA$5,4,0),IF(AND(AX24=AX$5,AY$6&lt;=$D$104),-0.5,0),IF(AND(AY24=AX$5,AY$6&lt;=$D$104),-0.5,0),IF(AND(AZ24=AX$5,AY$6&lt;=$D$104),-0.5,0))</f>
        <v/>
      </c>
      <c r="BC24" s="416" t="n">
        <v>7</v>
      </c>
      <c r="BD24" s="418" t="n">
        <v>5</v>
      </c>
      <c r="BE24" s="418" t="n">
        <v>3</v>
      </c>
      <c r="BF24" s="418" t="inlineStr">
        <is>
          <t>F</t>
        </is>
      </c>
      <c r="BG24" s="602">
        <f>SUM(IF(BC24=BC$5,4,0),IF(BC24&amp;BD24=BC$5&amp;BD$5,1,0),
IF(AND(BC24=BC$5,BD$6&gt;=$D$115),1,0),
IF(AND(BD24=BC$5,BD$6&gt;=$D$115),1,0),
IF(AND(BE24=BC$5,BD$6&gt;=$D$115),1,0),
IF(BC24&amp;BF24=BG$5,1,0),
IF(BD24=BC$5,2,0),
IF(BE24=BC$5,1,0),
IF(OR(BC24&amp;BD24&amp;BE24=BC$5&amp;BD$5&amp;BE$5,BC24&amp;BD24&amp;BE24=BC$5&amp;BE$5&amp;BD$5,BC24&amp;BD24&amp;BE24=BD$5&amp;BC$5&amp;BE$5,BC24&amp;BD24&amp;BE24=BD$5&amp;BE$5&amp;BC$5,BC24&amp;BD24&amp;BE24=BE$5&amp;BC$5&amp;BD$5,BC24&amp;BD24&amp;BE24=BE$5&amp;BD$5&amp;BC$5),2,0),IF(AND(BC24=BC$5,BD$6&gt;=$D$129),1,0),IF(AND(BD24=BC$5,BD$6&gt;=$D$129),1,0),IF(AND(BE24=BC$5,BD$6&gt;=$D$129),1,0),IF(BC24&amp;BF24=BF$5,4,0),IF(AND(BC24=BC$5,BD$6&lt;=$D$104),-0.5,0),IF(AND(BD24=BC$5,BD$6&lt;=$D$104),-0.5,0),IF(AND(BE24=BC$5,BD$6&lt;=$D$104),-0.5,0))</f>
        <v/>
      </c>
      <c r="BH24" s="416" t="n">
        <v>1</v>
      </c>
      <c r="BI24" s="418" t="n">
        <v>6</v>
      </c>
      <c r="BJ24" s="418" t="n">
        <v>2</v>
      </c>
      <c r="BK24" s="418" t="n"/>
      <c r="BL24" s="602">
        <f>SUM(IF(BH24=BH$5,4,0),IF(BH24&amp;BI24=BH$5&amp;BI$5,1,0),
IF(AND(BH24=BH$5,BI$6&gt;=$D$115),1,0),
IF(AND(BI24=BH$5,BI$6&gt;=$D$115),1,0),
IF(AND(BJ24=BH$5,BI$6&gt;=$D$115),1,0),
IF(BH24&amp;BK24=BL$5,1,0),
IF(BI24=BH$5,2,0),
IF(BJ24=BH$5,1,0),
IF(OR(BH24&amp;BI24&amp;BJ24=BH$5&amp;BI$5&amp;BJ$5,BH24&amp;BI24&amp;BJ24=BH$5&amp;BJ$5&amp;BI$5,BH24&amp;BI24&amp;BJ24=BI$5&amp;BH$5&amp;BJ$5,BH24&amp;BI24&amp;BJ24=BI$5&amp;BJ$5&amp;BH$5,BH24&amp;BI24&amp;BJ24=BJ$5&amp;BH$5&amp;BI$5,BH24&amp;BI24&amp;BJ24=BJ$5&amp;BI$5&amp;BH$5),2,0),IF(AND(BH24=BH$5,BI$6&gt;=$D$129),1,0),IF(AND(BI24=BH$5,BI$6&gt;=$D$129),1,0),IF(AND(BJ24=BH$5,BI$6&gt;=$D$129),1,0),IF(BH24&amp;BK24=BK$5,4,0),IF(AND(BH24=BH$5,BI$6&lt;=$D$104),-0.5,0),IF(AND(BI24=BH$5,BI$6&lt;=$D$104),-0.5,0),IF(AND(BJ24=BH$5,BI$6&lt;=$D$104),-0.5,0))</f>
        <v/>
      </c>
      <c r="BM24" s="416" t="n">
        <v>1</v>
      </c>
      <c r="BN24" s="418" t="n">
        <v>3</v>
      </c>
      <c r="BO24" s="418" t="n">
        <v>5</v>
      </c>
      <c r="BP24" s="418" t="n"/>
      <c r="BQ24" s="602">
        <f>SUM(IF(BM24=BM$5,4,0),IF(BM24&amp;BN24=BM$5&amp;BN$5,1,0),
IF(AND(BM24=BM$5,BN$6&gt;=$D$115),1,0),
IF(AND(BN24=BM$5,BN$6&gt;=$D$115),1,0),
IF(AND(BO24=BM$5,BN$6&gt;=$D$115),1,0),
IF(BM24&amp;BP24=BQ$5,1,0),
IF(BN24=BM$5,2,0),
IF(BO24=BM$5,1,0),
IF(OR(BM24&amp;BN24&amp;BO24=BM$5&amp;BN$5&amp;BO$5,BM24&amp;BN24&amp;BO24=BM$5&amp;BO$5&amp;BN$5,BM24&amp;BN24&amp;BO24=BN$5&amp;BM$5&amp;BO$5,BM24&amp;BN24&amp;BO24=BN$5&amp;BO$5&amp;BM$5,BM24&amp;BN24&amp;BO24=BO$5&amp;BM$5&amp;BN$5,BM24&amp;BN24&amp;BO24=BO$5&amp;BN$5&amp;BM$5),2,0),IF(AND(BM24=BM$5,BN$6&gt;=$D$129),1,0),IF(AND(BN24=BM$5,BN$6&gt;=$D$129),1,0),IF(AND(BO24=BM$5,BN$6&gt;=$D$129),1,0),IF(BM24&amp;BP24=BP$5,4,0),IF(AND(BM24=BM$5,BN$6&lt;=$D$104),-0.5,0),IF(AND(BN24=BM$5,BN$6&lt;=$D$104),-0.5,0),IF(AND(BO24=BM$5,BN$6&lt;=$D$104),-0.5,0))</f>
        <v/>
      </c>
      <c r="BR24" s="416" t="n">
        <v>10</v>
      </c>
      <c r="BS24" s="418" t="n">
        <v>5</v>
      </c>
      <c r="BT24" s="418" t="n">
        <v>11</v>
      </c>
      <c r="BU24" s="418" t="n"/>
      <c r="BV24" s="602">
        <f>SUM(IF(BR24=BR$5,4,0),IF(BR24&amp;BS24=BR$5&amp;BS$5,1,0),
IF(AND(BR24=BR$5,BS$6&gt;=$D$115),1,0),
IF(AND(BS24=BR$5,BS$6&gt;=$D$115),1,0),
IF(AND(BT24=BR$5,BS$6&gt;=$D$115),1,0),
IF(BR24&amp;BU24=BV$5,1,0),
IF(BS24=BR$5,2,0),
IF(BT24=BR$5,1,0),
IF(OR(BR24&amp;BS24&amp;BT24=BR$5&amp;BS$5&amp;BT$5,BR24&amp;BS24&amp;BT24=BR$5&amp;BT$5&amp;BS$5,BR24&amp;BS24&amp;BT24=BS$5&amp;BR$5&amp;BT$5,BR24&amp;BS24&amp;BT24=BS$5&amp;BT$5&amp;BR$5,BR24&amp;BS24&amp;BT24=BT$5&amp;BR$5&amp;BS$5,BR24&amp;BS24&amp;BT24=BT$5&amp;BS$5&amp;BR$5),2,0),IF(AND(BR24=BR$5,BS$6&gt;=$D$129),1,0),IF(AND(BS24=BR$5,BS$6&gt;=$D$129),1,0),IF(AND(BT24=BR$5,BS$6&gt;=$D$129),1,0),IF(BR24&amp;BU24=BU$5,4,0),IF(AND(BR24=BR$5,BS$6&lt;=$D$104),-0.5,0),IF(AND(BS24=BR$5,BS$6&lt;=$D$104),-0.5,0),IF(AND(BT24=BR$5,BS$6&lt;=$D$104),-0.5,0))</f>
        <v/>
      </c>
      <c r="BW24" s="416" t="n"/>
      <c r="BX24" s="418" t="n"/>
      <c r="BY24" s="418" t="n"/>
      <c r="BZ24" s="418" t="n"/>
      <c r="CA24" s="602">
        <f>SUM(IF(BW24=BW$5,4,0),IF(BW24&amp;BX24=BW$5&amp;BX$5,1,0),
IF(AND(BW24=BW$5,BX$6&gt;=$D$115),1,0),
IF(AND(BX24=BW$5,BX$6&gt;=$D$115),1,0),
IF(AND(BY24=BW$5,BX$6&gt;=$D$115),1,0),
IF(BW24&amp;BZ24=CA$5,1,0),
IF(BX24=BW$5,2,0),
IF(BY24=BW$5,1,0),
IF(OR(BW24&amp;BX24&amp;BY24=BW$5&amp;BX$5&amp;BY$5,BW24&amp;BX24&amp;BY24=BW$5&amp;BY$5&amp;BX$5,BW24&amp;BX24&amp;BY24=BX$5&amp;BW$5&amp;BY$5,BW24&amp;BX24&amp;BY24=BX$5&amp;BY$5&amp;BW$5,BW24&amp;BX24&amp;BY24=BY$5&amp;BW$5&amp;BX$5,BW24&amp;BX24&amp;BY24=BY$5&amp;BX$5&amp;BW$5),2,0),IF(AND(BW24=BW$5,BX$6&gt;=$D$129),1,0),IF(AND(BX24=BW$5,BX$6&gt;=$D$129),1,0),IF(AND(BY24=BW$5,BX$6&gt;=$D$129),1,0),IF(BW24&amp;BZ24=BZ$5,4,0),IF(AND(BW24=BW$5,BX$6&lt;=$D$104),-0.5,0),IF(AND(BX24=BW$5,BX$6&lt;=$D$104),-0.5,0),IF(AND(BY24=BW$5,BX$6&lt;=$D$104),-0.5,0))</f>
        <v/>
      </c>
      <c r="CB24" s="416" t="n"/>
      <c r="CC24" s="418" t="n"/>
      <c r="CD24" s="418" t="n"/>
      <c r="CE24" s="418" t="n"/>
      <c r="CF24" s="602">
        <f>SUM(IF(CB24=CB$5,4,0),IF(CB24&amp;CC24=CB$5&amp;CC$5,1,0),
IF(AND(CB24=CB$5,CC$6&gt;=$D$115),1,0),
IF(AND(CC24=CB$5,CC$6&gt;=$D$115),1,0),
IF(AND(CD24=CB$5,CC$6&gt;=$D$115),1,0),
IF(CB24&amp;CE24=CF$5,1,0),
IF(CC24=CB$5,2,0),
IF(CD24=CB$5,1,0),
IF(OR(CB24&amp;CC24&amp;CD24=CB$5&amp;CC$5&amp;CD$5,CB24&amp;CC24&amp;CD24=CB$5&amp;CD$5&amp;CC$5,CB24&amp;CC24&amp;CD24=CC$5&amp;CB$5&amp;CD$5,CB24&amp;CC24&amp;CD24=CC$5&amp;CD$5&amp;CB$5,CB24&amp;CC24&amp;CD24=CD$5&amp;CB$5&amp;CC$5,CB24&amp;CC24&amp;CD24=CD$5&amp;CC$5&amp;CB$5),2,0),IF(AND(CB24=CB$5,CC$6&gt;=$D$129),1,0),IF(AND(CC24=CB$5,CC$6&gt;=$D$129),1,0),IF(AND(CD24=CB$5,CC$6&gt;=$D$129),1,0),IF(CB24&amp;CE24=CE$5,4,0),IF(AND(CB24=CB$5,CC$6&lt;=$D$104),-0.5,0),IF(AND(CC24=CB$5,CC$6&lt;=$D$104),-0.5,0),IF(AND(CD24=CB$5,CC$6&lt;=$D$104),-0.5,0))</f>
        <v/>
      </c>
      <c r="CG24" s="164">
        <f>IF(SEMANA2[[#This Row],[1]]="",0,$B$4)</f>
        <v/>
      </c>
      <c r="CH24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4" s="166">
        <f>IF(SEMANA2[[#This Row],[Columna14]]=0,0,(CH24/CG24))</f>
        <v/>
      </c>
      <c r="CJ24" s="165">
        <f>IF(SEMANA2[[#This Row],[1]]="",0,$B$4)</f>
        <v/>
      </c>
      <c r="CK24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4" s="166">
        <f>IF(SEMANA2[[#This Row],[Columna14]]=0,0,(CK24/CJ24))</f>
        <v/>
      </c>
      <c r="CM24" s="164">
        <f>IF(SEMANA2[[#This Row],[1]]="",0,$B$4)</f>
        <v/>
      </c>
      <c r="CN24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4" s="166">
        <f>IF(SEMANA2[[#This Row],[Columna14]]=0,0,(CN24/CM24))</f>
        <v/>
      </c>
      <c r="CP24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4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Row],[Columna25]],$AX$5,BA24,"SF")+COUNTIFS(SEMANA2[[#This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4" s="166">
        <f>IFERROR(IF(SEMANA2[[#This Row],[Columna14]]=0,0,(CQ24/CP24)),0)</f>
        <v/>
      </c>
      <c r="CS24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4" s="95">
        <f>_xlfn.XLOOKUP(SEMANA2[[#This Row],[COD]],BASE01[COD],BASE01[Columna33])</f>
        <v/>
      </c>
      <c r="CU24" s="604">
        <f>SUM(CS24,CT24)</f>
        <v/>
      </c>
      <c r="CV24" s="450">
        <f>IF(SEMANA2[[#This Row],[TIPO]]="PREMIO",$O$3,"0,00")</f>
        <v/>
      </c>
      <c r="CW24" s="576" t="n"/>
      <c r="CY24" s="393" t="inlineStr">
        <is>
          <t>MAYOR DIV.</t>
        </is>
      </c>
      <c r="CZ24" s="355">
        <f>MAX(DIV_GAN_SEM_2[DIVIDENDO])</f>
        <v/>
      </c>
      <c r="DA24" s="394" t="inlineStr">
        <is>
          <t>N° GAN</t>
        </is>
      </c>
      <c r="DB24" s="605">
        <f>SEMANA2[[#This Row],[COD]]</f>
        <v/>
      </c>
      <c r="DC24" s="395">
        <f t="array" ref="DC24">IFERROR(IF(AND(INDEX($E$8:$CE$57, MATCH($C24, $C$8:$C$57, 0), (COLUMNS($DC24:DC24)-1)*5 + 1) = INDEX($E$5:$CE$5, 1, (COLUMNS($DC24:DC24)-1)*5 + 1), INDEX($E$8:$CE$57, MATCH($C24, $C$8:$C$57, 0), (COLUMNS($DC24:DC24)-1)*5 + 4) = "F"), INDEX($CZ$8:$CZ$23, COLUMNS($DC24:DC24)), "0"), "")</f>
        <v/>
      </c>
      <c r="DD24" s="395">
        <f t="array" ref="DD24">IFERROR(IF(AND(INDEX($E$8:$CE$57, MATCH($C24, $C$8:$C$57, 0), (COLUMNS($DC24:DD24)-1)*5 + 1) = INDEX($E$5:$CE$5, 1, (COLUMNS($DC24:DD24)-1)*5 + 1), INDEX($E$8:$CE$57, MATCH($C24, $C$8:$C$57, 0), (COLUMNS($DC24:DD24)-1)*5 + 4) = "F"), INDEX($CZ$8:$CZ$23, COLUMNS($DC24:DD24)), "0"), "")</f>
        <v/>
      </c>
      <c r="DE24" s="395">
        <f t="array" ref="DE24">IFERROR(IF(AND(INDEX($E$8:$CE$57, MATCH($C24, $C$8:$C$57, 0), (COLUMNS($DC24:DE24)-1)*5 + 1) = INDEX($E$5:$CE$5, 1, (COLUMNS($DC24:DE24)-1)*5 + 1), INDEX($E$8:$CE$57, MATCH($C24, $C$8:$C$57, 0), (COLUMNS($DC24:DE24)-1)*5 + 4) = "F"), INDEX($CZ$8:$CZ$23, COLUMNS($DC24:DE24)), "0"), "")</f>
        <v/>
      </c>
      <c r="DF24" s="395">
        <f t="array" ref="DF24">IFERROR(IF(AND(INDEX($E$8:$CE$57, MATCH($C24, $C$8:$C$57, 0), (COLUMNS($DC24:DF24)-1)*5 + 1) = INDEX($E$5:$CE$5, 1, (COLUMNS($DC24:DF24)-1)*5 + 1), INDEX($E$8:$CE$57, MATCH($C24, $C$8:$C$57, 0), (COLUMNS($DC24:DF24)-1)*5 + 4) = "F"), INDEX($CZ$8:$CZ$23, COLUMNS($DC24:DF24)), "0"), "")</f>
        <v/>
      </c>
      <c r="DG24" s="395">
        <f t="array" ref="DG24">IFERROR(IF(AND(INDEX($E$8:$CE$57, MATCH($C24, $C$8:$C$57, 0), (COLUMNS($DC24:DG24)-1)*5 + 1) = INDEX($E$5:$CE$5, 1, (COLUMNS($DC24:DG24)-1)*5 + 1), INDEX($E$8:$CE$57, MATCH($C24, $C$8:$C$57, 0), (COLUMNS($DC24:DG24)-1)*5 + 4) = "F"), INDEX($CZ$8:$CZ$23, COLUMNS($DC24:DG24)), "0"), "")</f>
        <v/>
      </c>
      <c r="DH24" s="395">
        <f t="array" ref="DH24">IFERROR(IF(AND(INDEX($E$8:$CE$57, MATCH($C24, $C$8:$C$57, 0), (COLUMNS($DC24:DH24)-1)*5 + 1) = INDEX($E$5:$CE$5, 1, (COLUMNS($DC24:DH24)-1)*5 + 1), INDEX($E$8:$CE$57, MATCH($C24, $C$8:$C$57, 0), (COLUMNS($DC24:DH24)-1)*5 + 4) = "F"), INDEX($CZ$8:$CZ$23, COLUMNS($DC24:DH24)), "0"), "")</f>
        <v/>
      </c>
      <c r="DI24" s="395">
        <f t="array" ref="DI24">IFERROR(IF(AND(INDEX($E$8:$CE$57, MATCH($C24, $C$8:$C$57, 0), (COLUMNS($DC24:DI24)-1)*5 + 1) = INDEX($E$5:$CE$5, 1, (COLUMNS($DC24:DI24)-1)*5 + 1), INDEX($E$8:$CE$57, MATCH($C24, $C$8:$C$57, 0), (COLUMNS($DC24:DI24)-1)*5 + 4) = "F"), INDEX($CZ$8:$CZ$23, COLUMNS($DC24:DI24)), "0"), "")</f>
        <v/>
      </c>
      <c r="DJ24" s="395">
        <f t="array" ref="DJ24">IFERROR(IF(AND(INDEX($E$8:$CE$57, MATCH($C24, $C$8:$C$57, 0), (COLUMNS($DC24:DJ24)-1)*5 + 1) = INDEX($E$5:$CE$5, 1, (COLUMNS($DC24:DJ24)-1)*5 + 1), INDEX($E$8:$CE$57, MATCH($C24, $C$8:$C$57, 0), (COLUMNS($DC24:DJ24)-1)*5 + 4) = "F"), INDEX($CZ$8:$CZ$23, COLUMNS($DC24:DJ24)), "0"), "")</f>
        <v/>
      </c>
      <c r="DK24" s="395">
        <f t="array" ref="DK24">IFERROR(IF(AND(INDEX($E$8:$CE$57, MATCH($C24, $C$8:$C$57, 0), (COLUMNS($DC24:DK24)-1)*5 + 1) = INDEX($E$5:$CE$5, 1, (COLUMNS($DC24:DK24)-1)*5 + 1), INDEX($E$8:$CE$57, MATCH($C24, $C$8:$C$57, 0), (COLUMNS($DC24:DK24)-1)*5 + 4) = "F"), INDEX($CZ$8:$CZ$23, COLUMNS($DC24:DK24)), "0"), "")</f>
        <v/>
      </c>
      <c r="DL24" s="395">
        <f t="array" ref="DL24">IFERROR(IF(AND(INDEX($E$8:$CE$57, MATCH($C24, $C$8:$C$57, 0), (COLUMNS($DC24:DL24)-1)*5 + 1) = INDEX($E$5:$CE$5, 1, (COLUMNS($DC24:DL24)-1)*5 + 1), INDEX($E$8:$CE$57, MATCH($C24, $C$8:$C$57, 0), (COLUMNS($DC24:DL24)-1)*5 + 4) = "F"), INDEX($CZ$8:$CZ$23, COLUMNS($DC24:DL24)), "0"), "")</f>
        <v/>
      </c>
      <c r="DM24" s="395">
        <f t="array" ref="DM24">IFERROR(IF(AND(INDEX($E$8:$CE$57, MATCH($C24, $C$8:$C$57, 0), (COLUMNS($DC24:DM24)-1)*5 + 1) = INDEX($E$5:$CE$5, 1, (COLUMNS($DC24:DM24)-1)*5 + 1), INDEX($E$8:$CE$57, MATCH($C24, $C$8:$C$57, 0), (COLUMNS($DC24:DM24)-1)*5 + 4) = "F"), INDEX($CZ$8:$CZ$23, COLUMNS($DC24:DM24)), "0"), "")</f>
        <v/>
      </c>
      <c r="DN24" s="395">
        <f t="array" ref="DN24">IFERROR(IF(AND(INDEX($E$8:$CE$57, MATCH($C24, $C$8:$C$57, 0), (COLUMNS($DC24:DN24)-1)*5 + 1) = INDEX($E$5:$CE$5, 1, (COLUMNS($DC24:DN24)-1)*5 + 1), INDEX($E$8:$CE$57, MATCH($C24, $C$8:$C$57, 0), (COLUMNS($DC24:DN24)-1)*5 + 4) = "F"), INDEX($CZ$8:$CZ$23, COLUMNS($DC24:DN24)), "0"), "")</f>
        <v/>
      </c>
      <c r="DO24" s="395">
        <f t="array" ref="DO24">IFERROR(IF(AND(INDEX($E$8:$CE$57, MATCH($C24, $C$8:$C$57, 0), (COLUMNS($DC24:DO24)-1)*5 + 1) = INDEX($E$5:$CE$5, 1, (COLUMNS($DC24:DO24)-1)*5 + 1), INDEX($E$8:$CE$57, MATCH($C24, $C$8:$C$57, 0), (COLUMNS($DC24:DO24)-1)*5 + 4) = "F"), INDEX($CZ$8:$CZ$23, COLUMNS($DC24:DO24)), "0"), "")</f>
        <v/>
      </c>
      <c r="DP24" s="395">
        <f t="array" ref="DP24">IFERROR(IF(AND(INDEX($E$8:$CE$57, MATCH($C24, $C$8:$C$57, 0), (COLUMNS($DC24:DP24)-1)*5 + 1) = INDEX($E$5:$CE$5, 1, (COLUMNS($DC24:DP24)-1)*5 + 1), INDEX($E$8:$CE$57, MATCH($C24, $C$8:$C$57, 0), (COLUMNS($DC24:DP24)-1)*5 + 4) = "F"), INDEX($CZ$8:$CZ$23, COLUMNS($DC24:DP24)), "0"), "")</f>
        <v/>
      </c>
      <c r="DQ24" s="395">
        <f t="array" ref="DQ24">IFERROR(IF(AND(INDEX($E$8:$CE$57, MATCH($C24, $C$8:$C$57, 0), (COLUMNS($DC24:DQ24)-1)*5 + 1) = INDEX($E$5:$CE$5, 1, (COLUMNS($DC24:DQ24)-1)*5 + 1), INDEX($E$8:$CE$57, MATCH($C24, $C$8:$C$57, 0), (COLUMNS($DC24:DQ24)-1)*5 + 4) = "F"), INDEX($CZ$8:$CZ$23, COLUMNS($DC24:DQ24)), "0"), "")</f>
        <v/>
      </c>
      <c r="DR24" s="395">
        <f t="array" ref="DR24">IFERROR(IF(AND(INDEX($E$8:$CE$57, MATCH($C24, $C$8:$C$57, 0), (COLUMNS($DC24:DR24)-1)*5 + 1) = INDEX($E$5:$CE$5, 1, (COLUMNS($DC24:DR24)-1)*5 + 1), INDEX($E$8:$CE$57, MATCH($C24, $C$8:$C$57, 0), (COLUMNS($DC24:DR24)-1)*5 + 4) = "F"), INDEX($CZ$8:$CZ$23, COLUMNS($DC24:DR24)), "0"), "")</f>
        <v/>
      </c>
      <c r="DT24" s="605">
        <f>SEMANA2[[#This Row],[COD]]</f>
        <v/>
      </c>
      <c r="DU24" s="395">
        <f t="array" ref="DU24">IFERROR(IF(AND(INDEX($E$8:$CE$57, MATCH($C24, $C$8:$C$57, 0), (COLUMNS($DU24:DU24)-1)*5 + 1) = INDEX($E$5:$CE$5, 1, (COLUMNS($DU24:DU24)-1)*5 + 1), INDEX($E$8:$CE$57, MATCH($C24, $C$8:$C$57, 0), (COLUMNS($DU24:DU24)-1)*5 + 4) = "SF"), INDEX($CZ$8:$CZ$23, COLUMNS($DU24:DU24)), "0"), "")</f>
        <v/>
      </c>
      <c r="DV24" s="395">
        <f t="array" ref="DV24">IFERROR(IF(AND(INDEX($E$8:$CE$57, MATCH($C24, $C$8:$C$57, 0), (COLUMNS($DU24:DV24)-1)*5 + 1) = INDEX($E$5:$CE$5, 1, (COLUMNS($DU24:DV24)-1)*5 + 1), INDEX($E$8:$CE$57, MATCH($C24, $C$8:$C$57, 0), (COLUMNS($DU24:DV24)-1)*5 + 4) = "SF"), INDEX($CZ$8:$CZ$23, COLUMNS($DU24:DV24)), "0"), "")</f>
        <v/>
      </c>
      <c r="DW24" s="395">
        <f t="array" ref="DW24">IFERROR(IF(AND(INDEX($E$8:$CE$57, MATCH($C24, $C$8:$C$57, 0), (COLUMNS($DU24:DW24)-1)*5 + 1) = INDEX($E$5:$CE$5, 1, (COLUMNS($DU24:DW24)-1)*5 + 1), INDEX($E$8:$CE$57, MATCH($C24, $C$8:$C$57, 0), (COLUMNS($DU24:DW24)-1)*5 + 4) = "SF"), INDEX($CZ$8:$CZ$23, COLUMNS($DU24:DW24)), "0"), "")</f>
        <v/>
      </c>
      <c r="DX24" s="395">
        <f t="array" ref="DX24">IFERROR(IF(AND(INDEX($E$8:$CE$57, MATCH($C24, $C$8:$C$57, 0), (COLUMNS($DU24:DX24)-1)*5 + 1) = INDEX($E$5:$CE$5, 1, (COLUMNS($DU24:DX24)-1)*5 + 1), INDEX($E$8:$CE$57, MATCH($C24, $C$8:$C$57, 0), (COLUMNS($DU24:DX24)-1)*5 + 4) = "SF"), INDEX($CZ$8:$CZ$23, COLUMNS($DU24:DX24)), "0"), "")</f>
        <v/>
      </c>
      <c r="DY24" s="395">
        <f t="array" ref="DY24">IFERROR(IF(AND(INDEX($E$8:$CE$57, MATCH($C24, $C$8:$C$57, 0), (COLUMNS($DU24:DY24)-1)*5 + 1) = INDEX($E$5:$CE$5, 1, (COLUMNS($DU24:DY24)-1)*5 + 1), INDEX($E$8:$CE$57, MATCH($C24, $C$8:$C$57, 0), (COLUMNS($DU24:DY24)-1)*5 + 4) = "SF"), INDEX($CZ$8:$CZ$23, COLUMNS($DU24:DY24)), "0"), "")</f>
        <v/>
      </c>
      <c r="DZ24" s="395">
        <f t="array" ref="DZ24">IFERROR(IF(AND(INDEX($E$8:$CE$57, MATCH($C24, $C$8:$C$57, 0), (COLUMNS($DU24:DZ24)-1)*5 + 1) = INDEX($E$5:$CE$5, 1, (COLUMNS($DU24:DZ24)-1)*5 + 1), INDEX($E$8:$CE$57, MATCH($C24, $C$8:$C$57, 0), (COLUMNS($DU24:DZ24)-1)*5 + 4) = "SF"), INDEX($CZ$8:$CZ$23, COLUMNS($DU24:DZ24)), "0"), "")</f>
        <v/>
      </c>
      <c r="EA24" s="395">
        <f t="array" ref="EA24">IFERROR(IF(AND(INDEX($E$8:$CE$57, MATCH($C24, $C$8:$C$57, 0), (COLUMNS($DU24:EA24)-1)*5 + 1) = INDEX($E$5:$CE$5, 1, (COLUMNS($DU24:EA24)-1)*5 + 1), INDEX($E$8:$CE$57, MATCH($C24, $C$8:$C$57, 0), (COLUMNS($DU24:EA24)-1)*5 + 4) = "SF"), INDEX($CZ$8:$CZ$23, COLUMNS($DU24:EA24)), "0"), "")</f>
        <v/>
      </c>
      <c r="EB24" s="395">
        <f t="array" ref="EB24">IFERROR(IF(AND(INDEX($E$8:$CE$57, MATCH($C24, $C$8:$C$57, 0), (COLUMNS($DU24:EB24)-1)*5 + 1) = INDEX($E$5:$CE$5, 1, (COLUMNS($DU24:EB24)-1)*5 + 1), INDEX($E$8:$CE$57, MATCH($C24, $C$8:$C$57, 0), (COLUMNS($DU24:EB24)-1)*5 + 4) = "SF"), INDEX($CZ$8:$CZ$23, COLUMNS($DU24:EB24)), "0"), "")</f>
        <v/>
      </c>
      <c r="EC24" s="395">
        <f t="array" ref="EC24">IFERROR(IF(AND(INDEX($E$8:$CE$57, MATCH($C24, $C$8:$C$57, 0), (COLUMNS($DU24:EC24)-1)*5 + 1) = INDEX($E$5:$CE$5, 1, (COLUMNS($DU24:EC24)-1)*5 + 1), INDEX($E$8:$CE$57, MATCH($C24, $C$8:$C$57, 0), (COLUMNS($DU24:EC24)-1)*5 + 4) = "SF"), INDEX($CZ$8:$CZ$23, COLUMNS($DU24:EC24)), "0"), "")</f>
        <v/>
      </c>
      <c r="ED24" s="395">
        <f t="array" ref="ED24">IFERROR(IF(AND(INDEX($E$8:$CE$57, MATCH($C24, $C$8:$C$57, 0), (COLUMNS($DU24:ED24)-1)*5 + 1) = INDEX($E$5:$CE$5, 1, (COLUMNS($DU24:ED24)-1)*5 + 1), INDEX($E$8:$CE$57, MATCH($C24, $C$8:$C$57, 0), (COLUMNS($DU24:ED24)-1)*5 + 4) = "SF"), INDEX($CZ$8:$CZ$23, COLUMNS($DU24:ED24)), "0"), "")</f>
        <v/>
      </c>
      <c r="EE24" s="395">
        <f t="array" ref="EE24">IFERROR(IF(AND(INDEX($E$8:$CE$57, MATCH($C24, $C$8:$C$57, 0), (COLUMNS($DU24:EE24)-1)*5 + 1) = INDEX($E$5:$CE$5, 1, (COLUMNS($DU24:EE24)-1)*5 + 1), INDEX($E$8:$CE$57, MATCH($C24, $C$8:$C$57, 0), (COLUMNS($DU24:EE24)-1)*5 + 4) = "SF"), INDEX($CZ$8:$CZ$23, COLUMNS($DU24:EE24)), "0"), "")</f>
        <v/>
      </c>
      <c r="EF24" s="395">
        <f t="array" ref="EF24">IFERROR(IF(AND(INDEX($E$8:$CE$57, MATCH($C24, $C$8:$C$57, 0), (COLUMNS($DU24:EF24)-1)*5 + 1) = INDEX($E$5:$CE$5, 1, (COLUMNS($DU24:EF24)-1)*5 + 1), INDEX($E$8:$CE$57, MATCH($C24, $C$8:$C$57, 0), (COLUMNS($DU24:EF24)-1)*5 + 4) = "SF"), INDEX($CZ$8:$CZ$23, COLUMNS($DU24:EF24)), "0"), "")</f>
        <v/>
      </c>
      <c r="EG24" s="395">
        <f t="array" ref="EG24">IFERROR(IF(AND(INDEX($E$8:$CE$57, MATCH($C24, $C$8:$C$57, 0), (COLUMNS($DU24:EG24)-1)*5 + 1) = INDEX($E$5:$CE$5, 1, (COLUMNS($DU24:EG24)-1)*5 + 1), INDEX($E$8:$CE$57, MATCH($C24, $C$8:$C$57, 0), (COLUMNS($DU24:EG24)-1)*5 + 4) = "SF"), INDEX($CZ$8:$CZ$23, COLUMNS($DU24:EG24)), "0"), "")</f>
        <v/>
      </c>
      <c r="EH24" s="395">
        <f t="array" ref="EH24">IFERROR(IF(AND(INDEX($E$8:$CE$57, MATCH($C24, $C$8:$C$57, 0), (COLUMNS($DU24:EH24)-1)*5 + 1) = INDEX($E$5:$CE$5, 1, (COLUMNS($DU24:EH24)-1)*5 + 1), INDEX($E$8:$CE$57, MATCH($C24, $C$8:$C$57, 0), (COLUMNS($DU24:EH24)-1)*5 + 4) = "SF"), INDEX($CZ$8:$CZ$23, COLUMNS($DU24:EH24)), "0"), "")</f>
        <v/>
      </c>
      <c r="EI24" s="395">
        <f t="array" ref="EI24">IFERROR(IF(AND(INDEX($E$8:$CE$57, MATCH($C24, $C$8:$C$57, 0), (COLUMNS($DU24:EI24)-1)*5 + 1) = INDEX($E$5:$CE$5, 1, (COLUMNS($DU24:EI24)-1)*5 + 1), INDEX($E$8:$CE$57, MATCH($C24, $C$8:$C$57, 0), (COLUMNS($DU24:EI24)-1)*5 + 4) = "SF"), INDEX($CZ$8:$CZ$23, COLUMNS($DU24:EI24)), "0"), "")</f>
        <v/>
      </c>
      <c r="EJ24" s="395">
        <f t="array" ref="EJ24">IFERROR(IF(AND(INDEX($E$8:$CE$57, MATCH($C24, $C$8:$C$57, 0), (COLUMNS($DU24:EJ24)-1)*5 + 1) = INDEX($E$5:$CE$5, 1, (COLUMNS($DU24:EJ24)-1)*5 + 1), INDEX($E$8:$CE$57, MATCH($C24, $C$8:$C$57, 0), (COLUMNS($DU24:EJ24)-1)*5 + 4) = "SF"), INDEX($CZ$8:$CZ$23, COLUMNS($DU24:EJ24)), "0"), "")</f>
        <v/>
      </c>
    </row>
    <row r="25" ht="20.1" customHeight="1" s="568">
      <c r="A25" s="576" t="n"/>
      <c r="B25" s="449">
        <f>IF(SEMANA2[[#This Row],[COD]]&lt;&gt;"",B24+1,"")</f>
        <v/>
      </c>
      <c r="C25" s="622" t="inlineStr">
        <is>
          <t>COD 18</t>
        </is>
      </c>
      <c r="D25" s="415">
        <f t="array" ref="D25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5" s="416" t="n">
        <v>9</v>
      </c>
      <c r="F25" s="418" t="n">
        <v>2</v>
      </c>
      <c r="G25" s="418" t="n">
        <v>4</v>
      </c>
      <c r="H25" s="418" t="n"/>
      <c r="I25" s="602">
        <f>SUM(IF(E25=E$5,4,0),IF(E25&amp;F25=E$5&amp;F$5,1,0),
IF(AND(E25=E$5,F$6&gt;=$D$115),1,0),
IF(AND(F25=E$5,F$6&gt;=$D$115),1,0),
IF(AND(G25=E$5,F$6&gt;=$D$115),1,0),
IF(E25&amp;H25=I$5,1,0),
IF(F25=E$5,2,0),
IF(G25=E$5,1,0),
IF(OR(E25&amp;F25&amp;G25=E$5&amp;F$5&amp;G$5,E25&amp;F25&amp;G25=E$5&amp;G$5&amp;F$5,E25&amp;F25&amp;G25=F$5&amp;E$5&amp;G$5,E25&amp;F25&amp;G25=F$5&amp;G$5&amp;E$5,E25&amp;F25&amp;G25=G$5&amp;E$5&amp;F$5,E25&amp;F25&amp;G25=G$5&amp;F$5&amp;E$5),2,0),IF(AND(E25=E$5,F$6&gt;=$D$129),1,0),IF(AND(F25=E$5,F$6&gt;=$D$129),1,0),IF(AND(G25=E$5,F$6&gt;=$D$129),1,0),IF(E25&amp;H25=H$5,4,0),IF(AND(E25=E$5,F$6&lt;=$D$104),-0.5,0),IF(AND(F25=E$5,F$6&lt;=$D$104),-0.5,0),IF(AND(G25=E$5,F$6&lt;=$D$104),-0.5,0))</f>
        <v/>
      </c>
      <c r="J25" s="416" t="n">
        <v>1</v>
      </c>
      <c r="K25" s="418" t="n">
        <v>4</v>
      </c>
      <c r="L25" s="418" t="n">
        <v>7</v>
      </c>
      <c r="M25" s="418" t="n"/>
      <c r="N25" s="602">
        <f>SUM(IF(J25=J$5,4,0),IF(J25&amp;K25=J$5&amp;K$5,1,0),
IF(AND(J25=J$5,K$6&gt;=$D$115),1,0),
IF(AND(K25=J$5,K$6&gt;=$D$115),1,0),
IF(AND(L25=J$5,K$6&gt;=$D$115),1,0),
IF(J25&amp;M25=N$5,1,0),
IF(K25=J$5,2,0),
IF(L25=J$5,1,0),
IF(OR(J25&amp;K25&amp;L25=J$5&amp;K$5&amp;L$5,J25&amp;K25&amp;L25=J$5&amp;L$5&amp;K$5,J25&amp;K25&amp;L25=K$5&amp;J$5&amp;L$5,J25&amp;K25&amp;L25=K$5&amp;L$5&amp;J$5,J25&amp;K25&amp;L25=L$5&amp;J$5&amp;K$5,J25&amp;K25&amp;L25=L$5&amp;K$5&amp;J$5),2,0),IF(AND(J25=J$5,K$6&gt;=$D$129),1,0),IF(AND(K25=J$5,K$6&gt;=$D$129),1,0),IF(AND(L25=J$5,K$6&gt;=$D$129),1,0),IF(J25&amp;M25=M$5,4,0),IF(AND(J25=J$5,K$6&lt;=$D$104),-0.5,0),IF(AND(K25=J$5,K$6&lt;=$D$104),-0.5,0),IF(AND(L25=J$5,K$6&lt;=$D$104),-0.5,0))</f>
        <v/>
      </c>
      <c r="O25" s="416" t="n">
        <v>5</v>
      </c>
      <c r="P25" s="418" t="n">
        <v>1</v>
      </c>
      <c r="Q25" s="418" t="n">
        <v>3</v>
      </c>
      <c r="R25" s="418" t="n"/>
      <c r="S25" s="602">
        <f>SUM(IF(O25=O$5,4,0),IF(O25&amp;P25=O$5&amp;P$5,1,0),
IF(AND(O25=O$5,P$6&gt;=$D$115),1,0),
IF(AND(P25=O$5,P$6&gt;=$D$115),1,0),
IF(AND(Q25=O$5,P$6&gt;=$D$115),1,0),
IF(O25&amp;R25=S$5,1,0),
IF(P25=O$5,2,0),
IF(Q25=O$5,1,0),
IF(OR(O25&amp;P25&amp;Q25=O$5&amp;P$5&amp;Q$5,O25&amp;P25&amp;Q25=O$5&amp;Q$5&amp;P$5,O25&amp;P25&amp;Q25=P$5&amp;O$5&amp;Q$5,O25&amp;P25&amp;Q25=P$5&amp;Q$5&amp;O$5,O25&amp;P25&amp;Q25=Q$5&amp;O$5&amp;P$5,O25&amp;P25&amp;Q25=Q$5&amp;P$5&amp;O$5),2,0),IF(AND(O25=O$5,P$6&gt;=$D$129),1,0),IF(AND(P25=O$5,P$6&gt;=$D$129),1,0),IF(AND(Q25=O$5,P$6&gt;=$D$129),1,0),IF(O25&amp;R25=R$5,4,0),IF(AND(O25=O$5,P$6&lt;=$D$104),-0.5,0),IF(AND(P25=O$5,P$6&lt;=$D$104),-0.5,0),IF(AND(Q25=O$5,P$6&lt;=$D$104),-0.5,0))</f>
        <v/>
      </c>
      <c r="T25" s="416" t="n">
        <v>5</v>
      </c>
      <c r="U25" s="418" t="n">
        <v>3</v>
      </c>
      <c r="V25" s="418" t="n">
        <v>4</v>
      </c>
      <c r="W25" s="418" t="n"/>
      <c r="X25" s="602">
        <f>SUM(IF(T25=T$5,4,0),IF(T25&amp;U25=T$5&amp;U$5,1,0),
IF(AND(T25=T$5,U$6&gt;=$D$115),1,0),
IF(AND(U25=T$5,U$6&gt;=$D$115),1,0),
IF(AND(V25=T$5,U$6&gt;=$D$115),1,0),
IF(T25&amp;W25=X$5,1,0),
IF(U25=T$5,2,0),
IF(V25=T$5,1,0),
IF(OR(T25&amp;U25&amp;V25=T$5&amp;U$5&amp;V$5,T25&amp;U25&amp;V25=T$5&amp;V$5&amp;U$5,T25&amp;U25&amp;V25=U$5&amp;T$5&amp;V$5,T25&amp;U25&amp;V25=U$5&amp;V$5&amp;T$5,T25&amp;U25&amp;V25=V$5&amp;T$5&amp;U$5,T25&amp;U25&amp;V25=V$5&amp;U$5&amp;T$5),2,0),IF(AND(T25=T$5,U$6&gt;=$D$129),1,0),IF(AND(U25=T$5,U$6&gt;=$D$129),1,0),IF(AND(V25=T$5,U$6&gt;=$D$129),1,0),IF(T25&amp;W25=W$5,4,0),IF(AND(T25=T$5,U$6&lt;=$D$104),-0.5,0),IF(AND(U25=T$5,U$6&lt;=$D$104),-0.5,0),IF(AND(V25=T$5,U$6&lt;=$D$104),-0.5,0))</f>
        <v/>
      </c>
      <c r="Y25" s="416" t="n">
        <v>2</v>
      </c>
      <c r="Z25" s="418" t="n">
        <v>7</v>
      </c>
      <c r="AA25" s="418" t="n">
        <v>1</v>
      </c>
      <c r="AB25" s="418" t="n"/>
      <c r="AC25" s="602">
        <f>SUM(IF(Y25=Y$5,4,0),IF(Y25&amp;Z25=Y$5&amp;Z$5,1,0),
IF(AND(Y25=Y$5,Z$6&gt;=$D$115),1,0),
IF(AND(Z25=Y$5,Z$6&gt;=$D$115),1,0),
IF(AND(AA25=Y$5,Z$6&gt;=$D$115),1,0),
IF(Y25&amp;AB25=AC$5,1,0),
IF(Z25=Y$5,2,0),
IF(AA25=Y$5,1,0),
IF(OR(Y25&amp;Z25&amp;AA25=Y$5&amp;Z$5&amp;AA$5,Y25&amp;Z25&amp;AA25=Y$5&amp;AA$5&amp;Z$5,Y25&amp;Z25&amp;AA25=Z$5&amp;Y$5&amp;AA$5,Y25&amp;Z25&amp;AA25=Z$5&amp;AA$5&amp;Y$5,Y25&amp;Z25&amp;AA25=AA$5&amp;Y$5&amp;Z$5,Y25&amp;Z25&amp;AA25=AA$5&amp;Z$5&amp;Y$5),2,0),IF(AND(Y25=Y$5,Z$6&gt;=$D$129),1,0),IF(AND(Z25=Y$5,Z$6&gt;=$D$129),1,0),IF(AND(AA25=Y$5,Z$6&gt;=$D$129),1,0),IF(Y25&amp;AB25=AB$5,4,0),IF(AND(Y25=Y$5,Z$6&lt;=$D$104),-0.5,0),IF(AND(Z25=Y$5,Z$6&lt;=$D$104),-0.5,0),IF(AND(AA25=Y$5,Z$6&lt;=$D$104),-0.5,0))</f>
        <v/>
      </c>
      <c r="AD25" s="416" t="n">
        <v>5</v>
      </c>
      <c r="AE25" s="418" t="n">
        <v>10</v>
      </c>
      <c r="AF25" s="418" t="n">
        <v>7</v>
      </c>
      <c r="AG25" s="418" t="n"/>
      <c r="AH25" s="602">
        <f>SUM(IF(AD25=AD$5,4,0),IF(AD25&amp;AE25=AD$5&amp;AE$5,1,0),
IF(AND(AD25=AD$5,AE$6&gt;=$D$115),1,0),
IF(AND(AE25=AD$5,AE$6&gt;=$D$115),1,0),
IF(AND(AF25=AD$5,AE$6&gt;=$D$115),1,0),
IF(AD25&amp;AG25=AH$5,1,0),
IF(AE25=AD$5,2,0),
IF(AF25=AD$5,1,0),
IF(OR(AD25&amp;AE25&amp;AF25=AD$5&amp;AE$5&amp;AF$5,AD25&amp;AE25&amp;AF25=AD$5&amp;AF$5&amp;AE$5,AD25&amp;AE25&amp;AF25=AE$5&amp;AD$5&amp;AF$5,AD25&amp;AE25&amp;AF25=AE$5&amp;AF$5&amp;AD$5,AD25&amp;AE25&amp;AF25=AF$5&amp;AD$5&amp;AE$5,AD25&amp;AE25&amp;AF25=AF$5&amp;AE$5&amp;AD$5),2,0),IF(AND(AD25=AD$5,AE$6&gt;=$D$129),1,0),IF(AND(AE25=AD$5,AE$6&gt;=$D$129),1,0),IF(AND(AF25=AD$5,AE$6&gt;=$D$129),1,0),IF(AD25&amp;AG25=AG$5,4,0),IF(AND(AD25=AD$5,AE$6&lt;=$D$104),-0.5,0),IF(AND(AE25=AD$5,AE$6&lt;=$D$104),-0.5,0),IF(AND(AF25=AD$5,AE$6&lt;=$D$104),-0.5,0))</f>
        <v/>
      </c>
      <c r="AI25" s="416" t="n">
        <v>7</v>
      </c>
      <c r="AJ25" s="418" t="n">
        <v>6</v>
      </c>
      <c r="AK25" s="418" t="n">
        <v>4</v>
      </c>
      <c r="AL25" s="418" t="inlineStr">
        <is>
          <t>F</t>
        </is>
      </c>
      <c r="AM25" s="602">
        <f>SUM(IF(AI25=AI$5,4,0),IF(AI25&amp;AJ25=AI$5&amp;AJ$5,1,0),
IF(AND(AI25=AI$5,AJ$6&gt;=$D$115),1,0),
IF(AND(AJ25=AI$5,AJ$6&gt;=$D$115),1,0),
IF(AND(AK25=AI$5,AJ$6&gt;=$D$115),1,0),
IF(AI25&amp;AL25=AM$5,1,0),
IF(AJ25=AI$5,2,0),
IF(AK25=AI$5,1,0),
IF(OR(AI25&amp;AJ25&amp;AK25=AI$5&amp;AJ$5&amp;AK$5,AI25&amp;AJ25&amp;AK25=AI$5&amp;AK$5&amp;AJ$5,AI25&amp;AJ25&amp;AK25=AJ$5&amp;AI$5&amp;AK$5,AI25&amp;AJ25&amp;AK25=AJ$5&amp;AK$5&amp;AI$5,AI25&amp;AJ25&amp;AK25=AK$5&amp;AI$5&amp;AJ$5,AI25&amp;AJ25&amp;AK25=AK$5&amp;AJ$5&amp;AI$5),2,0),IF(AND(AI25=AI$5,AJ$6&gt;=$D$129),1,0),IF(AND(AJ25=AI$5,AJ$6&gt;=$D$129),1,0),IF(AND(AK25=AI$5,AJ$6&gt;=$D$129),1,0),IF(AI25&amp;AL25=AL$5,4,0),IF(AND(AI25=AI$5,AJ$6&lt;=$D$104),-0.5,0),IF(AND(AJ25=AI$5,AJ$6&lt;=$D$104),-0.5,0),IF(AND(AK25=AI$5,AJ$6&lt;=$D$104),-0.5,0))</f>
        <v/>
      </c>
      <c r="AN25" s="416" t="n">
        <v>8</v>
      </c>
      <c r="AO25" s="418" t="n"/>
      <c r="AP25" s="418" t="n"/>
      <c r="AQ25" s="418" t="inlineStr">
        <is>
          <t>SF</t>
        </is>
      </c>
      <c r="AR25" s="602">
        <f>SUM(IF(AN25=AN$5,4,0),IF(AN25&amp;AO25=AN$5&amp;AO$5,1,0),
IF(AND(AN25=AN$5,AO$6&gt;=$D$115),1,0),
IF(AND(AO25=AN$5,AO$6&gt;=$D$115),1,0),
IF(AND(AP25=AN$5,AO$6&gt;=$D$115),1,0),
IF(AN25&amp;AQ25=AR$5,1,0),
IF(AO25=AN$5,2,0),
IF(AP25=AN$5,1,0),
IF(OR(AN25&amp;AO25&amp;AP25=AN$5&amp;AO$5&amp;AP$5,AN25&amp;AO25&amp;AP25=AN$5&amp;AP$5&amp;AO$5,AN25&amp;AO25&amp;AP25=AO$5&amp;AN$5&amp;AP$5,AN25&amp;AO25&amp;AP25=AO$5&amp;AP$5&amp;AN$5,AN25&amp;AO25&amp;AP25=AP$5&amp;AN$5&amp;AO$5,AN25&amp;AO25&amp;AP25=AP$5&amp;AO$5&amp;AN$5),2,0),IF(AND(AN25=AN$5,AO$6&gt;=$D$129),1,0),IF(AND(AO25=AN$5,AO$6&gt;=$D$129),1,0),IF(AND(AP25=AN$5,AO$6&gt;=$D$129),1,0),IF(AN25&amp;AQ25=AQ$5,4,0),IF(AND(AN25=AN$5,AO$6&lt;=$D$104),-0.5,0),IF(AND(AO25=AN$5,AO$6&lt;=$D$104),-0.5,0),IF(AND(AP25=AN$5,AO$6&lt;=$D$104),-0.5,0))</f>
        <v/>
      </c>
      <c r="AS25" s="416" t="n">
        <v>10</v>
      </c>
      <c r="AT25" s="418" t="n">
        <v>2</v>
      </c>
      <c r="AU25" s="418" t="n">
        <v>1</v>
      </c>
      <c r="AV25" s="418" t="n"/>
      <c r="AW25" s="602">
        <f>SUM(IF(AS25=AS$5,4,0),IF(AS25&amp;AT25=AS$5&amp;AT$5,1,0),
IF(AND(AS25=AS$5,AT$6&gt;=$D$115),1,0),
IF(AND(AT25=AS$5,AT$6&gt;=$D$115),1,0),
IF(AND(AU25=AS$5,AT$6&gt;=$D$115),1,0),
IF(AS25&amp;AV25=AW$5,1,0),
IF(AT25=AS$5,2,0),
IF(AU25=AS$5,1,0),
IF(OR(AS25&amp;AT25&amp;AU25=AS$5&amp;AT$5&amp;AU$5,AS25&amp;AT25&amp;AU25=AS$5&amp;AU$5&amp;AT$5,AS25&amp;AT25&amp;AU25=AT$5&amp;AS$5&amp;AU$5,AS25&amp;AT25&amp;AU25=AT$5&amp;AU$5&amp;AS$5,AS25&amp;AT25&amp;AU25=AU$5&amp;AS$5&amp;AT$5,AS25&amp;AT25&amp;AU25=AU$5&amp;AT$5&amp;AS$5),2,0),IF(AND(AS25=AS$5,AT$6&gt;=$D$129),1,0),IF(AND(AT25=AS$5,AT$6&gt;=$D$129),1,0),IF(AND(AU25=AS$5,AT$6&gt;=$D$129),1,0),IF(AS25&amp;AV25=AV$5,4,0),IF(AND(AS25=AS$5,AT$6&lt;=$D$104),-0.5,0),IF(AND(AT25=AS$5,AT$6&lt;=$D$104),-0.5,0),IF(AND(AU25=AS$5,AT$6&lt;=$D$104),-0.5,0))</f>
        <v/>
      </c>
      <c r="AX25" s="416" t="n">
        <v>10</v>
      </c>
      <c r="AY25" s="418" t="n">
        <v>1</v>
      </c>
      <c r="AZ25" s="418" t="n">
        <v>6</v>
      </c>
      <c r="BA25" s="418" t="n"/>
      <c r="BB25" s="602">
        <f>SUM(IF(AX25=AX$5,4,0),IF(AX25&amp;AY25=AX$5&amp;AY$5,1,0),
IF(AND(AX25=AX$5,AY$6&gt;=$D$115),1,0),
IF(AND(AY25=AX$5,AY$6&gt;=$D$115),1,0),
IF(AND(AZ25=AX$5,AY$6&gt;=$D$115),1,0),
IF(AX25&amp;BA25=BB$5,1,0),
IF(AY25=AX$5,2,0),
IF(AZ25=AX$5,1,0),
IF(OR(AX25&amp;AY25&amp;AZ25=AX$5&amp;AY$5&amp;AZ$5,AX25&amp;AY25&amp;AZ25=AX$5&amp;AZ$5&amp;AY$5,AX25&amp;AY25&amp;AZ25=AY$5&amp;AX$5&amp;AZ$5,AX25&amp;AY25&amp;AZ25=AY$5&amp;AZ$5&amp;AX$5,AX25&amp;AY25&amp;AZ25=AZ$5&amp;AX$5&amp;AY$5,AX25&amp;AY25&amp;AZ25=AZ$5&amp;AY$5&amp;AX$5),2,0),IF(AND(AX25=AX$5,AY$6&gt;=$D$129),1,0),IF(AND(AY25=AX$5,AY$6&gt;=$D$129),1,0),IF(AND(AZ25=AX$5,AY$6&gt;=$D$129),1,0),IF(AX25&amp;BA25=BA$5,4,0),IF(AND(AX25=AX$5,AY$6&lt;=$D$104),-0.5,0),IF(AND(AY25=AX$5,AY$6&lt;=$D$104),-0.5,0),IF(AND(AZ25=AX$5,AY$6&lt;=$D$104),-0.5,0))</f>
        <v/>
      </c>
      <c r="BC25" s="416" t="n">
        <v>7</v>
      </c>
      <c r="BD25" s="418" t="n">
        <v>3</v>
      </c>
      <c r="BE25" s="418" t="n">
        <v>6</v>
      </c>
      <c r="BF25" s="418" t="n"/>
      <c r="BG25" s="602">
        <f>SUM(IF(BC25=BC$5,4,0),IF(BC25&amp;BD25=BC$5&amp;BD$5,1,0),
IF(AND(BC25=BC$5,BD$6&gt;=$D$115),1,0),
IF(AND(BD25=BC$5,BD$6&gt;=$D$115),1,0),
IF(AND(BE25=BC$5,BD$6&gt;=$D$115),1,0),
IF(BC25&amp;BF25=BG$5,1,0),
IF(BD25=BC$5,2,0),
IF(BE25=BC$5,1,0),
IF(OR(BC25&amp;BD25&amp;BE25=BC$5&amp;BD$5&amp;BE$5,BC25&amp;BD25&amp;BE25=BC$5&amp;BE$5&amp;BD$5,BC25&amp;BD25&amp;BE25=BD$5&amp;BC$5&amp;BE$5,BC25&amp;BD25&amp;BE25=BD$5&amp;BE$5&amp;BC$5,BC25&amp;BD25&amp;BE25=BE$5&amp;BC$5&amp;BD$5,BC25&amp;BD25&amp;BE25=BE$5&amp;BD$5&amp;BC$5),2,0),IF(AND(BC25=BC$5,BD$6&gt;=$D$129),1,0),IF(AND(BD25=BC$5,BD$6&gt;=$D$129),1,0),IF(AND(BE25=BC$5,BD$6&gt;=$D$129),1,0),IF(BC25&amp;BF25=BF$5,4,0),IF(AND(BC25=BC$5,BD$6&lt;=$D$104),-0.5,0),IF(AND(BD25=BC$5,BD$6&lt;=$D$104),-0.5,0),IF(AND(BE25=BC$5,BD$6&lt;=$D$104),-0.5,0))</f>
        <v/>
      </c>
      <c r="BH25" s="416" t="n">
        <v>6</v>
      </c>
      <c r="BI25" s="418" t="n">
        <v>7</v>
      </c>
      <c r="BJ25" s="418" t="n">
        <v>8</v>
      </c>
      <c r="BK25" s="418" t="inlineStr">
        <is>
          <t>F</t>
        </is>
      </c>
      <c r="BL25" s="602">
        <f>SUM(IF(BH25=BH$5,4,0),IF(BH25&amp;BI25=BH$5&amp;BI$5,1,0),
IF(AND(BH25=BH$5,BI$6&gt;=$D$115),1,0),
IF(AND(BI25=BH$5,BI$6&gt;=$D$115),1,0),
IF(AND(BJ25=BH$5,BI$6&gt;=$D$115),1,0),
IF(BH25&amp;BK25=BL$5,1,0),
IF(BI25=BH$5,2,0),
IF(BJ25=BH$5,1,0),
IF(OR(BH25&amp;BI25&amp;BJ25=BH$5&amp;BI$5&amp;BJ$5,BH25&amp;BI25&amp;BJ25=BH$5&amp;BJ$5&amp;BI$5,BH25&amp;BI25&amp;BJ25=BI$5&amp;BH$5&amp;BJ$5,BH25&amp;BI25&amp;BJ25=BI$5&amp;BJ$5&amp;BH$5,BH25&amp;BI25&amp;BJ25=BJ$5&amp;BH$5&amp;BI$5,BH25&amp;BI25&amp;BJ25=BJ$5&amp;BI$5&amp;BH$5),2,0),IF(AND(BH25=BH$5,BI$6&gt;=$D$129),1,0),IF(AND(BI25=BH$5,BI$6&gt;=$D$129),1,0),IF(AND(BJ25=BH$5,BI$6&gt;=$D$129),1,0),IF(BH25&amp;BK25=BK$5,4,0),IF(AND(BH25=BH$5,BI$6&lt;=$D$104),-0.5,0),IF(AND(BI25=BH$5,BI$6&lt;=$D$104),-0.5,0),IF(AND(BJ25=BH$5,BI$6&lt;=$D$104),-0.5,0))</f>
        <v/>
      </c>
      <c r="BM25" s="416" t="n">
        <v>9</v>
      </c>
      <c r="BN25" s="418" t="n">
        <v>4</v>
      </c>
      <c r="BO25" s="418" t="n">
        <v>5</v>
      </c>
      <c r="BP25" s="418" t="n"/>
      <c r="BQ25" s="602">
        <f>SUM(IF(BM25=BM$5,4,0),IF(BM25&amp;BN25=BM$5&amp;BN$5,1,0),
IF(AND(BM25=BM$5,BN$6&gt;=$D$115),1,0),
IF(AND(BN25=BM$5,BN$6&gt;=$D$115),1,0),
IF(AND(BO25=BM$5,BN$6&gt;=$D$115),1,0),
IF(BM25&amp;BP25=BQ$5,1,0),
IF(BN25=BM$5,2,0),
IF(BO25=BM$5,1,0),
IF(OR(BM25&amp;BN25&amp;BO25=BM$5&amp;BN$5&amp;BO$5,BM25&amp;BN25&amp;BO25=BM$5&amp;BO$5&amp;BN$5,BM25&amp;BN25&amp;BO25=BN$5&amp;BM$5&amp;BO$5,BM25&amp;BN25&amp;BO25=BN$5&amp;BO$5&amp;BM$5,BM25&amp;BN25&amp;BO25=BO$5&amp;BM$5&amp;BN$5,BM25&amp;BN25&amp;BO25=BO$5&amp;BN$5&amp;BM$5),2,0),IF(AND(BM25=BM$5,BN$6&gt;=$D$129),1,0),IF(AND(BN25=BM$5,BN$6&gt;=$D$129),1,0),IF(AND(BO25=BM$5,BN$6&gt;=$D$129),1,0),IF(BM25&amp;BP25=BP$5,4,0),IF(AND(BM25=BM$5,BN$6&lt;=$D$104),-0.5,0),IF(AND(BN25=BM$5,BN$6&lt;=$D$104),-0.5,0),IF(AND(BO25=BM$5,BN$6&lt;=$D$104),-0.5,0))</f>
        <v/>
      </c>
      <c r="BR25" s="416" t="n">
        <v>9</v>
      </c>
      <c r="BS25" s="418" t="n">
        <v>5</v>
      </c>
      <c r="BT25" s="418" t="n">
        <v>11</v>
      </c>
      <c r="BU25" s="418" t="n"/>
      <c r="BV25" s="602">
        <f>SUM(IF(BR25=BR$5,4,0),IF(BR25&amp;BS25=BR$5&amp;BS$5,1,0),
IF(AND(BR25=BR$5,BS$6&gt;=$D$115),1,0),
IF(AND(BS25=BR$5,BS$6&gt;=$D$115),1,0),
IF(AND(BT25=BR$5,BS$6&gt;=$D$115),1,0),
IF(BR25&amp;BU25=BV$5,1,0),
IF(BS25=BR$5,2,0),
IF(BT25=BR$5,1,0),
IF(OR(BR25&amp;BS25&amp;BT25=BR$5&amp;BS$5&amp;BT$5,BR25&amp;BS25&amp;BT25=BR$5&amp;BT$5&amp;BS$5,BR25&amp;BS25&amp;BT25=BS$5&amp;BR$5&amp;BT$5,BR25&amp;BS25&amp;BT25=BS$5&amp;BT$5&amp;BR$5,BR25&amp;BS25&amp;BT25=BT$5&amp;BR$5&amp;BS$5,BR25&amp;BS25&amp;BT25=BT$5&amp;BS$5&amp;BR$5),2,0),IF(AND(BR25=BR$5,BS$6&gt;=$D$129),1,0),IF(AND(BS25=BR$5,BS$6&gt;=$D$129),1,0),IF(AND(BT25=BR$5,BS$6&gt;=$D$129),1,0),IF(BR25&amp;BU25=BU$5,4,0),IF(AND(BR25=BR$5,BS$6&lt;=$D$104),-0.5,0),IF(AND(BS25=BR$5,BS$6&lt;=$D$104),-0.5,0),IF(AND(BT25=BR$5,BS$6&lt;=$D$104),-0.5,0))</f>
        <v/>
      </c>
      <c r="BW25" s="416" t="n"/>
      <c r="BX25" s="418" t="n"/>
      <c r="BY25" s="418" t="n"/>
      <c r="BZ25" s="418" t="n"/>
      <c r="CA25" s="602">
        <f>SUM(IF(BW25=BW$5,4,0),IF(BW25&amp;BX25=BW$5&amp;BX$5,1,0),
IF(AND(BW25=BW$5,BX$6&gt;=$D$115),1,0),
IF(AND(BX25=BW$5,BX$6&gt;=$D$115),1,0),
IF(AND(BY25=BW$5,BX$6&gt;=$D$115),1,0),
IF(BW25&amp;BZ25=CA$5,1,0),
IF(BX25=BW$5,2,0),
IF(BY25=BW$5,1,0),
IF(OR(BW25&amp;BX25&amp;BY25=BW$5&amp;BX$5&amp;BY$5,BW25&amp;BX25&amp;BY25=BW$5&amp;BY$5&amp;BX$5,BW25&amp;BX25&amp;BY25=BX$5&amp;BW$5&amp;BY$5,BW25&amp;BX25&amp;BY25=BX$5&amp;BY$5&amp;BW$5,BW25&amp;BX25&amp;BY25=BY$5&amp;BW$5&amp;BX$5,BW25&amp;BX25&amp;BY25=BY$5&amp;BX$5&amp;BW$5),2,0),IF(AND(BW25=BW$5,BX$6&gt;=$D$129),1,0),IF(AND(BX25=BW$5,BX$6&gt;=$D$129),1,0),IF(AND(BY25=BW$5,BX$6&gt;=$D$129),1,0),IF(BW25&amp;BZ25=BZ$5,4,0),IF(AND(BW25=BW$5,BX$6&lt;=$D$104),-0.5,0),IF(AND(BX25=BW$5,BX$6&lt;=$D$104),-0.5,0),IF(AND(BY25=BW$5,BX$6&lt;=$D$104),-0.5,0))</f>
        <v/>
      </c>
      <c r="CB25" s="416" t="n"/>
      <c r="CC25" s="418" t="n"/>
      <c r="CD25" s="418" t="n"/>
      <c r="CE25" s="418" t="n"/>
      <c r="CF25" s="602">
        <f>SUM(IF(CB25=CB$5,4,0),IF(CB25&amp;CC25=CB$5&amp;CC$5,1,0),
IF(AND(CB25=CB$5,CC$6&gt;=$D$115),1,0),
IF(AND(CC25=CB$5,CC$6&gt;=$D$115),1,0),
IF(AND(CD25=CB$5,CC$6&gt;=$D$115),1,0),
IF(CB25&amp;CE25=CF$5,1,0),
IF(CC25=CB$5,2,0),
IF(CD25=CB$5,1,0),
IF(OR(CB25&amp;CC25&amp;CD25=CB$5&amp;CC$5&amp;CD$5,CB25&amp;CC25&amp;CD25=CB$5&amp;CD$5&amp;CC$5,CB25&amp;CC25&amp;CD25=CC$5&amp;CB$5&amp;CD$5,CB25&amp;CC25&amp;CD25=CC$5&amp;CD$5&amp;CB$5,CB25&amp;CC25&amp;CD25=CD$5&amp;CB$5&amp;CC$5,CB25&amp;CC25&amp;CD25=CD$5&amp;CC$5&amp;CB$5),2,0),IF(AND(CB25=CB$5,CC$6&gt;=$D$129),1,0),IF(AND(CC25=CB$5,CC$6&gt;=$D$129),1,0),IF(AND(CD25=CB$5,CC$6&gt;=$D$129),1,0),IF(CB25&amp;CE25=CE$5,4,0),IF(AND(CB25=CB$5,CC$6&lt;=$D$104),-0.5,0),IF(AND(CC25=CB$5,CC$6&lt;=$D$104),-0.5,0),IF(AND(CD25=CB$5,CC$6&lt;=$D$104),-0.5,0))</f>
        <v/>
      </c>
      <c r="CG25" s="164">
        <f>IF(SEMANA2[[#This Row],[1]]="",0,$B$4)</f>
        <v/>
      </c>
      <c r="CH25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5" s="166">
        <f>IF(SEMANA2[[#This Row],[Columna14]]=0,0,(CH25/CG25))</f>
        <v/>
      </c>
      <c r="CJ25" s="165">
        <f>IF(SEMANA2[[#This Row],[1]]="",0,$B$4)</f>
        <v/>
      </c>
      <c r="CK25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5" s="166">
        <f>IF(SEMANA2[[#This Row],[Columna14]]=0,0,(CK25/CJ25))</f>
        <v/>
      </c>
      <c r="CM25" s="164">
        <f>IF(SEMANA2[[#This Row],[1]]="",0,$B$4)</f>
        <v/>
      </c>
      <c r="CN25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5" s="166">
        <f>IF(SEMANA2[[#This Row],[Columna14]]=0,0,(CN25/CM25))</f>
        <v/>
      </c>
      <c r="CP25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5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Row],[Columna25]],$AX$5,BA25,"SF")+COUNTIFS(SEMANA2[[#This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5" s="166">
        <f>IFERROR(IF(SEMANA2[[#This Row],[Columna14]]=0,0,(CQ25/CP25)),0)</f>
        <v/>
      </c>
      <c r="CS25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5" s="95">
        <f>_xlfn.XLOOKUP(SEMANA2[[#This Row],[COD]],BASE01[COD],BASE01[Columna33])</f>
        <v/>
      </c>
      <c r="CU25" s="604">
        <f>SUM(CS25,CT25)</f>
        <v/>
      </c>
      <c r="CV25" s="450">
        <f>IF(SEMANA2[[#This Row],[TIPO]]="PREMIO",$O$3,"0,00")</f>
        <v/>
      </c>
      <c r="CW25" s="576" t="n"/>
      <c r="CY25" s="393" t="inlineStr">
        <is>
          <t>CARRERA</t>
        </is>
      </c>
      <c r="CZ25" s="393">
        <f>_xlfn.XLOOKUP(CZ24,DIV_GAN_SEM_2[DIVIDENDO],DIV_GAN_SEM_2[CARRERA],"")</f>
        <v/>
      </c>
      <c r="DA25" s="392">
        <f t="array" ref="DA25">INDEX(E5:CB5, 1, ($CZ$25-1)*5 + 1)</f>
        <v/>
      </c>
      <c r="DB25" s="605">
        <f>SEMANA2[[#This Row],[COD]]</f>
        <v/>
      </c>
      <c r="DC25" s="395">
        <f t="array" ref="DC25">IFERROR(IF(AND(INDEX($E$8:$CE$57, MATCH($C25, $C$8:$C$57, 0), (COLUMNS($DC25:DC25)-1)*5 + 1) = INDEX($E$5:$CE$5, 1, (COLUMNS($DC25:DC25)-1)*5 + 1), INDEX($E$8:$CE$57, MATCH($C25, $C$8:$C$57, 0), (COLUMNS($DC25:DC25)-1)*5 + 4) = "F"), INDEX($CZ$8:$CZ$23, COLUMNS($DC25:DC25)), "0"), "")</f>
        <v/>
      </c>
      <c r="DD25" s="395">
        <f t="array" ref="DD25">IFERROR(IF(AND(INDEX($E$8:$CE$57, MATCH($C25, $C$8:$C$57, 0), (COLUMNS($DC25:DD25)-1)*5 + 1) = INDEX($E$5:$CE$5, 1, (COLUMNS($DC25:DD25)-1)*5 + 1), INDEX($E$8:$CE$57, MATCH($C25, $C$8:$C$57, 0), (COLUMNS($DC25:DD25)-1)*5 + 4) = "F"), INDEX($CZ$8:$CZ$23, COLUMNS($DC25:DD25)), "0"), "")</f>
        <v/>
      </c>
      <c r="DE25" s="395">
        <f t="array" ref="DE25">IFERROR(IF(AND(INDEX($E$8:$CE$57, MATCH($C25, $C$8:$C$57, 0), (COLUMNS($DC25:DE25)-1)*5 + 1) = INDEX($E$5:$CE$5, 1, (COLUMNS($DC25:DE25)-1)*5 + 1), INDEX($E$8:$CE$57, MATCH($C25, $C$8:$C$57, 0), (COLUMNS($DC25:DE25)-1)*5 + 4) = "F"), INDEX($CZ$8:$CZ$23, COLUMNS($DC25:DE25)), "0"), "")</f>
        <v/>
      </c>
      <c r="DF25" s="395">
        <f t="array" ref="DF25">IFERROR(IF(AND(INDEX($E$8:$CE$57, MATCH($C25, $C$8:$C$57, 0), (COLUMNS($DC25:DF25)-1)*5 + 1) = INDEX($E$5:$CE$5, 1, (COLUMNS($DC25:DF25)-1)*5 + 1), INDEX($E$8:$CE$57, MATCH($C25, $C$8:$C$57, 0), (COLUMNS($DC25:DF25)-1)*5 + 4) = "F"), INDEX($CZ$8:$CZ$23, COLUMNS($DC25:DF25)), "0"), "")</f>
        <v/>
      </c>
      <c r="DG25" s="395">
        <f t="array" ref="DG25">IFERROR(IF(AND(INDEX($E$8:$CE$57, MATCH($C25, $C$8:$C$57, 0), (COLUMNS($DC25:DG25)-1)*5 + 1) = INDEX($E$5:$CE$5, 1, (COLUMNS($DC25:DG25)-1)*5 + 1), INDEX($E$8:$CE$57, MATCH($C25, $C$8:$C$57, 0), (COLUMNS($DC25:DG25)-1)*5 + 4) = "F"), INDEX($CZ$8:$CZ$23, COLUMNS($DC25:DG25)), "0"), "")</f>
        <v/>
      </c>
      <c r="DH25" s="395">
        <f t="array" ref="DH25">IFERROR(IF(AND(INDEX($E$8:$CE$57, MATCH($C25, $C$8:$C$57, 0), (COLUMNS($DC25:DH25)-1)*5 + 1) = INDEX($E$5:$CE$5, 1, (COLUMNS($DC25:DH25)-1)*5 + 1), INDEX($E$8:$CE$57, MATCH($C25, $C$8:$C$57, 0), (COLUMNS($DC25:DH25)-1)*5 + 4) = "F"), INDEX($CZ$8:$CZ$23, COLUMNS($DC25:DH25)), "0"), "")</f>
        <v/>
      </c>
      <c r="DI25" s="395">
        <f t="array" ref="DI25">IFERROR(IF(AND(INDEX($E$8:$CE$57, MATCH($C25, $C$8:$C$57, 0), (COLUMNS($DC25:DI25)-1)*5 + 1) = INDEX($E$5:$CE$5, 1, (COLUMNS($DC25:DI25)-1)*5 + 1), INDEX($E$8:$CE$57, MATCH($C25, $C$8:$C$57, 0), (COLUMNS($DC25:DI25)-1)*5 + 4) = "F"), INDEX($CZ$8:$CZ$23, COLUMNS($DC25:DI25)), "0"), "")</f>
        <v/>
      </c>
      <c r="DJ25" s="395">
        <f t="array" ref="DJ25">IFERROR(IF(AND(INDEX($E$8:$CE$57, MATCH($C25, $C$8:$C$57, 0), (COLUMNS($DC25:DJ25)-1)*5 + 1) = INDEX($E$5:$CE$5, 1, (COLUMNS($DC25:DJ25)-1)*5 + 1), INDEX($E$8:$CE$57, MATCH($C25, $C$8:$C$57, 0), (COLUMNS($DC25:DJ25)-1)*5 + 4) = "F"), INDEX($CZ$8:$CZ$23, COLUMNS($DC25:DJ25)), "0"), "")</f>
        <v/>
      </c>
      <c r="DK25" s="395">
        <f t="array" ref="DK25">IFERROR(IF(AND(INDEX($E$8:$CE$57, MATCH($C25, $C$8:$C$57, 0), (COLUMNS($DC25:DK25)-1)*5 + 1) = INDEX($E$5:$CE$5, 1, (COLUMNS($DC25:DK25)-1)*5 + 1), INDEX($E$8:$CE$57, MATCH($C25, $C$8:$C$57, 0), (COLUMNS($DC25:DK25)-1)*5 + 4) = "F"), INDEX($CZ$8:$CZ$23, COLUMNS($DC25:DK25)), "0"), "")</f>
        <v/>
      </c>
      <c r="DL25" s="395">
        <f t="array" ref="DL25">IFERROR(IF(AND(INDEX($E$8:$CE$57, MATCH($C25, $C$8:$C$57, 0), (COLUMNS($DC25:DL25)-1)*5 + 1) = INDEX($E$5:$CE$5, 1, (COLUMNS($DC25:DL25)-1)*5 + 1), INDEX($E$8:$CE$57, MATCH($C25, $C$8:$C$57, 0), (COLUMNS($DC25:DL25)-1)*5 + 4) = "F"), INDEX($CZ$8:$CZ$23, COLUMNS($DC25:DL25)), "0"), "")</f>
        <v/>
      </c>
      <c r="DM25" s="395">
        <f t="array" ref="DM25">IFERROR(IF(AND(INDEX($E$8:$CE$57, MATCH($C25, $C$8:$C$57, 0), (COLUMNS($DC25:DM25)-1)*5 + 1) = INDEX($E$5:$CE$5, 1, (COLUMNS($DC25:DM25)-1)*5 + 1), INDEX($E$8:$CE$57, MATCH($C25, $C$8:$C$57, 0), (COLUMNS($DC25:DM25)-1)*5 + 4) = "F"), INDEX($CZ$8:$CZ$23, COLUMNS($DC25:DM25)), "0"), "")</f>
        <v/>
      </c>
      <c r="DN25" s="395">
        <f t="array" ref="DN25">IFERROR(IF(AND(INDEX($E$8:$CE$57, MATCH($C25, $C$8:$C$57, 0), (COLUMNS($DC25:DN25)-1)*5 + 1) = INDEX($E$5:$CE$5, 1, (COLUMNS($DC25:DN25)-1)*5 + 1), INDEX($E$8:$CE$57, MATCH($C25, $C$8:$C$57, 0), (COLUMNS($DC25:DN25)-1)*5 + 4) = "F"), INDEX($CZ$8:$CZ$23, COLUMNS($DC25:DN25)), "0"), "")</f>
        <v/>
      </c>
      <c r="DO25" s="395">
        <f t="array" ref="DO25">IFERROR(IF(AND(INDEX($E$8:$CE$57, MATCH($C25, $C$8:$C$57, 0), (COLUMNS($DC25:DO25)-1)*5 + 1) = INDEX($E$5:$CE$5, 1, (COLUMNS($DC25:DO25)-1)*5 + 1), INDEX($E$8:$CE$57, MATCH($C25, $C$8:$C$57, 0), (COLUMNS($DC25:DO25)-1)*5 + 4) = "F"), INDEX($CZ$8:$CZ$23, COLUMNS($DC25:DO25)), "0"), "")</f>
        <v/>
      </c>
      <c r="DP25" s="395">
        <f t="array" ref="DP25">IFERROR(IF(AND(INDEX($E$8:$CE$57, MATCH($C25, $C$8:$C$57, 0), (COLUMNS($DC25:DP25)-1)*5 + 1) = INDEX($E$5:$CE$5, 1, (COLUMNS($DC25:DP25)-1)*5 + 1), INDEX($E$8:$CE$57, MATCH($C25, $C$8:$C$57, 0), (COLUMNS($DC25:DP25)-1)*5 + 4) = "F"), INDEX($CZ$8:$CZ$23, COLUMNS($DC25:DP25)), "0"), "")</f>
        <v/>
      </c>
      <c r="DQ25" s="395">
        <f t="array" ref="DQ25">IFERROR(IF(AND(INDEX($E$8:$CE$57, MATCH($C25, $C$8:$C$57, 0), (COLUMNS($DC25:DQ25)-1)*5 + 1) = INDEX($E$5:$CE$5, 1, (COLUMNS($DC25:DQ25)-1)*5 + 1), INDEX($E$8:$CE$57, MATCH($C25, $C$8:$C$57, 0), (COLUMNS($DC25:DQ25)-1)*5 + 4) = "F"), INDEX($CZ$8:$CZ$23, COLUMNS($DC25:DQ25)), "0"), "")</f>
        <v/>
      </c>
      <c r="DR25" s="395">
        <f t="array" ref="DR25">IFERROR(IF(AND(INDEX($E$8:$CE$57, MATCH($C25, $C$8:$C$57, 0), (COLUMNS($DC25:DR25)-1)*5 + 1) = INDEX($E$5:$CE$5, 1, (COLUMNS($DC25:DR25)-1)*5 + 1), INDEX($E$8:$CE$57, MATCH($C25, $C$8:$C$57, 0), (COLUMNS($DC25:DR25)-1)*5 + 4) = "F"), INDEX($CZ$8:$CZ$23, COLUMNS($DC25:DR25)), "0"), "")</f>
        <v/>
      </c>
      <c r="DT25" s="605">
        <f>SEMANA2[[#This Row],[COD]]</f>
        <v/>
      </c>
      <c r="DU25" s="395">
        <f t="array" ref="DU25">IFERROR(IF(AND(INDEX($E$8:$CE$57, MATCH($C25, $C$8:$C$57, 0), (COLUMNS($DU25:DU25)-1)*5 + 1) = INDEX($E$5:$CE$5, 1, (COLUMNS($DU25:DU25)-1)*5 + 1), INDEX($E$8:$CE$57, MATCH($C25, $C$8:$C$57, 0), (COLUMNS($DU25:DU25)-1)*5 + 4) = "SF"), INDEX($CZ$8:$CZ$23, COLUMNS($DU25:DU25)), "0"), "")</f>
        <v/>
      </c>
      <c r="DV25" s="395">
        <f t="array" ref="DV25">IFERROR(IF(AND(INDEX($E$8:$CE$57, MATCH($C25, $C$8:$C$57, 0), (COLUMNS($DU25:DV25)-1)*5 + 1) = INDEX($E$5:$CE$5, 1, (COLUMNS($DU25:DV25)-1)*5 + 1), INDEX($E$8:$CE$57, MATCH($C25, $C$8:$C$57, 0), (COLUMNS($DU25:DV25)-1)*5 + 4) = "SF"), INDEX($CZ$8:$CZ$23, COLUMNS($DU25:DV25)), "0"), "")</f>
        <v/>
      </c>
      <c r="DW25" s="395">
        <f t="array" ref="DW25">IFERROR(IF(AND(INDEX($E$8:$CE$57, MATCH($C25, $C$8:$C$57, 0), (COLUMNS($DU25:DW25)-1)*5 + 1) = INDEX($E$5:$CE$5, 1, (COLUMNS($DU25:DW25)-1)*5 + 1), INDEX($E$8:$CE$57, MATCH($C25, $C$8:$C$57, 0), (COLUMNS($DU25:DW25)-1)*5 + 4) = "SF"), INDEX($CZ$8:$CZ$23, COLUMNS($DU25:DW25)), "0"), "")</f>
        <v/>
      </c>
      <c r="DX25" s="395">
        <f t="array" ref="DX25">IFERROR(IF(AND(INDEX($E$8:$CE$57, MATCH($C25, $C$8:$C$57, 0), (COLUMNS($DU25:DX25)-1)*5 + 1) = INDEX($E$5:$CE$5, 1, (COLUMNS($DU25:DX25)-1)*5 + 1), INDEX($E$8:$CE$57, MATCH($C25, $C$8:$C$57, 0), (COLUMNS($DU25:DX25)-1)*5 + 4) = "SF"), INDEX($CZ$8:$CZ$23, COLUMNS($DU25:DX25)), "0"), "")</f>
        <v/>
      </c>
      <c r="DY25" s="395">
        <f t="array" ref="DY25">IFERROR(IF(AND(INDEX($E$8:$CE$57, MATCH($C25, $C$8:$C$57, 0), (COLUMNS($DU25:DY25)-1)*5 + 1) = INDEX($E$5:$CE$5, 1, (COLUMNS($DU25:DY25)-1)*5 + 1), INDEX($E$8:$CE$57, MATCH($C25, $C$8:$C$57, 0), (COLUMNS($DU25:DY25)-1)*5 + 4) = "SF"), INDEX($CZ$8:$CZ$23, COLUMNS($DU25:DY25)), "0"), "")</f>
        <v/>
      </c>
      <c r="DZ25" s="395">
        <f t="array" ref="DZ25">IFERROR(IF(AND(INDEX($E$8:$CE$57, MATCH($C25, $C$8:$C$57, 0), (COLUMNS($DU25:DZ25)-1)*5 + 1) = INDEX($E$5:$CE$5, 1, (COLUMNS($DU25:DZ25)-1)*5 + 1), INDEX($E$8:$CE$57, MATCH($C25, $C$8:$C$57, 0), (COLUMNS($DU25:DZ25)-1)*5 + 4) = "SF"), INDEX($CZ$8:$CZ$23, COLUMNS($DU25:DZ25)), "0"), "")</f>
        <v/>
      </c>
      <c r="EA25" s="395">
        <f t="array" ref="EA25">IFERROR(IF(AND(INDEX($E$8:$CE$57, MATCH($C25, $C$8:$C$57, 0), (COLUMNS($DU25:EA25)-1)*5 + 1) = INDEX($E$5:$CE$5, 1, (COLUMNS($DU25:EA25)-1)*5 + 1), INDEX($E$8:$CE$57, MATCH($C25, $C$8:$C$57, 0), (COLUMNS($DU25:EA25)-1)*5 + 4) = "SF"), INDEX($CZ$8:$CZ$23, COLUMNS($DU25:EA25)), "0"), "")</f>
        <v/>
      </c>
      <c r="EB25" s="395">
        <f t="array" ref="EB25">IFERROR(IF(AND(INDEX($E$8:$CE$57, MATCH($C25, $C$8:$C$57, 0), (COLUMNS($DU25:EB25)-1)*5 + 1) = INDEX($E$5:$CE$5, 1, (COLUMNS($DU25:EB25)-1)*5 + 1), INDEX($E$8:$CE$57, MATCH($C25, $C$8:$C$57, 0), (COLUMNS($DU25:EB25)-1)*5 + 4) = "SF"), INDEX($CZ$8:$CZ$23, COLUMNS($DU25:EB25)), "0"), "")</f>
        <v/>
      </c>
      <c r="EC25" s="395">
        <f t="array" ref="EC25">IFERROR(IF(AND(INDEX($E$8:$CE$57, MATCH($C25, $C$8:$C$57, 0), (COLUMNS($DU25:EC25)-1)*5 + 1) = INDEX($E$5:$CE$5, 1, (COLUMNS($DU25:EC25)-1)*5 + 1), INDEX($E$8:$CE$57, MATCH($C25, $C$8:$C$57, 0), (COLUMNS($DU25:EC25)-1)*5 + 4) = "SF"), INDEX($CZ$8:$CZ$23, COLUMNS($DU25:EC25)), "0"), "")</f>
        <v/>
      </c>
      <c r="ED25" s="395">
        <f t="array" ref="ED25">IFERROR(IF(AND(INDEX($E$8:$CE$57, MATCH($C25, $C$8:$C$57, 0), (COLUMNS($DU25:ED25)-1)*5 + 1) = INDEX($E$5:$CE$5, 1, (COLUMNS($DU25:ED25)-1)*5 + 1), INDEX($E$8:$CE$57, MATCH($C25, $C$8:$C$57, 0), (COLUMNS($DU25:ED25)-1)*5 + 4) = "SF"), INDEX($CZ$8:$CZ$23, COLUMNS($DU25:ED25)), "0"), "")</f>
        <v/>
      </c>
      <c r="EE25" s="395">
        <f t="array" ref="EE25">IFERROR(IF(AND(INDEX($E$8:$CE$57, MATCH($C25, $C$8:$C$57, 0), (COLUMNS($DU25:EE25)-1)*5 + 1) = INDEX($E$5:$CE$5, 1, (COLUMNS($DU25:EE25)-1)*5 + 1), INDEX($E$8:$CE$57, MATCH($C25, $C$8:$C$57, 0), (COLUMNS($DU25:EE25)-1)*5 + 4) = "SF"), INDEX($CZ$8:$CZ$23, COLUMNS($DU25:EE25)), "0"), "")</f>
        <v/>
      </c>
      <c r="EF25" s="395">
        <f t="array" ref="EF25">IFERROR(IF(AND(INDEX($E$8:$CE$57, MATCH($C25, $C$8:$C$57, 0), (COLUMNS($DU25:EF25)-1)*5 + 1) = INDEX($E$5:$CE$5, 1, (COLUMNS($DU25:EF25)-1)*5 + 1), INDEX($E$8:$CE$57, MATCH($C25, $C$8:$C$57, 0), (COLUMNS($DU25:EF25)-1)*5 + 4) = "SF"), INDEX($CZ$8:$CZ$23, COLUMNS($DU25:EF25)), "0"), "")</f>
        <v/>
      </c>
      <c r="EG25" s="395">
        <f t="array" ref="EG25">IFERROR(IF(AND(INDEX($E$8:$CE$57, MATCH($C25, $C$8:$C$57, 0), (COLUMNS($DU25:EG25)-1)*5 + 1) = INDEX($E$5:$CE$5, 1, (COLUMNS($DU25:EG25)-1)*5 + 1), INDEX($E$8:$CE$57, MATCH($C25, $C$8:$C$57, 0), (COLUMNS($DU25:EG25)-1)*5 + 4) = "SF"), INDEX($CZ$8:$CZ$23, COLUMNS($DU25:EG25)), "0"), "")</f>
        <v/>
      </c>
      <c r="EH25" s="395">
        <f t="array" ref="EH25">IFERROR(IF(AND(INDEX($E$8:$CE$57, MATCH($C25, $C$8:$C$57, 0), (COLUMNS($DU25:EH25)-1)*5 + 1) = INDEX($E$5:$CE$5, 1, (COLUMNS($DU25:EH25)-1)*5 + 1), INDEX($E$8:$CE$57, MATCH($C25, $C$8:$C$57, 0), (COLUMNS($DU25:EH25)-1)*5 + 4) = "SF"), INDEX($CZ$8:$CZ$23, COLUMNS($DU25:EH25)), "0"), "")</f>
        <v/>
      </c>
      <c r="EI25" s="395">
        <f t="array" ref="EI25">IFERROR(IF(AND(INDEX($E$8:$CE$57, MATCH($C25, $C$8:$C$57, 0), (COLUMNS($DU25:EI25)-1)*5 + 1) = INDEX($E$5:$CE$5, 1, (COLUMNS($DU25:EI25)-1)*5 + 1), INDEX($E$8:$CE$57, MATCH($C25, $C$8:$C$57, 0), (COLUMNS($DU25:EI25)-1)*5 + 4) = "SF"), INDEX($CZ$8:$CZ$23, COLUMNS($DU25:EI25)), "0"), "")</f>
        <v/>
      </c>
      <c r="EJ25" s="395">
        <f t="array" ref="EJ25">IFERROR(IF(AND(INDEX($E$8:$CE$57, MATCH($C25, $C$8:$C$57, 0), (COLUMNS($DU25:EJ25)-1)*5 + 1) = INDEX($E$5:$CE$5, 1, (COLUMNS($DU25:EJ25)-1)*5 + 1), INDEX($E$8:$CE$57, MATCH($C25, $C$8:$C$57, 0), (COLUMNS($DU25:EJ25)-1)*5 + 4) = "SF"), INDEX($CZ$8:$CZ$23, COLUMNS($DU25:EJ25)), "0"), "")</f>
        <v/>
      </c>
    </row>
    <row r="26" ht="20.1" customHeight="1" s="568">
      <c r="A26" s="576" t="n"/>
      <c r="B26" s="449">
        <f>IF(SEMANA2[[#This Row],[COD]]&lt;&gt;"",B25+1,"")</f>
        <v/>
      </c>
      <c r="C26" s="622" t="inlineStr">
        <is>
          <t>COD 19</t>
        </is>
      </c>
      <c r="D26" s="415">
        <f t="array" ref="D26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6" s="416" t="n">
        <v>9</v>
      </c>
      <c r="F26" s="418" t="n">
        <v>6</v>
      </c>
      <c r="G26" s="418" t="n">
        <v>4</v>
      </c>
      <c r="H26" s="418" t="n"/>
      <c r="I26" s="602">
        <f>SUM(IF(E26=E$5,4,0),IF(E26&amp;F26=E$5&amp;F$5,1,0),
IF(AND(E26=E$5,F$6&gt;=$D$115),1,0),
IF(AND(F26=E$5,F$6&gt;=$D$115),1,0),
IF(AND(G26=E$5,F$6&gt;=$D$115),1,0),
IF(E26&amp;H26=I$5,1,0),
IF(F26=E$5,2,0),
IF(G26=E$5,1,0),
IF(OR(E26&amp;F26&amp;G26=E$5&amp;F$5&amp;G$5,E26&amp;F26&amp;G26=E$5&amp;G$5&amp;F$5,E26&amp;F26&amp;G26=F$5&amp;E$5&amp;G$5,E26&amp;F26&amp;G26=F$5&amp;G$5&amp;E$5,E26&amp;F26&amp;G26=G$5&amp;E$5&amp;F$5,E26&amp;F26&amp;G26=G$5&amp;F$5&amp;E$5),2,0),IF(AND(E26=E$5,F$6&gt;=$D$129),1,0),IF(AND(F26=E$5,F$6&gt;=$D$129),1,0),IF(AND(G26=E$5,F$6&gt;=$D$129),1,0),IF(E26&amp;H26=H$5,4,0),IF(AND(E26=E$5,F$6&lt;=$D$104),-0.5,0),IF(AND(F26=E$5,F$6&lt;=$D$104),-0.5,0),IF(AND(G26=E$5,F$6&lt;=$D$104),-0.5,0))</f>
        <v/>
      </c>
      <c r="J26" s="416" t="n">
        <v>1</v>
      </c>
      <c r="K26" s="418" t="n">
        <v>6</v>
      </c>
      <c r="L26" s="418" t="n">
        <v>10</v>
      </c>
      <c r="M26" s="418" t="inlineStr">
        <is>
          <t>F</t>
        </is>
      </c>
      <c r="N26" s="602">
        <f>SUM(IF(J26=J$5,4,0),IF(J26&amp;K26=J$5&amp;K$5,1,0),
IF(AND(J26=J$5,K$6&gt;=$D$115),1,0),
IF(AND(K26=J$5,K$6&gt;=$D$115),1,0),
IF(AND(L26=J$5,K$6&gt;=$D$115),1,0),
IF(J26&amp;M26=N$5,1,0),
IF(K26=J$5,2,0),
IF(L26=J$5,1,0),
IF(OR(J26&amp;K26&amp;L26=J$5&amp;K$5&amp;L$5,J26&amp;K26&amp;L26=J$5&amp;L$5&amp;K$5,J26&amp;K26&amp;L26=K$5&amp;J$5&amp;L$5,J26&amp;K26&amp;L26=K$5&amp;L$5&amp;J$5,J26&amp;K26&amp;L26=L$5&amp;J$5&amp;K$5,J26&amp;K26&amp;L26=L$5&amp;K$5&amp;J$5),2,0),IF(AND(J26=J$5,K$6&gt;=$D$129),1,0),IF(AND(K26=J$5,K$6&gt;=$D$129),1,0),IF(AND(L26=J$5,K$6&gt;=$D$129),1,0),IF(J26&amp;M26=M$5,4,0),IF(AND(J26=J$5,K$6&lt;=$D$104),-0.5,0),IF(AND(K26=J$5,K$6&lt;=$D$104),-0.5,0),IF(AND(L26=J$5,K$6&lt;=$D$104),-0.5,0))</f>
        <v/>
      </c>
      <c r="O26" s="416" t="n">
        <v>5</v>
      </c>
      <c r="P26" s="418" t="n">
        <v>3</v>
      </c>
      <c r="Q26" s="418" t="n">
        <v>1</v>
      </c>
      <c r="R26" s="418" t="n"/>
      <c r="S26" s="602">
        <f>SUM(IF(O26=O$5,4,0),IF(O26&amp;P26=O$5&amp;P$5,1,0),
IF(AND(O26=O$5,P$6&gt;=$D$115),1,0),
IF(AND(P26=O$5,P$6&gt;=$D$115),1,0),
IF(AND(Q26=O$5,P$6&gt;=$D$115),1,0),
IF(O26&amp;R26=S$5,1,0),
IF(P26=O$5,2,0),
IF(Q26=O$5,1,0),
IF(OR(O26&amp;P26&amp;Q26=O$5&amp;P$5&amp;Q$5,O26&amp;P26&amp;Q26=O$5&amp;Q$5&amp;P$5,O26&amp;P26&amp;Q26=P$5&amp;O$5&amp;Q$5,O26&amp;P26&amp;Q26=P$5&amp;Q$5&amp;O$5,O26&amp;P26&amp;Q26=Q$5&amp;O$5&amp;P$5,O26&amp;P26&amp;Q26=Q$5&amp;P$5&amp;O$5),2,0),IF(AND(O26=O$5,P$6&gt;=$D$129),1,0),IF(AND(P26=O$5,P$6&gt;=$D$129),1,0),IF(AND(Q26=O$5,P$6&gt;=$D$129),1,0),IF(O26&amp;R26=R$5,4,0),IF(AND(O26=O$5,P$6&lt;=$D$104),-0.5,0),IF(AND(P26=O$5,P$6&lt;=$D$104),-0.5,0),IF(AND(Q26=O$5,P$6&lt;=$D$104),-0.5,0))</f>
        <v/>
      </c>
      <c r="T26" s="416" t="n">
        <v>1</v>
      </c>
      <c r="U26" s="418" t="n">
        <v>4</v>
      </c>
      <c r="V26" s="418" t="n">
        <v>3</v>
      </c>
      <c r="W26" s="418" t="n"/>
      <c r="X26" s="602">
        <f>SUM(IF(T26=T$5,4,0),IF(T26&amp;U26=T$5&amp;U$5,1,0),
IF(AND(T26=T$5,U$6&gt;=$D$115),1,0),
IF(AND(U26=T$5,U$6&gt;=$D$115),1,0),
IF(AND(V26=T$5,U$6&gt;=$D$115),1,0),
IF(T26&amp;W26=X$5,1,0),
IF(U26=T$5,2,0),
IF(V26=T$5,1,0),
IF(OR(T26&amp;U26&amp;V26=T$5&amp;U$5&amp;V$5,T26&amp;U26&amp;V26=T$5&amp;V$5&amp;U$5,T26&amp;U26&amp;V26=U$5&amp;T$5&amp;V$5,T26&amp;U26&amp;V26=U$5&amp;V$5&amp;T$5,T26&amp;U26&amp;V26=V$5&amp;T$5&amp;U$5,T26&amp;U26&amp;V26=V$5&amp;U$5&amp;T$5),2,0),IF(AND(T26=T$5,U$6&gt;=$D$129),1,0),IF(AND(U26=T$5,U$6&gt;=$D$129),1,0),IF(AND(V26=T$5,U$6&gt;=$D$129),1,0),IF(T26&amp;W26=W$5,4,0),IF(AND(T26=T$5,U$6&lt;=$D$104),-0.5,0),IF(AND(U26=T$5,U$6&lt;=$D$104),-0.5,0),IF(AND(V26=T$5,U$6&lt;=$D$104),-0.5,0))</f>
        <v/>
      </c>
      <c r="Y26" s="416" t="n">
        <v>7</v>
      </c>
      <c r="Z26" s="418" t="n">
        <v>4</v>
      </c>
      <c r="AA26" s="418" t="n">
        <v>1</v>
      </c>
      <c r="AB26" s="418" t="n"/>
      <c r="AC26" s="602">
        <f>SUM(IF(Y26=Y$5,4,0),IF(Y26&amp;Z26=Y$5&amp;Z$5,1,0),
IF(AND(Y26=Y$5,Z$6&gt;=$D$115),1,0),
IF(AND(Z26=Y$5,Z$6&gt;=$D$115),1,0),
IF(AND(AA26=Y$5,Z$6&gt;=$D$115),1,0),
IF(Y26&amp;AB26=AC$5,1,0),
IF(Z26=Y$5,2,0),
IF(AA26=Y$5,1,0),
IF(OR(Y26&amp;Z26&amp;AA26=Y$5&amp;Z$5&amp;AA$5,Y26&amp;Z26&amp;AA26=Y$5&amp;AA$5&amp;Z$5,Y26&amp;Z26&amp;AA26=Z$5&amp;Y$5&amp;AA$5,Y26&amp;Z26&amp;AA26=Z$5&amp;AA$5&amp;Y$5,Y26&amp;Z26&amp;AA26=AA$5&amp;Y$5&amp;Z$5,Y26&amp;Z26&amp;AA26=AA$5&amp;Z$5&amp;Y$5),2,0),IF(AND(Y26=Y$5,Z$6&gt;=$D$129),1,0),IF(AND(Z26=Y$5,Z$6&gt;=$D$129),1,0),IF(AND(AA26=Y$5,Z$6&gt;=$D$129),1,0),IF(Y26&amp;AB26=AB$5,4,0),IF(AND(Y26=Y$5,Z$6&lt;=$D$104),-0.5,0),IF(AND(Z26=Y$5,Z$6&lt;=$D$104),-0.5,0),IF(AND(AA26=Y$5,Z$6&lt;=$D$104),-0.5,0))</f>
        <v/>
      </c>
      <c r="AD26" s="416" t="n">
        <v>7</v>
      </c>
      <c r="AE26" s="418" t="n">
        <v>2</v>
      </c>
      <c r="AF26" s="418" t="n">
        <v>3</v>
      </c>
      <c r="AG26" s="418" t="n"/>
      <c r="AH26" s="602">
        <f>SUM(IF(AD26=AD$5,4,0),IF(AD26&amp;AE26=AD$5&amp;AE$5,1,0),
IF(AND(AD26=AD$5,AE$6&gt;=$D$115),1,0),
IF(AND(AE26=AD$5,AE$6&gt;=$D$115),1,0),
IF(AND(AF26=AD$5,AE$6&gt;=$D$115),1,0),
IF(AD26&amp;AG26=AH$5,1,0),
IF(AE26=AD$5,2,0),
IF(AF26=AD$5,1,0),
IF(OR(AD26&amp;AE26&amp;AF26=AD$5&amp;AE$5&amp;AF$5,AD26&amp;AE26&amp;AF26=AD$5&amp;AF$5&amp;AE$5,AD26&amp;AE26&amp;AF26=AE$5&amp;AD$5&amp;AF$5,AD26&amp;AE26&amp;AF26=AE$5&amp;AF$5&amp;AD$5,AD26&amp;AE26&amp;AF26=AF$5&amp;AD$5&amp;AE$5,AD26&amp;AE26&amp;AF26=AF$5&amp;AE$5&amp;AD$5),2,0),IF(AND(AD26=AD$5,AE$6&gt;=$D$129),1,0),IF(AND(AE26=AD$5,AE$6&gt;=$D$129),1,0),IF(AND(AF26=AD$5,AE$6&gt;=$D$129),1,0),IF(AD26&amp;AG26=AG$5,4,0),IF(AND(AD26=AD$5,AE$6&lt;=$D$104),-0.5,0),IF(AND(AE26=AD$5,AE$6&lt;=$D$104),-0.5,0),IF(AND(AF26=AD$5,AE$6&lt;=$D$104),-0.5,0))</f>
        <v/>
      </c>
      <c r="AI26" s="416" t="n">
        <v>8</v>
      </c>
      <c r="AJ26" s="418" t="n">
        <v>6</v>
      </c>
      <c r="AK26" s="418" t="n">
        <v>7</v>
      </c>
      <c r="AL26" s="418" t="n"/>
      <c r="AM26" s="602">
        <f>SUM(IF(AI26=AI$5,4,0),IF(AI26&amp;AJ26=AI$5&amp;AJ$5,1,0),
IF(AND(AI26=AI$5,AJ$6&gt;=$D$115),1,0),
IF(AND(AJ26=AI$5,AJ$6&gt;=$D$115),1,0),
IF(AND(AK26=AI$5,AJ$6&gt;=$D$115),1,0),
IF(AI26&amp;AL26=AM$5,1,0),
IF(AJ26=AI$5,2,0),
IF(AK26=AI$5,1,0),
IF(OR(AI26&amp;AJ26&amp;AK26=AI$5&amp;AJ$5&amp;AK$5,AI26&amp;AJ26&amp;AK26=AI$5&amp;AK$5&amp;AJ$5,AI26&amp;AJ26&amp;AK26=AJ$5&amp;AI$5&amp;AK$5,AI26&amp;AJ26&amp;AK26=AJ$5&amp;AK$5&amp;AI$5,AI26&amp;AJ26&amp;AK26=AK$5&amp;AI$5&amp;AJ$5,AI26&amp;AJ26&amp;AK26=AK$5&amp;AJ$5&amp;AI$5),2,0),IF(AND(AI26=AI$5,AJ$6&gt;=$D$129),1,0),IF(AND(AJ26=AI$5,AJ$6&gt;=$D$129),1,0),IF(AND(AK26=AI$5,AJ$6&gt;=$D$129),1,0),IF(AI26&amp;AL26=AL$5,4,0),IF(AND(AI26=AI$5,AJ$6&lt;=$D$104),-0.5,0),IF(AND(AJ26=AI$5,AJ$6&lt;=$D$104),-0.5,0),IF(AND(AK26=AI$5,AJ$6&lt;=$D$104),-0.5,0))</f>
        <v/>
      </c>
      <c r="AN26" s="416" t="n">
        <v>8</v>
      </c>
      <c r="AO26" s="418" t="n">
        <v>7</v>
      </c>
      <c r="AP26" s="418" t="n">
        <v>1</v>
      </c>
      <c r="AQ26" s="418" t="n"/>
      <c r="AR26" s="602">
        <f>SUM(IF(AN26=AN$5,4,0),IF(AN26&amp;AO26=AN$5&amp;AO$5,1,0),
IF(AND(AN26=AN$5,AO$6&gt;=$D$115),1,0),
IF(AND(AO26=AN$5,AO$6&gt;=$D$115),1,0),
IF(AND(AP26=AN$5,AO$6&gt;=$D$115),1,0),
IF(AN26&amp;AQ26=AR$5,1,0),
IF(AO26=AN$5,2,0),
IF(AP26=AN$5,1,0),
IF(OR(AN26&amp;AO26&amp;AP26=AN$5&amp;AO$5&amp;AP$5,AN26&amp;AO26&amp;AP26=AN$5&amp;AP$5&amp;AO$5,AN26&amp;AO26&amp;AP26=AO$5&amp;AN$5&amp;AP$5,AN26&amp;AO26&amp;AP26=AO$5&amp;AP$5&amp;AN$5,AN26&amp;AO26&amp;AP26=AP$5&amp;AN$5&amp;AO$5,AN26&amp;AO26&amp;AP26=AP$5&amp;AO$5&amp;AN$5),2,0),IF(AND(AN26=AN$5,AO$6&gt;=$D$129),1,0),IF(AND(AO26=AN$5,AO$6&gt;=$D$129),1,0),IF(AND(AP26=AN$5,AO$6&gt;=$D$129),1,0),IF(AN26&amp;AQ26=AQ$5,4,0),IF(AND(AN26=AN$5,AO$6&lt;=$D$104),-0.5,0),IF(AND(AO26=AN$5,AO$6&lt;=$D$104),-0.5,0),IF(AND(AP26=AN$5,AO$6&lt;=$D$104),-0.5,0))</f>
        <v/>
      </c>
      <c r="AS26" s="416" t="n">
        <v>11</v>
      </c>
      <c r="AT26" s="418" t="n">
        <v>1</v>
      </c>
      <c r="AU26" s="418" t="n">
        <v>2</v>
      </c>
      <c r="AV26" s="418" t="inlineStr">
        <is>
          <t>F</t>
        </is>
      </c>
      <c r="AW26" s="602">
        <f>SUM(IF(AS26=AS$5,4,0),IF(AS26&amp;AT26=AS$5&amp;AT$5,1,0),
IF(AND(AS26=AS$5,AT$6&gt;=$D$115),1,0),
IF(AND(AT26=AS$5,AT$6&gt;=$D$115),1,0),
IF(AND(AU26=AS$5,AT$6&gt;=$D$115),1,0),
IF(AS26&amp;AV26=AW$5,1,0),
IF(AT26=AS$5,2,0),
IF(AU26=AS$5,1,0),
IF(OR(AS26&amp;AT26&amp;AU26=AS$5&amp;AT$5&amp;AU$5,AS26&amp;AT26&amp;AU26=AS$5&amp;AU$5&amp;AT$5,AS26&amp;AT26&amp;AU26=AT$5&amp;AS$5&amp;AU$5,AS26&amp;AT26&amp;AU26=AT$5&amp;AU$5&amp;AS$5,AS26&amp;AT26&amp;AU26=AU$5&amp;AS$5&amp;AT$5,AS26&amp;AT26&amp;AU26=AU$5&amp;AT$5&amp;AS$5),2,0),IF(AND(AS26=AS$5,AT$6&gt;=$D$129),1,0),IF(AND(AT26=AS$5,AT$6&gt;=$D$129),1,0),IF(AND(AU26=AS$5,AT$6&gt;=$D$129),1,0),IF(AS26&amp;AV26=AV$5,4,0),IF(AND(AS26=AS$5,AT$6&lt;=$D$104),-0.5,0),IF(AND(AT26=AS$5,AT$6&lt;=$D$104),-0.5,0),IF(AND(AU26=AS$5,AT$6&lt;=$D$104),-0.5,0))</f>
        <v/>
      </c>
      <c r="AX26" s="416" t="n">
        <v>10</v>
      </c>
      <c r="AY26" s="418" t="n">
        <v>1</v>
      </c>
      <c r="AZ26" s="418" t="n">
        <v>6</v>
      </c>
      <c r="BA26" s="418" t="n"/>
      <c r="BB26" s="602">
        <f>SUM(IF(AX26=AX$5,4,0),IF(AX26&amp;AY26=AX$5&amp;AY$5,1,0),
IF(AND(AX26=AX$5,AY$6&gt;=$D$115),1,0),
IF(AND(AY26=AX$5,AY$6&gt;=$D$115),1,0),
IF(AND(AZ26=AX$5,AY$6&gt;=$D$115),1,0),
IF(AX26&amp;BA26=BB$5,1,0),
IF(AY26=AX$5,2,0),
IF(AZ26=AX$5,1,0),
IF(OR(AX26&amp;AY26&amp;AZ26=AX$5&amp;AY$5&amp;AZ$5,AX26&amp;AY26&amp;AZ26=AX$5&amp;AZ$5&amp;AY$5,AX26&amp;AY26&amp;AZ26=AY$5&amp;AX$5&amp;AZ$5,AX26&amp;AY26&amp;AZ26=AY$5&amp;AZ$5&amp;AX$5,AX26&amp;AY26&amp;AZ26=AZ$5&amp;AX$5&amp;AY$5,AX26&amp;AY26&amp;AZ26=AZ$5&amp;AY$5&amp;AX$5),2,0),IF(AND(AX26=AX$5,AY$6&gt;=$D$129),1,0),IF(AND(AY26=AX$5,AY$6&gt;=$D$129),1,0),IF(AND(AZ26=AX$5,AY$6&gt;=$D$129),1,0),IF(AX26&amp;BA26=BA$5,4,0),IF(AND(AX26=AX$5,AY$6&lt;=$D$104),-0.5,0),IF(AND(AY26=AX$5,AY$6&lt;=$D$104),-0.5,0),IF(AND(AZ26=AX$5,AY$6&lt;=$D$104),-0.5,0))</f>
        <v/>
      </c>
      <c r="BC26" s="416" t="n">
        <v>7</v>
      </c>
      <c r="BD26" s="418" t="n">
        <v>3</v>
      </c>
      <c r="BE26" s="418" t="n">
        <v>6</v>
      </c>
      <c r="BF26" s="418" t="n"/>
      <c r="BG26" s="602">
        <f>SUM(IF(BC26=BC$5,4,0),IF(BC26&amp;BD26=BC$5&amp;BD$5,1,0),
IF(AND(BC26=BC$5,BD$6&gt;=$D$115),1,0),
IF(AND(BD26=BC$5,BD$6&gt;=$D$115),1,0),
IF(AND(BE26=BC$5,BD$6&gt;=$D$115),1,0),
IF(BC26&amp;BF26=BG$5,1,0),
IF(BD26=BC$5,2,0),
IF(BE26=BC$5,1,0),
IF(OR(BC26&amp;BD26&amp;BE26=BC$5&amp;BD$5&amp;BE$5,BC26&amp;BD26&amp;BE26=BC$5&amp;BE$5&amp;BD$5,BC26&amp;BD26&amp;BE26=BD$5&amp;BC$5&amp;BE$5,BC26&amp;BD26&amp;BE26=BD$5&amp;BE$5&amp;BC$5,BC26&amp;BD26&amp;BE26=BE$5&amp;BC$5&amp;BD$5,BC26&amp;BD26&amp;BE26=BE$5&amp;BD$5&amp;BC$5),2,0),IF(AND(BC26=BC$5,BD$6&gt;=$D$129),1,0),IF(AND(BD26=BC$5,BD$6&gt;=$D$129),1,0),IF(AND(BE26=BC$5,BD$6&gt;=$D$129),1,0),IF(BC26&amp;BF26=BF$5,4,0),IF(AND(BC26=BC$5,BD$6&lt;=$D$104),-0.5,0),IF(AND(BD26=BC$5,BD$6&lt;=$D$104),-0.5,0),IF(AND(BE26=BC$5,BD$6&lt;=$D$104),-0.5,0))</f>
        <v/>
      </c>
      <c r="BH26" s="416" t="n">
        <v>2</v>
      </c>
      <c r="BI26" s="418" t="n">
        <v>6</v>
      </c>
      <c r="BJ26" s="418" t="n">
        <v>8</v>
      </c>
      <c r="BK26" s="418" t="n"/>
      <c r="BL26" s="602">
        <f>SUM(IF(BH26=BH$5,4,0),IF(BH26&amp;BI26=BH$5&amp;BI$5,1,0),
IF(AND(BH26=BH$5,BI$6&gt;=$D$115),1,0),
IF(AND(BI26=BH$5,BI$6&gt;=$D$115),1,0),
IF(AND(BJ26=BH$5,BI$6&gt;=$D$115),1,0),
IF(BH26&amp;BK26=BL$5,1,0),
IF(BI26=BH$5,2,0),
IF(BJ26=BH$5,1,0),
IF(OR(BH26&amp;BI26&amp;BJ26=BH$5&amp;BI$5&amp;BJ$5,BH26&amp;BI26&amp;BJ26=BH$5&amp;BJ$5&amp;BI$5,BH26&amp;BI26&amp;BJ26=BI$5&amp;BH$5&amp;BJ$5,BH26&amp;BI26&amp;BJ26=BI$5&amp;BJ$5&amp;BH$5,BH26&amp;BI26&amp;BJ26=BJ$5&amp;BH$5&amp;BI$5,BH26&amp;BI26&amp;BJ26=BJ$5&amp;BI$5&amp;BH$5),2,0),IF(AND(BH26=BH$5,BI$6&gt;=$D$129),1,0),IF(AND(BI26=BH$5,BI$6&gt;=$D$129),1,0),IF(AND(BJ26=BH$5,BI$6&gt;=$D$129),1,0),IF(BH26&amp;BK26=BK$5,4,0),IF(AND(BH26=BH$5,BI$6&lt;=$D$104),-0.5,0),IF(AND(BI26=BH$5,BI$6&lt;=$D$104),-0.5,0),IF(AND(BJ26=BH$5,BI$6&lt;=$D$104),-0.5,0))</f>
        <v/>
      </c>
      <c r="BM26" s="416" t="n">
        <v>4</v>
      </c>
      <c r="BN26" s="418" t="n"/>
      <c r="BO26" s="418" t="n"/>
      <c r="BP26" s="418" t="inlineStr">
        <is>
          <t>SF</t>
        </is>
      </c>
      <c r="BQ26" s="602">
        <f>SUM(IF(BM26=BM$5,4,0),IF(BM26&amp;BN26=BM$5&amp;BN$5,1,0),
IF(AND(BM26=BM$5,BN$6&gt;=$D$115),1,0),
IF(AND(BN26=BM$5,BN$6&gt;=$D$115),1,0),
IF(AND(BO26=BM$5,BN$6&gt;=$D$115),1,0),
IF(BM26&amp;BP26=BQ$5,1,0),
IF(BN26=BM$5,2,0),
IF(BO26=BM$5,1,0),
IF(OR(BM26&amp;BN26&amp;BO26=BM$5&amp;BN$5&amp;BO$5,BM26&amp;BN26&amp;BO26=BM$5&amp;BO$5&amp;BN$5,BM26&amp;BN26&amp;BO26=BN$5&amp;BM$5&amp;BO$5,BM26&amp;BN26&amp;BO26=BN$5&amp;BO$5&amp;BM$5,BM26&amp;BN26&amp;BO26=BO$5&amp;BM$5&amp;BN$5,BM26&amp;BN26&amp;BO26=BO$5&amp;BN$5&amp;BM$5),2,0),IF(AND(BM26=BM$5,BN$6&gt;=$D$129),1,0),IF(AND(BN26=BM$5,BN$6&gt;=$D$129),1,0),IF(AND(BO26=BM$5,BN$6&gt;=$D$129),1,0),IF(BM26&amp;BP26=BP$5,4,0),IF(AND(BM26=BM$5,BN$6&lt;=$D$104),-0.5,0),IF(AND(BN26=BM$5,BN$6&lt;=$D$104),-0.5,0),IF(AND(BO26=BM$5,BN$6&lt;=$D$104),-0.5,0))</f>
        <v/>
      </c>
      <c r="BR26" s="416" t="n">
        <v>5</v>
      </c>
      <c r="BS26" s="418" t="n">
        <v>9</v>
      </c>
      <c r="BT26" s="418" t="n">
        <v>1</v>
      </c>
      <c r="BU26" s="418" t="n"/>
      <c r="BV26" s="602">
        <f>SUM(IF(BR26=BR$5,4,0),IF(BR26&amp;BS26=BR$5&amp;BS$5,1,0),
IF(AND(BR26=BR$5,BS$6&gt;=$D$115),1,0),
IF(AND(BS26=BR$5,BS$6&gt;=$D$115),1,0),
IF(AND(BT26=BR$5,BS$6&gt;=$D$115),1,0),
IF(BR26&amp;BU26=BV$5,1,0),
IF(BS26=BR$5,2,0),
IF(BT26=BR$5,1,0),
IF(OR(BR26&amp;BS26&amp;BT26=BR$5&amp;BS$5&amp;BT$5,BR26&amp;BS26&amp;BT26=BR$5&amp;BT$5&amp;BS$5,BR26&amp;BS26&amp;BT26=BS$5&amp;BR$5&amp;BT$5,BR26&amp;BS26&amp;BT26=BS$5&amp;BT$5&amp;BR$5,BR26&amp;BS26&amp;BT26=BT$5&amp;BR$5&amp;BS$5,BR26&amp;BS26&amp;BT26=BT$5&amp;BS$5&amp;BR$5),2,0),IF(AND(BR26=BR$5,BS$6&gt;=$D$129),1,0),IF(AND(BS26=BR$5,BS$6&gt;=$D$129),1,0),IF(AND(BT26=BR$5,BS$6&gt;=$D$129),1,0),IF(BR26&amp;BU26=BU$5,4,0),IF(AND(BR26=BR$5,BS$6&lt;=$D$104),-0.5,0),IF(AND(BS26=BR$5,BS$6&lt;=$D$104),-0.5,0),IF(AND(BT26=BR$5,BS$6&lt;=$D$104),-0.5,0))</f>
        <v/>
      </c>
      <c r="BW26" s="416" t="n"/>
      <c r="BX26" s="418" t="n"/>
      <c r="BY26" s="418" t="n"/>
      <c r="BZ26" s="418" t="n"/>
      <c r="CA26" s="602">
        <f>SUM(IF(BW26=BW$5,4,0),IF(BW26&amp;BX26=BW$5&amp;BX$5,1,0),
IF(AND(BW26=BW$5,BX$6&gt;=$D$115),1,0),
IF(AND(BX26=BW$5,BX$6&gt;=$D$115),1,0),
IF(AND(BY26=BW$5,BX$6&gt;=$D$115),1,0),
IF(BW26&amp;BZ26=CA$5,1,0),
IF(BX26=BW$5,2,0),
IF(BY26=BW$5,1,0),
IF(OR(BW26&amp;BX26&amp;BY26=BW$5&amp;BX$5&amp;BY$5,BW26&amp;BX26&amp;BY26=BW$5&amp;BY$5&amp;BX$5,BW26&amp;BX26&amp;BY26=BX$5&amp;BW$5&amp;BY$5,BW26&amp;BX26&amp;BY26=BX$5&amp;BY$5&amp;BW$5,BW26&amp;BX26&amp;BY26=BY$5&amp;BW$5&amp;BX$5,BW26&amp;BX26&amp;BY26=BY$5&amp;BX$5&amp;BW$5),2,0),IF(AND(BW26=BW$5,BX$6&gt;=$D$129),1,0),IF(AND(BX26=BW$5,BX$6&gt;=$D$129),1,0),IF(AND(BY26=BW$5,BX$6&gt;=$D$129),1,0),IF(BW26&amp;BZ26=BZ$5,4,0),IF(AND(BW26=BW$5,BX$6&lt;=$D$104),-0.5,0),IF(AND(BX26=BW$5,BX$6&lt;=$D$104),-0.5,0),IF(AND(BY26=BW$5,BX$6&lt;=$D$104),-0.5,0))</f>
        <v/>
      </c>
      <c r="CB26" s="416" t="n"/>
      <c r="CC26" s="418" t="n"/>
      <c r="CD26" s="418" t="n"/>
      <c r="CE26" s="418" t="n"/>
      <c r="CF26" s="602">
        <f>SUM(IF(CB26=CB$5,4,0),IF(CB26&amp;CC26=CB$5&amp;CC$5,1,0),
IF(AND(CB26=CB$5,CC$6&gt;=$D$115),1,0),
IF(AND(CC26=CB$5,CC$6&gt;=$D$115),1,0),
IF(AND(CD26=CB$5,CC$6&gt;=$D$115),1,0),
IF(CB26&amp;CE26=CF$5,1,0),
IF(CC26=CB$5,2,0),
IF(CD26=CB$5,1,0),
IF(OR(CB26&amp;CC26&amp;CD26=CB$5&amp;CC$5&amp;CD$5,CB26&amp;CC26&amp;CD26=CB$5&amp;CD$5&amp;CC$5,CB26&amp;CC26&amp;CD26=CC$5&amp;CB$5&amp;CD$5,CB26&amp;CC26&amp;CD26=CC$5&amp;CD$5&amp;CB$5,CB26&amp;CC26&amp;CD26=CD$5&amp;CB$5&amp;CC$5,CB26&amp;CC26&amp;CD26=CD$5&amp;CC$5&amp;CB$5),2,0),IF(AND(CB26=CB$5,CC$6&gt;=$D$129),1,0),IF(AND(CC26=CB$5,CC$6&gt;=$D$129),1,0),IF(AND(CD26=CB$5,CC$6&gt;=$D$129),1,0),IF(CB26&amp;CE26=CE$5,4,0),IF(AND(CB26=CB$5,CC$6&lt;=$D$104),-0.5,0),IF(AND(CC26=CB$5,CC$6&lt;=$D$104),-0.5,0),IF(AND(CD26=CB$5,CC$6&lt;=$D$104),-0.5,0))</f>
        <v/>
      </c>
      <c r="CG26" s="164">
        <f>IF(SEMANA2[[#This Row],[1]]="",0,$B$4)</f>
        <v/>
      </c>
      <c r="CH26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6" s="166">
        <f>IF(SEMANA2[[#This Row],[Columna14]]=0,0,(CH26/CG26))</f>
        <v/>
      </c>
      <c r="CJ26" s="165">
        <f>IF(SEMANA2[[#This Row],[1]]="",0,$B$4)</f>
        <v/>
      </c>
      <c r="CK26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6" s="166">
        <f>IF(SEMANA2[[#This Row],[Columna14]]=0,0,(CK26/CJ26))</f>
        <v/>
      </c>
      <c r="CM26" s="164">
        <f>IF(SEMANA2[[#This Row],[1]]="",0,$B$4)</f>
        <v/>
      </c>
      <c r="CN26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6" s="166">
        <f>IF(SEMANA2[[#This Row],[Columna14]]=0,0,(CN26/CM26))</f>
        <v/>
      </c>
      <c r="CP26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6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Row],[Columna25]],$AX$5,BA26,"SF")+COUNTIFS(SEMANA2[[#This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6" s="166">
        <f>IFERROR(IF(SEMANA2[[#This Row],[Columna14]]=0,0,(CQ26/CP26)),0)</f>
        <v/>
      </c>
      <c r="CS26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6" s="95">
        <f>_xlfn.XLOOKUP(SEMANA2[[#This Row],[COD]],BASE01[COD],BASE01[Columna33])</f>
        <v/>
      </c>
      <c r="CU26" s="604">
        <f>SUM(CS26,CT26)</f>
        <v/>
      </c>
      <c r="CV26" s="450">
        <f>IF(SEMANA2[[#This Row],[TIPO]]="PREMIO",$O$3,"0,00")</f>
        <v/>
      </c>
      <c r="CW26" s="576" t="n"/>
      <c r="CY26" s="392" t="inlineStr">
        <is>
          <t>CARRERA</t>
        </is>
      </c>
      <c r="CZ26" s="392" t="inlineStr">
        <is>
          <t>CODIGO</t>
        </is>
      </c>
      <c r="DA26" s="392" t="inlineStr">
        <is>
          <t>POSICION</t>
        </is>
      </c>
      <c r="DB26" s="605">
        <f>SEMANA2[[#This Row],[COD]]</f>
        <v/>
      </c>
      <c r="DC26" s="395">
        <f t="array" ref="DC26">IFERROR(IF(AND(INDEX($E$8:$CE$57, MATCH($C26, $C$8:$C$57, 0), (COLUMNS($DC26:DC26)-1)*5 + 1) = INDEX($E$5:$CE$5, 1, (COLUMNS($DC26:DC26)-1)*5 + 1), INDEX($E$8:$CE$57, MATCH($C26, $C$8:$C$57, 0), (COLUMNS($DC26:DC26)-1)*5 + 4) = "F"), INDEX($CZ$8:$CZ$23, COLUMNS($DC26:DC26)), "0"), "")</f>
        <v/>
      </c>
      <c r="DD26" s="395">
        <f t="array" ref="DD26">IFERROR(IF(AND(INDEX($E$8:$CE$57, MATCH($C26, $C$8:$C$57, 0), (COLUMNS($DC26:DD26)-1)*5 + 1) = INDEX($E$5:$CE$5, 1, (COLUMNS($DC26:DD26)-1)*5 + 1), INDEX($E$8:$CE$57, MATCH($C26, $C$8:$C$57, 0), (COLUMNS($DC26:DD26)-1)*5 + 4) = "F"), INDEX($CZ$8:$CZ$23, COLUMNS($DC26:DD26)), "0"), "")</f>
        <v/>
      </c>
      <c r="DE26" s="395">
        <f t="array" ref="DE26">IFERROR(IF(AND(INDEX($E$8:$CE$57, MATCH($C26, $C$8:$C$57, 0), (COLUMNS($DC26:DE26)-1)*5 + 1) = INDEX($E$5:$CE$5, 1, (COLUMNS($DC26:DE26)-1)*5 + 1), INDEX($E$8:$CE$57, MATCH($C26, $C$8:$C$57, 0), (COLUMNS($DC26:DE26)-1)*5 + 4) = "F"), INDEX($CZ$8:$CZ$23, COLUMNS($DC26:DE26)), "0"), "")</f>
        <v/>
      </c>
      <c r="DF26" s="395">
        <f t="array" ref="DF26">IFERROR(IF(AND(INDEX($E$8:$CE$57, MATCH($C26, $C$8:$C$57, 0), (COLUMNS($DC26:DF26)-1)*5 + 1) = INDEX($E$5:$CE$5, 1, (COLUMNS($DC26:DF26)-1)*5 + 1), INDEX($E$8:$CE$57, MATCH($C26, $C$8:$C$57, 0), (COLUMNS($DC26:DF26)-1)*5 + 4) = "F"), INDEX($CZ$8:$CZ$23, COLUMNS($DC26:DF26)), "0"), "")</f>
        <v/>
      </c>
      <c r="DG26" s="395">
        <f t="array" ref="DG26">IFERROR(IF(AND(INDEX($E$8:$CE$57, MATCH($C26, $C$8:$C$57, 0), (COLUMNS($DC26:DG26)-1)*5 + 1) = INDEX($E$5:$CE$5, 1, (COLUMNS($DC26:DG26)-1)*5 + 1), INDEX($E$8:$CE$57, MATCH($C26, $C$8:$C$57, 0), (COLUMNS($DC26:DG26)-1)*5 + 4) = "F"), INDEX($CZ$8:$CZ$23, COLUMNS($DC26:DG26)), "0"), "")</f>
        <v/>
      </c>
      <c r="DH26" s="395">
        <f t="array" ref="DH26">IFERROR(IF(AND(INDEX($E$8:$CE$57, MATCH($C26, $C$8:$C$57, 0), (COLUMNS($DC26:DH26)-1)*5 + 1) = INDEX($E$5:$CE$5, 1, (COLUMNS($DC26:DH26)-1)*5 + 1), INDEX($E$8:$CE$57, MATCH($C26, $C$8:$C$57, 0), (COLUMNS($DC26:DH26)-1)*5 + 4) = "F"), INDEX($CZ$8:$CZ$23, COLUMNS($DC26:DH26)), "0"), "")</f>
        <v/>
      </c>
      <c r="DI26" s="395">
        <f t="array" ref="DI26">IFERROR(IF(AND(INDEX($E$8:$CE$57, MATCH($C26, $C$8:$C$57, 0), (COLUMNS($DC26:DI26)-1)*5 + 1) = INDEX($E$5:$CE$5, 1, (COLUMNS($DC26:DI26)-1)*5 + 1), INDEX($E$8:$CE$57, MATCH($C26, $C$8:$C$57, 0), (COLUMNS($DC26:DI26)-1)*5 + 4) = "F"), INDEX($CZ$8:$CZ$23, COLUMNS($DC26:DI26)), "0"), "")</f>
        <v/>
      </c>
      <c r="DJ26" s="395">
        <f t="array" ref="DJ26">IFERROR(IF(AND(INDEX($E$8:$CE$57, MATCH($C26, $C$8:$C$57, 0), (COLUMNS($DC26:DJ26)-1)*5 + 1) = INDEX($E$5:$CE$5, 1, (COLUMNS($DC26:DJ26)-1)*5 + 1), INDEX($E$8:$CE$57, MATCH($C26, $C$8:$C$57, 0), (COLUMNS($DC26:DJ26)-1)*5 + 4) = "F"), INDEX($CZ$8:$CZ$23, COLUMNS($DC26:DJ26)), "0"), "")</f>
        <v/>
      </c>
      <c r="DK26" s="395">
        <f t="array" ref="DK26">IFERROR(IF(AND(INDEX($E$8:$CE$57, MATCH($C26, $C$8:$C$57, 0), (COLUMNS($DC26:DK26)-1)*5 + 1) = INDEX($E$5:$CE$5, 1, (COLUMNS($DC26:DK26)-1)*5 + 1), INDEX($E$8:$CE$57, MATCH($C26, $C$8:$C$57, 0), (COLUMNS($DC26:DK26)-1)*5 + 4) = "F"), INDEX($CZ$8:$CZ$23, COLUMNS($DC26:DK26)), "0"), "")</f>
        <v/>
      </c>
      <c r="DL26" s="395">
        <f t="array" ref="DL26">IFERROR(IF(AND(INDEX($E$8:$CE$57, MATCH($C26, $C$8:$C$57, 0), (COLUMNS($DC26:DL26)-1)*5 + 1) = INDEX($E$5:$CE$5, 1, (COLUMNS($DC26:DL26)-1)*5 + 1), INDEX($E$8:$CE$57, MATCH($C26, $C$8:$C$57, 0), (COLUMNS($DC26:DL26)-1)*5 + 4) = "F"), INDEX($CZ$8:$CZ$23, COLUMNS($DC26:DL26)), "0"), "")</f>
        <v/>
      </c>
      <c r="DM26" s="395">
        <f t="array" ref="DM26">IFERROR(IF(AND(INDEX($E$8:$CE$57, MATCH($C26, $C$8:$C$57, 0), (COLUMNS($DC26:DM26)-1)*5 + 1) = INDEX($E$5:$CE$5, 1, (COLUMNS($DC26:DM26)-1)*5 + 1), INDEX($E$8:$CE$57, MATCH($C26, $C$8:$C$57, 0), (COLUMNS($DC26:DM26)-1)*5 + 4) = "F"), INDEX($CZ$8:$CZ$23, COLUMNS($DC26:DM26)), "0"), "")</f>
        <v/>
      </c>
      <c r="DN26" s="395">
        <f t="array" ref="DN26">IFERROR(IF(AND(INDEX($E$8:$CE$57, MATCH($C26, $C$8:$C$57, 0), (COLUMNS($DC26:DN26)-1)*5 + 1) = INDEX($E$5:$CE$5, 1, (COLUMNS($DC26:DN26)-1)*5 + 1), INDEX($E$8:$CE$57, MATCH($C26, $C$8:$C$57, 0), (COLUMNS($DC26:DN26)-1)*5 + 4) = "F"), INDEX($CZ$8:$CZ$23, COLUMNS($DC26:DN26)), "0"), "")</f>
        <v/>
      </c>
      <c r="DO26" s="395">
        <f t="array" ref="DO26">IFERROR(IF(AND(INDEX($E$8:$CE$57, MATCH($C26, $C$8:$C$57, 0), (COLUMNS($DC26:DO26)-1)*5 + 1) = INDEX($E$5:$CE$5, 1, (COLUMNS($DC26:DO26)-1)*5 + 1), INDEX($E$8:$CE$57, MATCH($C26, $C$8:$C$57, 0), (COLUMNS($DC26:DO26)-1)*5 + 4) = "F"), INDEX($CZ$8:$CZ$23, COLUMNS($DC26:DO26)), "0"), "")</f>
        <v/>
      </c>
      <c r="DP26" s="395">
        <f t="array" ref="DP26">IFERROR(IF(AND(INDEX($E$8:$CE$57, MATCH($C26, $C$8:$C$57, 0), (COLUMNS($DC26:DP26)-1)*5 + 1) = INDEX($E$5:$CE$5, 1, (COLUMNS($DC26:DP26)-1)*5 + 1), INDEX($E$8:$CE$57, MATCH($C26, $C$8:$C$57, 0), (COLUMNS($DC26:DP26)-1)*5 + 4) = "F"), INDEX($CZ$8:$CZ$23, COLUMNS($DC26:DP26)), "0"), "")</f>
        <v/>
      </c>
      <c r="DQ26" s="395">
        <f t="array" ref="DQ26">IFERROR(IF(AND(INDEX($E$8:$CE$57, MATCH($C26, $C$8:$C$57, 0), (COLUMNS($DC26:DQ26)-1)*5 + 1) = INDEX($E$5:$CE$5, 1, (COLUMNS($DC26:DQ26)-1)*5 + 1), INDEX($E$8:$CE$57, MATCH($C26, $C$8:$C$57, 0), (COLUMNS($DC26:DQ26)-1)*5 + 4) = "F"), INDEX($CZ$8:$CZ$23, COLUMNS($DC26:DQ26)), "0"), "")</f>
        <v/>
      </c>
      <c r="DR26" s="395">
        <f t="array" ref="DR26">IFERROR(IF(AND(INDEX($E$8:$CE$57, MATCH($C26, $C$8:$C$57, 0), (COLUMNS($DC26:DR26)-1)*5 + 1) = INDEX($E$5:$CE$5, 1, (COLUMNS($DC26:DR26)-1)*5 + 1), INDEX($E$8:$CE$57, MATCH($C26, $C$8:$C$57, 0), (COLUMNS($DC26:DR26)-1)*5 + 4) = "F"), INDEX($CZ$8:$CZ$23, COLUMNS($DC26:DR26)), "0"), "")</f>
        <v/>
      </c>
      <c r="DT26" s="605">
        <f>SEMANA2[[#This Row],[COD]]</f>
        <v/>
      </c>
      <c r="DU26" s="395">
        <f t="array" ref="DU26">IFERROR(IF(AND(INDEX($E$8:$CE$57, MATCH($C26, $C$8:$C$57, 0), (COLUMNS($DU26:DU26)-1)*5 + 1) = INDEX($E$5:$CE$5, 1, (COLUMNS($DU26:DU26)-1)*5 + 1), INDEX($E$8:$CE$57, MATCH($C26, $C$8:$C$57, 0), (COLUMNS($DU26:DU26)-1)*5 + 4) = "SF"), INDEX($CZ$8:$CZ$23, COLUMNS($DU26:DU26)), "0"), "")</f>
        <v/>
      </c>
      <c r="DV26" s="395">
        <f t="array" ref="DV26">IFERROR(IF(AND(INDEX($E$8:$CE$57, MATCH($C26, $C$8:$C$57, 0), (COLUMNS($DU26:DV26)-1)*5 + 1) = INDEX($E$5:$CE$5, 1, (COLUMNS($DU26:DV26)-1)*5 + 1), INDEX($E$8:$CE$57, MATCH($C26, $C$8:$C$57, 0), (COLUMNS($DU26:DV26)-1)*5 + 4) = "SF"), INDEX($CZ$8:$CZ$23, COLUMNS($DU26:DV26)), "0"), "")</f>
        <v/>
      </c>
      <c r="DW26" s="395">
        <f t="array" ref="DW26">IFERROR(IF(AND(INDEX($E$8:$CE$57, MATCH($C26, $C$8:$C$57, 0), (COLUMNS($DU26:DW26)-1)*5 + 1) = INDEX($E$5:$CE$5, 1, (COLUMNS($DU26:DW26)-1)*5 + 1), INDEX($E$8:$CE$57, MATCH($C26, $C$8:$C$57, 0), (COLUMNS($DU26:DW26)-1)*5 + 4) = "SF"), INDEX($CZ$8:$CZ$23, COLUMNS($DU26:DW26)), "0"), "")</f>
        <v/>
      </c>
      <c r="DX26" s="395">
        <f t="array" ref="DX26">IFERROR(IF(AND(INDEX($E$8:$CE$57, MATCH($C26, $C$8:$C$57, 0), (COLUMNS($DU26:DX26)-1)*5 + 1) = INDEX($E$5:$CE$5, 1, (COLUMNS($DU26:DX26)-1)*5 + 1), INDEX($E$8:$CE$57, MATCH($C26, $C$8:$C$57, 0), (COLUMNS($DU26:DX26)-1)*5 + 4) = "SF"), INDEX($CZ$8:$CZ$23, COLUMNS($DU26:DX26)), "0"), "")</f>
        <v/>
      </c>
      <c r="DY26" s="395">
        <f t="array" ref="DY26">IFERROR(IF(AND(INDEX($E$8:$CE$57, MATCH($C26, $C$8:$C$57, 0), (COLUMNS($DU26:DY26)-1)*5 + 1) = INDEX($E$5:$CE$5, 1, (COLUMNS($DU26:DY26)-1)*5 + 1), INDEX($E$8:$CE$57, MATCH($C26, $C$8:$C$57, 0), (COLUMNS($DU26:DY26)-1)*5 + 4) = "SF"), INDEX($CZ$8:$CZ$23, COLUMNS($DU26:DY26)), "0"), "")</f>
        <v/>
      </c>
      <c r="DZ26" s="395">
        <f t="array" ref="DZ26">IFERROR(IF(AND(INDEX($E$8:$CE$57, MATCH($C26, $C$8:$C$57, 0), (COLUMNS($DU26:DZ26)-1)*5 + 1) = INDEX($E$5:$CE$5, 1, (COLUMNS($DU26:DZ26)-1)*5 + 1), INDEX($E$8:$CE$57, MATCH($C26, $C$8:$C$57, 0), (COLUMNS($DU26:DZ26)-1)*5 + 4) = "SF"), INDEX($CZ$8:$CZ$23, COLUMNS($DU26:DZ26)), "0"), "")</f>
        <v/>
      </c>
      <c r="EA26" s="395">
        <f t="array" ref="EA26">IFERROR(IF(AND(INDEX($E$8:$CE$57, MATCH($C26, $C$8:$C$57, 0), (COLUMNS($DU26:EA26)-1)*5 + 1) = INDEX($E$5:$CE$5, 1, (COLUMNS($DU26:EA26)-1)*5 + 1), INDEX($E$8:$CE$57, MATCH($C26, $C$8:$C$57, 0), (COLUMNS($DU26:EA26)-1)*5 + 4) = "SF"), INDEX($CZ$8:$CZ$23, COLUMNS($DU26:EA26)), "0"), "")</f>
        <v/>
      </c>
      <c r="EB26" s="395">
        <f t="array" ref="EB26">IFERROR(IF(AND(INDEX($E$8:$CE$57, MATCH($C26, $C$8:$C$57, 0), (COLUMNS($DU26:EB26)-1)*5 + 1) = INDEX($E$5:$CE$5, 1, (COLUMNS($DU26:EB26)-1)*5 + 1), INDEX($E$8:$CE$57, MATCH($C26, $C$8:$C$57, 0), (COLUMNS($DU26:EB26)-1)*5 + 4) = "SF"), INDEX($CZ$8:$CZ$23, COLUMNS($DU26:EB26)), "0"), "")</f>
        <v/>
      </c>
      <c r="EC26" s="395">
        <f t="array" ref="EC26">IFERROR(IF(AND(INDEX($E$8:$CE$57, MATCH($C26, $C$8:$C$57, 0), (COLUMNS($DU26:EC26)-1)*5 + 1) = INDEX($E$5:$CE$5, 1, (COLUMNS($DU26:EC26)-1)*5 + 1), INDEX($E$8:$CE$57, MATCH($C26, $C$8:$C$57, 0), (COLUMNS($DU26:EC26)-1)*5 + 4) = "SF"), INDEX($CZ$8:$CZ$23, COLUMNS($DU26:EC26)), "0"), "")</f>
        <v/>
      </c>
      <c r="ED26" s="395">
        <f t="array" ref="ED26">IFERROR(IF(AND(INDEX($E$8:$CE$57, MATCH($C26, $C$8:$C$57, 0), (COLUMNS($DU26:ED26)-1)*5 + 1) = INDEX($E$5:$CE$5, 1, (COLUMNS($DU26:ED26)-1)*5 + 1), INDEX($E$8:$CE$57, MATCH($C26, $C$8:$C$57, 0), (COLUMNS($DU26:ED26)-1)*5 + 4) = "SF"), INDEX($CZ$8:$CZ$23, COLUMNS($DU26:ED26)), "0"), "")</f>
        <v/>
      </c>
      <c r="EE26" s="395">
        <f t="array" ref="EE26">IFERROR(IF(AND(INDEX($E$8:$CE$57, MATCH($C26, $C$8:$C$57, 0), (COLUMNS($DU26:EE26)-1)*5 + 1) = INDEX($E$5:$CE$5, 1, (COLUMNS($DU26:EE26)-1)*5 + 1), INDEX($E$8:$CE$57, MATCH($C26, $C$8:$C$57, 0), (COLUMNS($DU26:EE26)-1)*5 + 4) = "SF"), INDEX($CZ$8:$CZ$23, COLUMNS($DU26:EE26)), "0"), "")</f>
        <v/>
      </c>
      <c r="EF26" s="395">
        <f t="array" ref="EF26">IFERROR(IF(AND(INDEX($E$8:$CE$57, MATCH($C26, $C$8:$C$57, 0), (COLUMNS($DU26:EF26)-1)*5 + 1) = INDEX($E$5:$CE$5, 1, (COLUMNS($DU26:EF26)-1)*5 + 1), INDEX($E$8:$CE$57, MATCH($C26, $C$8:$C$57, 0), (COLUMNS($DU26:EF26)-1)*5 + 4) = "SF"), INDEX($CZ$8:$CZ$23, COLUMNS($DU26:EF26)), "0"), "")</f>
        <v/>
      </c>
      <c r="EG26" s="395">
        <f t="array" ref="EG26">IFERROR(IF(AND(INDEX($E$8:$CE$57, MATCH($C26, $C$8:$C$57, 0), (COLUMNS($DU26:EG26)-1)*5 + 1) = INDEX($E$5:$CE$5, 1, (COLUMNS($DU26:EG26)-1)*5 + 1), INDEX($E$8:$CE$57, MATCH($C26, $C$8:$C$57, 0), (COLUMNS($DU26:EG26)-1)*5 + 4) = "SF"), INDEX($CZ$8:$CZ$23, COLUMNS($DU26:EG26)), "0"), "")</f>
        <v/>
      </c>
      <c r="EH26" s="395">
        <f t="array" ref="EH26">IFERROR(IF(AND(INDEX($E$8:$CE$57, MATCH($C26, $C$8:$C$57, 0), (COLUMNS($DU26:EH26)-1)*5 + 1) = INDEX($E$5:$CE$5, 1, (COLUMNS($DU26:EH26)-1)*5 + 1), INDEX($E$8:$CE$57, MATCH($C26, $C$8:$C$57, 0), (COLUMNS($DU26:EH26)-1)*5 + 4) = "SF"), INDEX($CZ$8:$CZ$23, COLUMNS($DU26:EH26)), "0"), "")</f>
        <v/>
      </c>
      <c r="EI26" s="395">
        <f t="array" ref="EI26">IFERROR(IF(AND(INDEX($E$8:$CE$57, MATCH($C26, $C$8:$C$57, 0), (COLUMNS($DU26:EI26)-1)*5 + 1) = INDEX($E$5:$CE$5, 1, (COLUMNS($DU26:EI26)-1)*5 + 1), INDEX($E$8:$CE$57, MATCH($C26, $C$8:$C$57, 0), (COLUMNS($DU26:EI26)-1)*5 + 4) = "SF"), INDEX($CZ$8:$CZ$23, COLUMNS($DU26:EI26)), "0"), "")</f>
        <v/>
      </c>
      <c r="EJ26" s="395">
        <f t="array" ref="EJ26">IFERROR(IF(AND(INDEX($E$8:$CE$57, MATCH($C26, $C$8:$C$57, 0), (COLUMNS($DU26:EJ26)-1)*5 + 1) = INDEX($E$5:$CE$5, 1, (COLUMNS($DU26:EJ26)-1)*5 + 1), INDEX($E$8:$CE$57, MATCH($C26, $C$8:$C$57, 0), (COLUMNS($DU26:EJ26)-1)*5 + 4) = "SF"), INDEX($CZ$8:$CZ$23, COLUMNS($DU26:EJ26)), "0"), "")</f>
        <v/>
      </c>
    </row>
    <row r="27" ht="19.5" customHeight="1" s="568">
      <c r="A27" s="576" t="n"/>
      <c r="B27" s="449">
        <f>IF(SEMANA2[[#This Row],[COD]]&lt;&gt;"",B26+1,"")</f>
        <v/>
      </c>
      <c r="C27" s="622" t="inlineStr">
        <is>
          <t>COD 20</t>
        </is>
      </c>
      <c r="D27" s="415">
        <f t="array" ref="D27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7" s="416" t="n">
        <v>9</v>
      </c>
      <c r="F27" s="416" t="n"/>
      <c r="G27" s="416" t="n"/>
      <c r="H27" s="416" t="inlineStr">
        <is>
          <t>SF</t>
        </is>
      </c>
      <c r="I27" s="602">
        <f>SUM(IF(E27=E$5,4,0),IF(E27&amp;F27=E$5&amp;F$5,1,0),
IF(AND(E27=E$5,F$6&gt;=$D$115),1,0),
IF(AND(F27=E$5,F$6&gt;=$D$115),1,0),
IF(AND(G27=E$5,F$6&gt;=$D$115),1,0),
IF(E27&amp;H27=I$5,1,0),
IF(F27=E$5,2,0),
IF(G27=E$5,1,0),
IF(OR(E27&amp;F27&amp;G27=E$5&amp;F$5&amp;G$5,E27&amp;F27&amp;G27=E$5&amp;G$5&amp;F$5,E27&amp;F27&amp;G27=F$5&amp;E$5&amp;G$5,E27&amp;F27&amp;G27=F$5&amp;G$5&amp;E$5,E27&amp;F27&amp;G27=G$5&amp;E$5&amp;F$5,E27&amp;F27&amp;G27=G$5&amp;F$5&amp;E$5),2,0),IF(AND(E27=E$5,F$6&gt;=$D$129),1,0),IF(AND(F27=E$5,F$6&gt;=$D$129),1,0),IF(AND(G27=E$5,F$6&gt;=$D$129),1,0),IF(E27&amp;H27=H$5,4,0),IF(AND(E27=E$5,F$6&lt;=$D$104),-0.5,0),IF(AND(F27=E$5,F$6&lt;=$D$104),-0.5,0),IF(AND(G27=E$5,F$6&lt;=$D$104),-0.5,0))</f>
        <v/>
      </c>
      <c r="J27" s="416" t="n">
        <v>1</v>
      </c>
      <c r="K27" s="416" t="n">
        <v>7</v>
      </c>
      <c r="L27" s="416" t="n">
        <v>2</v>
      </c>
      <c r="M27" s="416" t="n"/>
      <c r="N27" s="602">
        <f>SUM(IF(J27=J$5,4,0),IF(J27&amp;K27=J$5&amp;K$5,1,0),
IF(AND(J27=J$5,K$6&gt;=$D$115),1,0),
IF(AND(K27=J$5,K$6&gt;=$D$115),1,0),
IF(AND(L27=J$5,K$6&gt;=$D$115),1,0),
IF(J27&amp;M27=N$5,1,0),
IF(K27=J$5,2,0),
IF(L27=J$5,1,0),
IF(OR(J27&amp;K27&amp;L27=J$5&amp;K$5&amp;L$5,J27&amp;K27&amp;L27=J$5&amp;L$5&amp;K$5,J27&amp;K27&amp;L27=K$5&amp;J$5&amp;L$5,J27&amp;K27&amp;L27=K$5&amp;L$5&amp;J$5,J27&amp;K27&amp;L27=L$5&amp;J$5&amp;K$5,J27&amp;K27&amp;L27=L$5&amp;K$5&amp;J$5),2,0),IF(AND(J27=J$5,K$6&gt;=$D$129),1,0),IF(AND(K27=J$5,K$6&gt;=$D$129),1,0),IF(AND(L27=J$5,K$6&gt;=$D$129),1,0),IF(J27&amp;M27=M$5,4,0),IF(AND(J27=J$5,K$6&lt;=$D$104),-0.5,0),IF(AND(K27=J$5,K$6&lt;=$D$104),-0.5,0),IF(AND(L27=J$5,K$6&lt;=$D$104),-0.5,0))</f>
        <v/>
      </c>
      <c r="O27" s="416" t="n">
        <v>1</v>
      </c>
      <c r="P27" s="416" t="n">
        <v>5</v>
      </c>
      <c r="Q27" s="416" t="n">
        <v>3</v>
      </c>
      <c r="R27" s="416" t="n"/>
      <c r="S27" s="602">
        <f>SUM(IF(O27=O$5,4,0),IF(O27&amp;P27=O$5&amp;P$5,1,0),
IF(AND(O27=O$5,P$6&gt;=$D$115),1,0),
IF(AND(P27=O$5,P$6&gt;=$D$115),1,0),
IF(AND(Q27=O$5,P$6&gt;=$D$115),1,0),
IF(O27&amp;R27=S$5,1,0),
IF(P27=O$5,2,0),
IF(Q27=O$5,1,0),
IF(OR(O27&amp;P27&amp;Q27=O$5&amp;P$5&amp;Q$5,O27&amp;P27&amp;Q27=O$5&amp;Q$5&amp;P$5,O27&amp;P27&amp;Q27=P$5&amp;O$5&amp;Q$5,O27&amp;P27&amp;Q27=P$5&amp;Q$5&amp;O$5,O27&amp;P27&amp;Q27=Q$5&amp;O$5&amp;P$5,O27&amp;P27&amp;Q27=Q$5&amp;P$5&amp;O$5),2,0),IF(AND(O27=O$5,P$6&gt;=$D$129),1,0),IF(AND(P27=O$5,P$6&gt;=$D$129),1,0),IF(AND(Q27=O$5,P$6&gt;=$D$129),1,0),IF(O27&amp;R27=R$5,4,0),IF(AND(O27=O$5,P$6&lt;=$D$104),-0.5,0),IF(AND(P27=O$5,P$6&lt;=$D$104),-0.5,0),IF(AND(Q27=O$5,P$6&lt;=$D$104),-0.5,0))</f>
        <v/>
      </c>
      <c r="T27" s="416" t="n">
        <v>5</v>
      </c>
      <c r="U27" s="416" t="n">
        <v>3</v>
      </c>
      <c r="V27" s="416" t="n">
        <v>4</v>
      </c>
      <c r="W27" s="416" t="n"/>
      <c r="X27" s="602">
        <f>SUM(IF(T27=T$5,4,0),IF(T27&amp;U27=T$5&amp;U$5,1,0),
IF(AND(T27=T$5,U$6&gt;=$D$115),1,0),
IF(AND(U27=T$5,U$6&gt;=$D$115),1,0),
IF(AND(V27=T$5,U$6&gt;=$D$115),1,0),
IF(T27&amp;W27=X$5,1,0),
IF(U27=T$5,2,0),
IF(V27=T$5,1,0),
IF(OR(T27&amp;U27&amp;V27=T$5&amp;U$5&amp;V$5,T27&amp;U27&amp;V27=T$5&amp;V$5&amp;U$5,T27&amp;U27&amp;V27=U$5&amp;T$5&amp;V$5,T27&amp;U27&amp;V27=U$5&amp;V$5&amp;T$5,T27&amp;U27&amp;V27=V$5&amp;T$5&amp;U$5,T27&amp;U27&amp;V27=V$5&amp;U$5&amp;T$5),2,0),IF(AND(T27=T$5,U$6&gt;=$D$129),1,0),IF(AND(U27=T$5,U$6&gt;=$D$129),1,0),IF(AND(V27=T$5,U$6&gt;=$D$129),1,0),IF(T27&amp;W27=W$5,4,0),IF(AND(T27=T$5,U$6&lt;=$D$104),-0.5,0),IF(AND(U27=T$5,U$6&lt;=$D$104),-0.5,0),IF(AND(V27=T$5,U$6&lt;=$D$104),-0.5,0))</f>
        <v/>
      </c>
      <c r="Y27" s="416" t="n">
        <v>1</v>
      </c>
      <c r="Z27" s="416" t="n">
        <v>7</v>
      </c>
      <c r="AA27" s="416" t="n">
        <v>2</v>
      </c>
      <c r="AB27" s="416" t="n"/>
      <c r="AC27" s="602">
        <f>SUM(IF(Y27=Y$5,4,0),IF(Y27&amp;Z27=Y$5&amp;Z$5,1,0),
IF(AND(Y27=Y$5,Z$6&gt;=$D$115),1,0),
IF(AND(Z27=Y$5,Z$6&gt;=$D$115),1,0),
IF(AND(AA27=Y$5,Z$6&gt;=$D$115),1,0),
IF(Y27&amp;AB27=AC$5,1,0),
IF(Z27=Y$5,2,0),
IF(AA27=Y$5,1,0),
IF(OR(Y27&amp;Z27&amp;AA27=Y$5&amp;Z$5&amp;AA$5,Y27&amp;Z27&amp;AA27=Y$5&amp;AA$5&amp;Z$5,Y27&amp;Z27&amp;AA27=Z$5&amp;Y$5&amp;AA$5,Y27&amp;Z27&amp;AA27=Z$5&amp;AA$5&amp;Y$5,Y27&amp;Z27&amp;AA27=AA$5&amp;Y$5&amp;Z$5,Y27&amp;Z27&amp;AA27=AA$5&amp;Z$5&amp;Y$5),2,0),IF(AND(Y27=Y$5,Z$6&gt;=$D$129),1,0),IF(AND(Z27=Y$5,Z$6&gt;=$D$129),1,0),IF(AND(AA27=Y$5,Z$6&gt;=$D$129),1,0),IF(Y27&amp;AB27=AB$5,4,0),IF(AND(Y27=Y$5,Z$6&lt;=$D$104),-0.5,0),IF(AND(Z27=Y$5,Z$6&lt;=$D$104),-0.5,0),IF(AND(AA27=Y$5,Z$6&lt;=$D$104),-0.5,0))</f>
        <v/>
      </c>
      <c r="AD27" s="416" t="n">
        <v>5</v>
      </c>
      <c r="AE27" s="416" t="n">
        <v>4</v>
      </c>
      <c r="AF27" s="416" t="n">
        <v>2</v>
      </c>
      <c r="AG27" s="416" t="n"/>
      <c r="AH27" s="602">
        <f>SUM(IF(AD27=AD$5,4,0),IF(AD27&amp;AE27=AD$5&amp;AE$5,1,0),
IF(AND(AD27=AD$5,AE$6&gt;=$D$115),1,0),
IF(AND(AE27=AD$5,AE$6&gt;=$D$115),1,0),
IF(AND(AF27=AD$5,AE$6&gt;=$D$115),1,0),
IF(AD27&amp;AG27=AH$5,1,0),
IF(AE27=AD$5,2,0),
IF(AF27=AD$5,1,0),
IF(OR(AD27&amp;AE27&amp;AF27=AD$5&amp;AE$5&amp;AF$5,AD27&amp;AE27&amp;AF27=AD$5&amp;AF$5&amp;AE$5,AD27&amp;AE27&amp;AF27=AE$5&amp;AD$5&amp;AF$5,AD27&amp;AE27&amp;AF27=AE$5&amp;AF$5&amp;AD$5,AD27&amp;AE27&amp;AF27=AF$5&amp;AD$5&amp;AE$5,AD27&amp;AE27&amp;AF27=AF$5&amp;AE$5&amp;AD$5),2,0),IF(AND(AD27=AD$5,AE$6&gt;=$D$129),1,0),IF(AND(AE27=AD$5,AE$6&gt;=$D$129),1,0),IF(AND(AF27=AD$5,AE$6&gt;=$D$129),1,0),IF(AD27&amp;AG27=AG$5,4,0),IF(AND(AD27=AD$5,AE$6&lt;=$D$104),-0.5,0),IF(AND(AE27=AD$5,AE$6&lt;=$D$104),-0.5,0),IF(AND(AF27=AD$5,AE$6&lt;=$D$104),-0.5,0))</f>
        <v/>
      </c>
      <c r="AI27" s="416" t="n">
        <v>7</v>
      </c>
      <c r="AJ27" s="416" t="n">
        <v>6</v>
      </c>
      <c r="AK27" s="416" t="n">
        <v>3</v>
      </c>
      <c r="AL27" s="416" t="n"/>
      <c r="AM27" s="602">
        <f>SUM(IF(AI27=AI$5,4,0),IF(AI27&amp;AJ27=AI$5&amp;AJ$5,1,0),
IF(AND(AI27=AI$5,AJ$6&gt;=$D$115),1,0),
IF(AND(AJ27=AI$5,AJ$6&gt;=$D$115),1,0),
IF(AND(AK27=AI$5,AJ$6&gt;=$D$115),1,0),
IF(AI27&amp;AL27=AM$5,1,0),
IF(AJ27=AI$5,2,0),
IF(AK27=AI$5,1,0),
IF(OR(AI27&amp;AJ27&amp;AK27=AI$5&amp;AJ$5&amp;AK$5,AI27&amp;AJ27&amp;AK27=AI$5&amp;AK$5&amp;AJ$5,AI27&amp;AJ27&amp;AK27=AJ$5&amp;AI$5&amp;AK$5,AI27&amp;AJ27&amp;AK27=AJ$5&amp;AK$5&amp;AI$5,AI27&amp;AJ27&amp;AK27=AK$5&amp;AI$5&amp;AJ$5,AI27&amp;AJ27&amp;AK27=AK$5&amp;AJ$5&amp;AI$5),2,0),IF(AND(AI27=AI$5,AJ$6&gt;=$D$129),1,0),IF(AND(AJ27=AI$5,AJ$6&gt;=$D$129),1,0),IF(AND(AK27=AI$5,AJ$6&gt;=$D$129),1,0),IF(AI27&amp;AL27=AL$5,4,0),IF(AND(AI27=AI$5,AJ$6&lt;=$D$104),-0.5,0),IF(AND(AJ27=AI$5,AJ$6&lt;=$D$104),-0.5,0),IF(AND(AK27=AI$5,AJ$6&lt;=$D$104),-0.5,0))</f>
        <v/>
      </c>
      <c r="AN27" s="416" t="n">
        <v>8</v>
      </c>
      <c r="AO27" s="416" t="n">
        <v>1</v>
      </c>
      <c r="AP27" s="416" t="n">
        <v>2</v>
      </c>
      <c r="AQ27" s="416" t="inlineStr">
        <is>
          <t>F</t>
        </is>
      </c>
      <c r="AR27" s="602">
        <f>SUM(IF(AN27=AN$5,4,0),IF(AN27&amp;AO27=AN$5&amp;AO$5,1,0),
IF(AND(AN27=AN$5,AO$6&gt;=$D$115),1,0),
IF(AND(AO27=AN$5,AO$6&gt;=$D$115),1,0),
IF(AND(AP27=AN$5,AO$6&gt;=$D$115),1,0),
IF(AN27&amp;AQ27=AR$5,1,0),
IF(AO27=AN$5,2,0),
IF(AP27=AN$5,1,0),
IF(OR(AN27&amp;AO27&amp;AP27=AN$5&amp;AO$5&amp;AP$5,AN27&amp;AO27&amp;AP27=AN$5&amp;AP$5&amp;AO$5,AN27&amp;AO27&amp;AP27=AO$5&amp;AN$5&amp;AP$5,AN27&amp;AO27&amp;AP27=AO$5&amp;AP$5&amp;AN$5,AN27&amp;AO27&amp;AP27=AP$5&amp;AN$5&amp;AO$5,AN27&amp;AO27&amp;AP27=AP$5&amp;AO$5&amp;AN$5),2,0),IF(AND(AN27=AN$5,AO$6&gt;=$D$129),1,0),IF(AND(AO27=AN$5,AO$6&gt;=$D$129),1,0),IF(AND(AP27=AN$5,AO$6&gt;=$D$129),1,0),IF(AN27&amp;AQ27=AQ$5,4,0),IF(AND(AN27=AN$5,AO$6&lt;=$D$104),-0.5,0),IF(AND(AO27=AN$5,AO$6&lt;=$D$104),-0.5,0),IF(AND(AP27=AN$5,AO$6&lt;=$D$104),-0.5,0))</f>
        <v/>
      </c>
      <c r="AS27" s="416" t="n">
        <v>2</v>
      </c>
      <c r="AT27" s="416" t="n">
        <v>6</v>
      </c>
      <c r="AU27" s="416" t="n">
        <v>9</v>
      </c>
      <c r="AV27" s="416" t="n"/>
      <c r="AW27" s="602">
        <f>SUM(IF(AS27=AS$5,4,0),IF(AS27&amp;AT27=AS$5&amp;AT$5,1,0),
IF(AND(AS27=AS$5,AT$6&gt;=$D$115),1,0),
IF(AND(AT27=AS$5,AT$6&gt;=$D$115),1,0),
IF(AND(AU27=AS$5,AT$6&gt;=$D$115),1,0),
IF(AS27&amp;AV27=AW$5,1,0),
IF(AT27=AS$5,2,0),
IF(AU27=AS$5,1,0),
IF(OR(AS27&amp;AT27&amp;AU27=AS$5&amp;AT$5&amp;AU$5,AS27&amp;AT27&amp;AU27=AS$5&amp;AU$5&amp;AT$5,AS27&amp;AT27&amp;AU27=AT$5&amp;AS$5&amp;AU$5,AS27&amp;AT27&amp;AU27=AT$5&amp;AU$5&amp;AS$5,AS27&amp;AT27&amp;AU27=AU$5&amp;AS$5&amp;AT$5,AS27&amp;AT27&amp;AU27=AU$5&amp;AT$5&amp;AS$5),2,0),IF(AND(AS27=AS$5,AT$6&gt;=$D$129),1,0),IF(AND(AT27=AS$5,AT$6&gt;=$D$129),1,0),IF(AND(AU27=AS$5,AT$6&gt;=$D$129),1,0),IF(AS27&amp;AV27=AV$5,4,0),IF(AND(AS27=AS$5,AT$6&lt;=$D$104),-0.5,0),IF(AND(AT27=AS$5,AT$6&lt;=$D$104),-0.5,0),IF(AND(AU27=AS$5,AT$6&lt;=$D$104),-0.5,0))</f>
        <v/>
      </c>
      <c r="AX27" s="416" t="n">
        <v>10</v>
      </c>
      <c r="AY27" s="416" t="n">
        <v>2</v>
      </c>
      <c r="AZ27" s="416" t="n">
        <v>1</v>
      </c>
      <c r="BA27" s="416" t="n"/>
      <c r="BB27" s="602">
        <f>SUM(IF(AX27=AX$5,4,0),IF(AX27&amp;AY27=AX$5&amp;AY$5,1,0),
IF(AND(AX27=AX$5,AY$6&gt;=$D$115),1,0),
IF(AND(AY27=AX$5,AY$6&gt;=$D$115),1,0),
IF(AND(AZ27=AX$5,AY$6&gt;=$D$115),1,0),
IF(AX27&amp;BA27=BB$5,1,0),
IF(AY27=AX$5,2,0),
IF(AZ27=AX$5,1,0),
IF(OR(AX27&amp;AY27&amp;AZ27=AX$5&amp;AY$5&amp;AZ$5,AX27&amp;AY27&amp;AZ27=AX$5&amp;AZ$5&amp;AY$5,AX27&amp;AY27&amp;AZ27=AY$5&amp;AX$5&amp;AZ$5,AX27&amp;AY27&amp;AZ27=AY$5&amp;AZ$5&amp;AX$5,AX27&amp;AY27&amp;AZ27=AZ$5&amp;AX$5&amp;AY$5,AX27&amp;AY27&amp;AZ27=AZ$5&amp;AY$5&amp;AX$5),2,0),IF(AND(AX27=AX$5,AY$6&gt;=$D$129),1,0),IF(AND(AY27=AX$5,AY$6&gt;=$D$129),1,0),IF(AND(AZ27=AX$5,AY$6&gt;=$D$129),1,0),IF(AX27&amp;BA27=BA$5,4,0),IF(AND(AX27=AX$5,AY$6&lt;=$D$104),-0.5,0),IF(AND(AY27=AX$5,AY$6&lt;=$D$104),-0.5,0),IF(AND(AZ27=AX$5,AY$6&lt;=$D$104),-0.5,0))</f>
        <v/>
      </c>
      <c r="BC27" s="416" t="n">
        <v>7</v>
      </c>
      <c r="BD27" s="416" t="n">
        <v>3</v>
      </c>
      <c r="BE27" s="416" t="n">
        <v>5</v>
      </c>
      <c r="BF27" s="416" t="n"/>
      <c r="BG27" s="602">
        <f>SUM(IF(BC27=BC$5,4,0),IF(BC27&amp;BD27=BC$5&amp;BD$5,1,0),
IF(AND(BC27=BC$5,BD$6&gt;=$D$115),1,0),
IF(AND(BD27=BC$5,BD$6&gt;=$D$115),1,0),
IF(AND(BE27=BC$5,BD$6&gt;=$D$115),1,0),
IF(BC27&amp;BF27=BG$5,1,0),
IF(BD27=BC$5,2,0),
IF(BE27=BC$5,1,0),
IF(OR(BC27&amp;BD27&amp;BE27=BC$5&amp;BD$5&amp;BE$5,BC27&amp;BD27&amp;BE27=BC$5&amp;BE$5&amp;BD$5,BC27&amp;BD27&amp;BE27=BD$5&amp;BC$5&amp;BE$5,BC27&amp;BD27&amp;BE27=BD$5&amp;BE$5&amp;BC$5,BC27&amp;BD27&amp;BE27=BE$5&amp;BC$5&amp;BD$5,BC27&amp;BD27&amp;BE27=BE$5&amp;BD$5&amp;BC$5),2,0),IF(AND(BC27=BC$5,BD$6&gt;=$D$129),1,0),IF(AND(BD27=BC$5,BD$6&gt;=$D$129),1,0),IF(AND(BE27=BC$5,BD$6&gt;=$D$129),1,0),IF(BC27&amp;BF27=BF$5,4,0),IF(AND(BC27=BC$5,BD$6&lt;=$D$104),-0.5,0),IF(AND(BD27=BC$5,BD$6&lt;=$D$104),-0.5,0),IF(AND(BE27=BC$5,BD$6&lt;=$D$104),-0.5,0))</f>
        <v/>
      </c>
      <c r="BH27" s="416" t="n">
        <v>6</v>
      </c>
      <c r="BI27" s="416" t="n">
        <v>2</v>
      </c>
      <c r="BJ27" s="416" t="n">
        <v>8</v>
      </c>
      <c r="BK27" s="416" t="n"/>
      <c r="BL27" s="602">
        <f>SUM(IF(BH27=BH$5,4,0),IF(BH27&amp;BI27=BH$5&amp;BI$5,1,0),
IF(AND(BH27=BH$5,BI$6&gt;=$D$115),1,0),
IF(AND(BI27=BH$5,BI$6&gt;=$D$115),1,0),
IF(AND(BJ27=BH$5,BI$6&gt;=$D$115),1,0),
IF(BH27&amp;BK27=BL$5,1,0),
IF(BI27=BH$5,2,0),
IF(BJ27=BH$5,1,0),
IF(OR(BH27&amp;BI27&amp;BJ27=BH$5&amp;BI$5&amp;BJ$5,BH27&amp;BI27&amp;BJ27=BH$5&amp;BJ$5&amp;BI$5,BH27&amp;BI27&amp;BJ27=BI$5&amp;BH$5&amp;BJ$5,BH27&amp;BI27&amp;BJ27=BI$5&amp;BJ$5&amp;BH$5,BH27&amp;BI27&amp;BJ27=BJ$5&amp;BH$5&amp;BI$5,BH27&amp;BI27&amp;BJ27=BJ$5&amp;BI$5&amp;BH$5),2,0),IF(AND(BH27=BH$5,BI$6&gt;=$D$129),1,0),IF(AND(BI27=BH$5,BI$6&gt;=$D$129),1,0),IF(AND(BJ27=BH$5,BI$6&gt;=$D$129),1,0),IF(BH27&amp;BK27=BK$5,4,0),IF(AND(BH27=BH$5,BI$6&lt;=$D$104),-0.5,0),IF(AND(BI27=BH$5,BI$6&lt;=$D$104),-0.5,0),IF(AND(BJ27=BH$5,BI$6&lt;=$D$104),-0.5,0))</f>
        <v/>
      </c>
      <c r="BM27" s="416" t="n">
        <v>4</v>
      </c>
      <c r="BN27" s="416" t="n">
        <v>9</v>
      </c>
      <c r="BO27" s="416" t="n">
        <v>1</v>
      </c>
      <c r="BP27" s="416" t="inlineStr">
        <is>
          <t>F</t>
        </is>
      </c>
      <c r="BQ27" s="602">
        <f>SUM(IF(BM27=BM$5,4,0),IF(BM27&amp;BN27=BM$5&amp;BN$5,1,0),
IF(AND(BM27=BM$5,BN$6&gt;=$D$115),1,0),
IF(AND(BN27=BM$5,BN$6&gt;=$D$115),1,0),
IF(AND(BO27=BM$5,BN$6&gt;=$D$115),1,0),
IF(BM27&amp;BP27=BQ$5,1,0),
IF(BN27=BM$5,2,0),
IF(BO27=BM$5,1,0),
IF(OR(BM27&amp;BN27&amp;BO27=BM$5&amp;BN$5&amp;BO$5,BM27&amp;BN27&amp;BO27=BM$5&amp;BO$5&amp;BN$5,BM27&amp;BN27&amp;BO27=BN$5&amp;BM$5&amp;BO$5,BM27&amp;BN27&amp;BO27=BN$5&amp;BO$5&amp;BM$5,BM27&amp;BN27&amp;BO27=BO$5&amp;BM$5&amp;BN$5,BM27&amp;BN27&amp;BO27=BO$5&amp;BN$5&amp;BM$5),2,0),IF(AND(BM27=BM$5,BN$6&gt;=$D$129),1,0),IF(AND(BN27=BM$5,BN$6&gt;=$D$129),1,0),IF(AND(BO27=BM$5,BN$6&gt;=$D$129),1,0),IF(BM27&amp;BP27=BP$5,4,0),IF(AND(BM27=BM$5,BN$6&lt;=$D$104),-0.5,0),IF(AND(BN27=BM$5,BN$6&lt;=$D$104),-0.5,0),IF(AND(BO27=BM$5,BN$6&lt;=$D$104),-0.5,0))</f>
        <v/>
      </c>
      <c r="BR27" s="416" t="n">
        <v>11</v>
      </c>
      <c r="BS27" s="416" t="n">
        <v>5</v>
      </c>
      <c r="BT27" s="416" t="n">
        <v>1</v>
      </c>
      <c r="BU27" s="416" t="n"/>
      <c r="BV27" s="602">
        <f>SUM(IF(BR27=BR$5,4,0),IF(BR27&amp;BS27=BR$5&amp;BS$5,1,0),
IF(AND(BR27=BR$5,BS$6&gt;=$D$115),1,0),
IF(AND(BS27=BR$5,BS$6&gt;=$D$115),1,0),
IF(AND(BT27=BR$5,BS$6&gt;=$D$115),1,0),
IF(BR27&amp;BU27=BV$5,1,0),
IF(BS27=BR$5,2,0),
IF(BT27=BR$5,1,0),
IF(OR(BR27&amp;BS27&amp;BT27=BR$5&amp;BS$5&amp;BT$5,BR27&amp;BS27&amp;BT27=BR$5&amp;BT$5&amp;BS$5,BR27&amp;BS27&amp;BT27=BS$5&amp;BR$5&amp;BT$5,BR27&amp;BS27&amp;BT27=BS$5&amp;BT$5&amp;BR$5,BR27&amp;BS27&amp;BT27=BT$5&amp;BR$5&amp;BS$5,BR27&amp;BS27&amp;BT27=BT$5&amp;BS$5&amp;BR$5),2,0),IF(AND(BR27=BR$5,BS$6&gt;=$D$129),1,0),IF(AND(BS27=BR$5,BS$6&gt;=$D$129),1,0),IF(AND(BT27=BR$5,BS$6&gt;=$D$129),1,0),IF(BR27&amp;BU27=BU$5,4,0),IF(AND(BR27=BR$5,BS$6&lt;=$D$104),-0.5,0),IF(AND(BS27=BR$5,BS$6&lt;=$D$104),-0.5,0),IF(AND(BT27=BR$5,BS$6&lt;=$D$104),-0.5,0))</f>
        <v/>
      </c>
      <c r="BW27" s="416" t="n"/>
      <c r="BX27" s="416" t="n"/>
      <c r="BY27" s="416" t="n"/>
      <c r="BZ27" s="416" t="n"/>
      <c r="CA27" s="602">
        <f>SUM(IF(BW27=BW$5,4,0),IF(BW27&amp;BX27=BW$5&amp;BX$5,1,0),
IF(AND(BW27=BW$5,BX$6&gt;=$D$115),1,0),
IF(AND(BX27=BW$5,BX$6&gt;=$D$115),1,0),
IF(AND(BY27=BW$5,BX$6&gt;=$D$115),1,0),
IF(BW27&amp;BZ27=CA$5,1,0),
IF(BX27=BW$5,2,0),
IF(BY27=BW$5,1,0),
IF(OR(BW27&amp;BX27&amp;BY27=BW$5&amp;BX$5&amp;BY$5,BW27&amp;BX27&amp;BY27=BW$5&amp;BY$5&amp;BX$5,BW27&amp;BX27&amp;BY27=BX$5&amp;BW$5&amp;BY$5,BW27&amp;BX27&amp;BY27=BX$5&amp;BY$5&amp;BW$5,BW27&amp;BX27&amp;BY27=BY$5&amp;BW$5&amp;BX$5,BW27&amp;BX27&amp;BY27=BY$5&amp;BX$5&amp;BW$5),2,0),IF(AND(BW27=BW$5,BX$6&gt;=$D$129),1,0),IF(AND(BX27=BW$5,BX$6&gt;=$D$129),1,0),IF(AND(BY27=BW$5,BX$6&gt;=$D$129),1,0),IF(BW27&amp;BZ27=BZ$5,4,0),IF(AND(BW27=BW$5,BX$6&lt;=$D$104),-0.5,0),IF(AND(BX27=BW$5,BX$6&lt;=$D$104),-0.5,0),IF(AND(BY27=BW$5,BX$6&lt;=$D$104),-0.5,0))</f>
        <v/>
      </c>
      <c r="CB27" s="416" t="n"/>
      <c r="CC27" s="416" t="n"/>
      <c r="CD27" s="416" t="n"/>
      <c r="CE27" s="416" t="n"/>
      <c r="CF27" s="602">
        <f>SUM(IF(CB27=CB$5,4,0),IF(CB27&amp;CC27=CB$5&amp;CC$5,1,0),
IF(AND(CB27=CB$5,CC$6&gt;=$D$115),1,0),
IF(AND(CC27=CB$5,CC$6&gt;=$D$115),1,0),
IF(AND(CD27=CB$5,CC$6&gt;=$D$115),1,0),
IF(CB27&amp;CE27=CF$5,1,0),
IF(CC27=CB$5,2,0),
IF(CD27=CB$5,1,0),
IF(OR(CB27&amp;CC27&amp;CD27=CB$5&amp;CC$5&amp;CD$5,CB27&amp;CC27&amp;CD27=CB$5&amp;CD$5&amp;CC$5,CB27&amp;CC27&amp;CD27=CC$5&amp;CB$5&amp;CD$5,CB27&amp;CC27&amp;CD27=CC$5&amp;CD$5&amp;CB$5,CB27&amp;CC27&amp;CD27=CD$5&amp;CB$5&amp;CC$5,CB27&amp;CC27&amp;CD27=CD$5&amp;CC$5&amp;CB$5),2,0),IF(AND(CB27=CB$5,CC$6&gt;=$D$129),1,0),IF(AND(CC27=CB$5,CC$6&gt;=$D$129),1,0),IF(AND(CD27=CB$5,CC$6&gt;=$D$129),1,0),IF(CB27&amp;CE27=CE$5,4,0),IF(AND(CB27=CB$5,CC$6&lt;=$D$104),-0.5,0),IF(AND(CC27=CB$5,CC$6&lt;=$D$104),-0.5,0),IF(AND(CD27=CB$5,CC$6&lt;=$D$104),-0.5,0))</f>
        <v/>
      </c>
      <c r="CG27" s="164">
        <f>IF(SEMANA2[[#This Row],[1]]="",0,$B$4)</f>
        <v/>
      </c>
      <c r="CH27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7" s="166">
        <f>IF(SEMANA2[[#This Row],[Columna14]]=0,0,(CH27/CG27))</f>
        <v/>
      </c>
      <c r="CJ27" s="165">
        <f>IF(SEMANA2[[#This Row],[1]]="",0,$B$4)</f>
        <v/>
      </c>
      <c r="CK27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7" s="166">
        <f>IF(SEMANA2[[#This Row],[Columna14]]=0,0,(CK27/CJ27))</f>
        <v/>
      </c>
      <c r="CM27" s="164">
        <f>IF(SEMANA2[[#This Row],[1]]="",0,$B$4)</f>
        <v/>
      </c>
      <c r="CN27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7" s="166">
        <f>IF(SEMANA2[[#This Row],[Columna14]]=0,0,(CN27/CM27))</f>
        <v/>
      </c>
      <c r="CP27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7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Row],[Columna25]],$AX$5,BA27,"SF")+COUNTIFS(SEMANA2[[#This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7" s="166">
        <f>IFERROR(IF(SEMANA2[[#This Row],[Columna14]]=0,0,(CQ27/CP27)),0)</f>
        <v/>
      </c>
      <c r="CS27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7" s="95">
        <f>_xlfn.XLOOKUP(SEMANA2[[#This Row],[COD]],BASE01[COD],BASE01[Columna33])</f>
        <v/>
      </c>
      <c r="CU27" s="604">
        <f>SUM(CS27,CT27)</f>
        <v/>
      </c>
      <c r="CV27" s="450">
        <f>IF(SEMANA2[[#This Row],[TIPO]]="PREMIO",$O$3,"0,00")</f>
        <v/>
      </c>
      <c r="CW27" s="576" t="n"/>
      <c r="CY27" s="392">
        <f>IF(CZ27="","",$CZ$25)</f>
        <v/>
      </c>
      <c r="CZ27" s="392">
        <f t="array" ref="CZ27:CZ36">_xlfn._xlws.FILTER(C$8:C$57, INDEX(E$8:CE$57, 0, ($CZ$25-1)*5 + 5) &gt; 0, "")</f>
        <v/>
      </c>
      <c r="DA27" s="392">
        <f t="array" ref="DA27">IF(CZ27="", "", IF((INDEX(E$8:CE$57, MATCH(CZ27, C$8:C$57, 0), ($CZ$25-1)*5 + 1) &amp; "") = (INDEX(E$5:CE$5, 1, ($CZ$25-1)*5 + 1) &amp; ""), 1, IF((INDEX(E$8:CE$57, MATCH(CZ27, C$8:C$57, 0), ($CZ$25-1)*5 + 2) &amp; "") = (INDEX(E$5:CE$5, 1, ($CZ$25-1)*5 + 1) &amp; ""), 2, IF((INDEX(E$8:CE$57, MATCH(CZ27, C$8:C$57, 0), ($CZ$25-1)*5 + 3) &amp; "") = (INDEX(E$5:CE$5, 1, ($CZ$25-1)*5 + 1) &amp; ""), 3, ""))))</f>
        <v/>
      </c>
      <c r="DB27" s="605">
        <f>SEMANA2[[#This Row],[COD]]</f>
        <v/>
      </c>
      <c r="DC27" s="395">
        <f t="array" ref="DC27">IFERROR(IF(AND(INDEX($E$8:$CE$57, MATCH($C27, $C$8:$C$57, 0), (COLUMNS($DC27:DC27)-1)*5 + 1) = INDEX($E$5:$CE$5, 1, (COLUMNS($DC27:DC27)-1)*5 + 1), INDEX($E$8:$CE$57, MATCH($C27, $C$8:$C$57, 0), (COLUMNS($DC27:DC27)-1)*5 + 4) = "F"), INDEX($CZ$8:$CZ$23, COLUMNS($DC27:DC27)), "0"), "")</f>
        <v/>
      </c>
      <c r="DD27" s="395">
        <f t="array" ref="DD27">IFERROR(IF(AND(INDEX($E$8:$CE$57, MATCH($C27, $C$8:$C$57, 0), (COLUMNS($DC27:DD27)-1)*5 + 1) = INDEX($E$5:$CE$5, 1, (COLUMNS($DC27:DD27)-1)*5 + 1), INDEX($E$8:$CE$57, MATCH($C27, $C$8:$C$57, 0), (COLUMNS($DC27:DD27)-1)*5 + 4) = "F"), INDEX($CZ$8:$CZ$23, COLUMNS($DC27:DD27)), "0"), "")</f>
        <v/>
      </c>
      <c r="DE27" s="395">
        <f t="array" ref="DE27">IFERROR(IF(AND(INDEX($E$8:$CE$57, MATCH($C27, $C$8:$C$57, 0), (COLUMNS($DC27:DE27)-1)*5 + 1) = INDEX($E$5:$CE$5, 1, (COLUMNS($DC27:DE27)-1)*5 + 1), INDEX($E$8:$CE$57, MATCH($C27, $C$8:$C$57, 0), (COLUMNS($DC27:DE27)-1)*5 + 4) = "F"), INDEX($CZ$8:$CZ$23, COLUMNS($DC27:DE27)), "0"), "")</f>
        <v/>
      </c>
      <c r="DF27" s="395">
        <f t="array" ref="DF27">IFERROR(IF(AND(INDEX($E$8:$CE$57, MATCH($C27, $C$8:$C$57, 0), (COLUMNS($DC27:DF27)-1)*5 + 1) = INDEX($E$5:$CE$5, 1, (COLUMNS($DC27:DF27)-1)*5 + 1), INDEX($E$8:$CE$57, MATCH($C27, $C$8:$C$57, 0), (COLUMNS($DC27:DF27)-1)*5 + 4) = "F"), INDEX($CZ$8:$CZ$23, COLUMNS($DC27:DF27)), "0"), "")</f>
        <v/>
      </c>
      <c r="DG27" s="395">
        <f t="array" ref="DG27">IFERROR(IF(AND(INDEX($E$8:$CE$57, MATCH($C27, $C$8:$C$57, 0), (COLUMNS($DC27:DG27)-1)*5 + 1) = INDEX($E$5:$CE$5, 1, (COLUMNS($DC27:DG27)-1)*5 + 1), INDEX($E$8:$CE$57, MATCH($C27, $C$8:$C$57, 0), (COLUMNS($DC27:DG27)-1)*5 + 4) = "F"), INDEX($CZ$8:$CZ$23, COLUMNS($DC27:DG27)), "0"), "")</f>
        <v/>
      </c>
      <c r="DH27" s="395">
        <f t="array" ref="DH27">IFERROR(IF(AND(INDEX($E$8:$CE$57, MATCH($C27, $C$8:$C$57, 0), (COLUMNS($DC27:DH27)-1)*5 + 1) = INDEX($E$5:$CE$5, 1, (COLUMNS($DC27:DH27)-1)*5 + 1), INDEX($E$8:$CE$57, MATCH($C27, $C$8:$C$57, 0), (COLUMNS($DC27:DH27)-1)*5 + 4) = "F"), INDEX($CZ$8:$CZ$23, COLUMNS($DC27:DH27)), "0"), "")</f>
        <v/>
      </c>
      <c r="DI27" s="395">
        <f t="array" ref="DI27">IFERROR(IF(AND(INDEX($E$8:$CE$57, MATCH($C27, $C$8:$C$57, 0), (COLUMNS($DC27:DI27)-1)*5 + 1) = INDEX($E$5:$CE$5, 1, (COLUMNS($DC27:DI27)-1)*5 + 1), INDEX($E$8:$CE$57, MATCH($C27, $C$8:$C$57, 0), (COLUMNS($DC27:DI27)-1)*5 + 4) = "F"), INDEX($CZ$8:$CZ$23, COLUMNS($DC27:DI27)), "0"), "")</f>
        <v/>
      </c>
      <c r="DJ27" s="395">
        <f t="array" ref="DJ27">IFERROR(IF(AND(INDEX($E$8:$CE$57, MATCH($C27, $C$8:$C$57, 0), (COLUMNS($DC27:DJ27)-1)*5 + 1) = INDEX($E$5:$CE$5, 1, (COLUMNS($DC27:DJ27)-1)*5 + 1), INDEX($E$8:$CE$57, MATCH($C27, $C$8:$C$57, 0), (COLUMNS($DC27:DJ27)-1)*5 + 4) = "F"), INDEX($CZ$8:$CZ$23, COLUMNS($DC27:DJ27)), "0"), "")</f>
        <v/>
      </c>
      <c r="DK27" s="395">
        <f t="array" ref="DK27">IFERROR(IF(AND(INDEX($E$8:$CE$57, MATCH($C27, $C$8:$C$57, 0), (COLUMNS($DC27:DK27)-1)*5 + 1) = INDEX($E$5:$CE$5, 1, (COLUMNS($DC27:DK27)-1)*5 + 1), INDEX($E$8:$CE$57, MATCH($C27, $C$8:$C$57, 0), (COLUMNS($DC27:DK27)-1)*5 + 4) = "F"), INDEX($CZ$8:$CZ$23, COLUMNS($DC27:DK27)), "0"), "")</f>
        <v/>
      </c>
      <c r="DL27" s="395">
        <f t="array" ref="DL27">IFERROR(IF(AND(INDEX($E$8:$CE$57, MATCH($C27, $C$8:$C$57, 0), (COLUMNS($DC27:DL27)-1)*5 + 1) = INDEX($E$5:$CE$5, 1, (COLUMNS($DC27:DL27)-1)*5 + 1), INDEX($E$8:$CE$57, MATCH($C27, $C$8:$C$57, 0), (COLUMNS($DC27:DL27)-1)*5 + 4) = "F"), INDEX($CZ$8:$CZ$23, COLUMNS($DC27:DL27)), "0"), "")</f>
        <v/>
      </c>
      <c r="DM27" s="395">
        <f t="array" ref="DM27">IFERROR(IF(AND(INDEX($E$8:$CE$57, MATCH($C27, $C$8:$C$57, 0), (COLUMNS($DC27:DM27)-1)*5 + 1) = INDEX($E$5:$CE$5, 1, (COLUMNS($DC27:DM27)-1)*5 + 1), INDEX($E$8:$CE$57, MATCH($C27, $C$8:$C$57, 0), (COLUMNS($DC27:DM27)-1)*5 + 4) = "F"), INDEX($CZ$8:$CZ$23, COLUMNS($DC27:DM27)), "0"), "")</f>
        <v/>
      </c>
      <c r="DN27" s="395">
        <f t="array" ref="DN27">IFERROR(IF(AND(INDEX($E$8:$CE$57, MATCH($C27, $C$8:$C$57, 0), (COLUMNS($DC27:DN27)-1)*5 + 1) = INDEX($E$5:$CE$5, 1, (COLUMNS($DC27:DN27)-1)*5 + 1), INDEX($E$8:$CE$57, MATCH($C27, $C$8:$C$57, 0), (COLUMNS($DC27:DN27)-1)*5 + 4) = "F"), INDEX($CZ$8:$CZ$23, COLUMNS($DC27:DN27)), "0"), "")</f>
        <v/>
      </c>
      <c r="DO27" s="395">
        <f t="array" ref="DO27">IFERROR(IF(AND(INDEX($E$8:$CE$57, MATCH($C27, $C$8:$C$57, 0), (COLUMNS($DC27:DO27)-1)*5 + 1) = INDEX($E$5:$CE$5, 1, (COLUMNS($DC27:DO27)-1)*5 + 1), INDEX($E$8:$CE$57, MATCH($C27, $C$8:$C$57, 0), (COLUMNS($DC27:DO27)-1)*5 + 4) = "F"), INDEX($CZ$8:$CZ$23, COLUMNS($DC27:DO27)), "0"), "")</f>
        <v/>
      </c>
      <c r="DP27" s="395">
        <f t="array" ref="DP27">IFERROR(IF(AND(INDEX($E$8:$CE$57, MATCH($C27, $C$8:$C$57, 0), (COLUMNS($DC27:DP27)-1)*5 + 1) = INDEX($E$5:$CE$5, 1, (COLUMNS($DC27:DP27)-1)*5 + 1), INDEX($E$8:$CE$57, MATCH($C27, $C$8:$C$57, 0), (COLUMNS($DC27:DP27)-1)*5 + 4) = "F"), INDEX($CZ$8:$CZ$23, COLUMNS($DC27:DP27)), "0"), "")</f>
        <v/>
      </c>
      <c r="DQ27" s="395">
        <f t="array" ref="DQ27">IFERROR(IF(AND(INDEX($E$8:$CE$57, MATCH($C27, $C$8:$C$57, 0), (COLUMNS($DC27:DQ27)-1)*5 + 1) = INDEX($E$5:$CE$5, 1, (COLUMNS($DC27:DQ27)-1)*5 + 1), INDEX($E$8:$CE$57, MATCH($C27, $C$8:$C$57, 0), (COLUMNS($DC27:DQ27)-1)*5 + 4) = "F"), INDEX($CZ$8:$CZ$23, COLUMNS($DC27:DQ27)), "0"), "")</f>
        <v/>
      </c>
      <c r="DR27" s="395">
        <f t="array" ref="DR27">IFERROR(IF(AND(INDEX($E$8:$CE$57, MATCH($C27, $C$8:$C$57, 0), (COLUMNS($DC27:DR27)-1)*5 + 1) = INDEX($E$5:$CE$5, 1, (COLUMNS($DC27:DR27)-1)*5 + 1), INDEX($E$8:$CE$57, MATCH($C27, $C$8:$C$57, 0), (COLUMNS($DC27:DR27)-1)*5 + 4) = "F"), INDEX($CZ$8:$CZ$23, COLUMNS($DC27:DR27)), "0"), "")</f>
        <v/>
      </c>
      <c r="DT27" s="605">
        <f>SEMANA2[[#This Row],[COD]]</f>
        <v/>
      </c>
      <c r="DU27" s="395">
        <f t="array" ref="DU27">IFERROR(IF(AND(INDEX($E$8:$CE$57, MATCH($C27, $C$8:$C$57, 0), (COLUMNS($DU27:DU27)-1)*5 + 1) = INDEX($E$5:$CE$5, 1, (COLUMNS($DU27:DU27)-1)*5 + 1), INDEX($E$8:$CE$57, MATCH($C27, $C$8:$C$57, 0), (COLUMNS($DU27:DU27)-1)*5 + 4) = "SF"), INDEX($CZ$8:$CZ$23, COLUMNS($DU27:DU27)), "0"), "")</f>
        <v/>
      </c>
      <c r="DV27" s="395">
        <f t="array" ref="DV27">IFERROR(IF(AND(INDEX($E$8:$CE$57, MATCH($C27, $C$8:$C$57, 0), (COLUMNS($DU27:DV27)-1)*5 + 1) = INDEX($E$5:$CE$5, 1, (COLUMNS($DU27:DV27)-1)*5 + 1), INDEX($E$8:$CE$57, MATCH($C27, $C$8:$C$57, 0), (COLUMNS($DU27:DV27)-1)*5 + 4) = "SF"), INDEX($CZ$8:$CZ$23, COLUMNS($DU27:DV27)), "0"), "")</f>
        <v/>
      </c>
      <c r="DW27" s="395">
        <f t="array" ref="DW27">IFERROR(IF(AND(INDEX($E$8:$CE$57, MATCH($C27, $C$8:$C$57, 0), (COLUMNS($DU27:DW27)-1)*5 + 1) = INDEX($E$5:$CE$5, 1, (COLUMNS($DU27:DW27)-1)*5 + 1), INDEX($E$8:$CE$57, MATCH($C27, $C$8:$C$57, 0), (COLUMNS($DU27:DW27)-1)*5 + 4) = "SF"), INDEX($CZ$8:$CZ$23, COLUMNS($DU27:DW27)), "0"), "")</f>
        <v/>
      </c>
      <c r="DX27" s="395">
        <f t="array" ref="DX27">IFERROR(IF(AND(INDEX($E$8:$CE$57, MATCH($C27, $C$8:$C$57, 0), (COLUMNS($DU27:DX27)-1)*5 + 1) = INDEX($E$5:$CE$5, 1, (COLUMNS($DU27:DX27)-1)*5 + 1), INDEX($E$8:$CE$57, MATCH($C27, $C$8:$C$57, 0), (COLUMNS($DU27:DX27)-1)*5 + 4) = "SF"), INDEX($CZ$8:$CZ$23, COLUMNS($DU27:DX27)), "0"), "")</f>
        <v/>
      </c>
      <c r="DY27" s="395">
        <f t="array" ref="DY27">IFERROR(IF(AND(INDEX($E$8:$CE$57, MATCH($C27, $C$8:$C$57, 0), (COLUMNS($DU27:DY27)-1)*5 + 1) = INDEX($E$5:$CE$5, 1, (COLUMNS($DU27:DY27)-1)*5 + 1), INDEX($E$8:$CE$57, MATCH($C27, $C$8:$C$57, 0), (COLUMNS($DU27:DY27)-1)*5 + 4) = "SF"), INDEX($CZ$8:$CZ$23, COLUMNS($DU27:DY27)), "0"), "")</f>
        <v/>
      </c>
      <c r="DZ27" s="395">
        <f t="array" ref="DZ27">IFERROR(IF(AND(INDEX($E$8:$CE$57, MATCH($C27, $C$8:$C$57, 0), (COLUMNS($DU27:DZ27)-1)*5 + 1) = INDEX($E$5:$CE$5, 1, (COLUMNS($DU27:DZ27)-1)*5 + 1), INDEX($E$8:$CE$57, MATCH($C27, $C$8:$C$57, 0), (COLUMNS($DU27:DZ27)-1)*5 + 4) = "SF"), INDEX($CZ$8:$CZ$23, COLUMNS($DU27:DZ27)), "0"), "")</f>
        <v/>
      </c>
      <c r="EA27" s="395">
        <f t="array" ref="EA27">IFERROR(IF(AND(INDEX($E$8:$CE$57, MATCH($C27, $C$8:$C$57, 0), (COLUMNS($DU27:EA27)-1)*5 + 1) = INDEX($E$5:$CE$5, 1, (COLUMNS($DU27:EA27)-1)*5 + 1), INDEX($E$8:$CE$57, MATCH($C27, $C$8:$C$57, 0), (COLUMNS($DU27:EA27)-1)*5 + 4) = "SF"), INDEX($CZ$8:$CZ$23, COLUMNS($DU27:EA27)), "0"), "")</f>
        <v/>
      </c>
      <c r="EB27" s="395">
        <f t="array" ref="EB27">IFERROR(IF(AND(INDEX($E$8:$CE$57, MATCH($C27, $C$8:$C$57, 0), (COLUMNS($DU27:EB27)-1)*5 + 1) = INDEX($E$5:$CE$5, 1, (COLUMNS($DU27:EB27)-1)*5 + 1), INDEX($E$8:$CE$57, MATCH($C27, $C$8:$C$57, 0), (COLUMNS($DU27:EB27)-1)*5 + 4) = "SF"), INDEX($CZ$8:$CZ$23, COLUMNS($DU27:EB27)), "0"), "")</f>
        <v/>
      </c>
      <c r="EC27" s="395">
        <f t="array" ref="EC27">IFERROR(IF(AND(INDEX($E$8:$CE$57, MATCH($C27, $C$8:$C$57, 0), (COLUMNS($DU27:EC27)-1)*5 + 1) = INDEX($E$5:$CE$5, 1, (COLUMNS($DU27:EC27)-1)*5 + 1), INDEX($E$8:$CE$57, MATCH($C27, $C$8:$C$57, 0), (COLUMNS($DU27:EC27)-1)*5 + 4) = "SF"), INDEX($CZ$8:$CZ$23, COLUMNS($DU27:EC27)), "0"), "")</f>
        <v/>
      </c>
      <c r="ED27" s="395">
        <f t="array" ref="ED27">IFERROR(IF(AND(INDEX($E$8:$CE$57, MATCH($C27, $C$8:$C$57, 0), (COLUMNS($DU27:ED27)-1)*5 + 1) = INDEX($E$5:$CE$5, 1, (COLUMNS($DU27:ED27)-1)*5 + 1), INDEX($E$8:$CE$57, MATCH($C27, $C$8:$C$57, 0), (COLUMNS($DU27:ED27)-1)*5 + 4) = "SF"), INDEX($CZ$8:$CZ$23, COLUMNS($DU27:ED27)), "0"), "")</f>
        <v/>
      </c>
      <c r="EE27" s="395">
        <f t="array" ref="EE27">IFERROR(IF(AND(INDEX($E$8:$CE$57, MATCH($C27, $C$8:$C$57, 0), (COLUMNS($DU27:EE27)-1)*5 + 1) = INDEX($E$5:$CE$5, 1, (COLUMNS($DU27:EE27)-1)*5 + 1), INDEX($E$8:$CE$57, MATCH($C27, $C$8:$C$57, 0), (COLUMNS($DU27:EE27)-1)*5 + 4) = "SF"), INDEX($CZ$8:$CZ$23, COLUMNS($DU27:EE27)), "0"), "")</f>
        <v/>
      </c>
      <c r="EF27" s="395">
        <f t="array" ref="EF27">IFERROR(IF(AND(INDEX($E$8:$CE$57, MATCH($C27, $C$8:$C$57, 0), (COLUMNS($DU27:EF27)-1)*5 + 1) = INDEX($E$5:$CE$5, 1, (COLUMNS($DU27:EF27)-1)*5 + 1), INDEX($E$8:$CE$57, MATCH($C27, $C$8:$C$57, 0), (COLUMNS($DU27:EF27)-1)*5 + 4) = "SF"), INDEX($CZ$8:$CZ$23, COLUMNS($DU27:EF27)), "0"), "")</f>
        <v/>
      </c>
      <c r="EG27" s="395">
        <f t="array" ref="EG27">IFERROR(IF(AND(INDEX($E$8:$CE$57, MATCH($C27, $C$8:$C$57, 0), (COLUMNS($DU27:EG27)-1)*5 + 1) = INDEX($E$5:$CE$5, 1, (COLUMNS($DU27:EG27)-1)*5 + 1), INDEX($E$8:$CE$57, MATCH($C27, $C$8:$C$57, 0), (COLUMNS($DU27:EG27)-1)*5 + 4) = "SF"), INDEX($CZ$8:$CZ$23, COLUMNS($DU27:EG27)), "0"), "")</f>
        <v/>
      </c>
      <c r="EH27" s="395">
        <f t="array" ref="EH27">IFERROR(IF(AND(INDEX($E$8:$CE$57, MATCH($C27, $C$8:$C$57, 0), (COLUMNS($DU27:EH27)-1)*5 + 1) = INDEX($E$5:$CE$5, 1, (COLUMNS($DU27:EH27)-1)*5 + 1), INDEX($E$8:$CE$57, MATCH($C27, $C$8:$C$57, 0), (COLUMNS($DU27:EH27)-1)*5 + 4) = "SF"), INDEX($CZ$8:$CZ$23, COLUMNS($DU27:EH27)), "0"), "")</f>
        <v/>
      </c>
      <c r="EI27" s="395">
        <f t="array" ref="EI27">IFERROR(IF(AND(INDEX($E$8:$CE$57, MATCH($C27, $C$8:$C$57, 0), (COLUMNS($DU27:EI27)-1)*5 + 1) = INDEX($E$5:$CE$5, 1, (COLUMNS($DU27:EI27)-1)*5 + 1), INDEX($E$8:$CE$57, MATCH($C27, $C$8:$C$57, 0), (COLUMNS($DU27:EI27)-1)*5 + 4) = "SF"), INDEX($CZ$8:$CZ$23, COLUMNS($DU27:EI27)), "0"), "")</f>
        <v/>
      </c>
      <c r="EJ27" s="395">
        <f t="array" ref="EJ27">IFERROR(IF(AND(INDEX($E$8:$CE$57, MATCH($C27, $C$8:$C$57, 0), (COLUMNS($DU27:EJ27)-1)*5 + 1) = INDEX($E$5:$CE$5, 1, (COLUMNS($DU27:EJ27)-1)*5 + 1), INDEX($E$8:$CE$57, MATCH($C27, $C$8:$C$57, 0), (COLUMNS($DU27:EJ27)-1)*5 + 4) = "SF"), INDEX($CZ$8:$CZ$23, COLUMNS($DU27:EJ27)), "0"), "")</f>
        <v/>
      </c>
    </row>
    <row r="28" ht="20.1" customHeight="1" s="568">
      <c r="A28" s="576" t="n"/>
      <c r="B28" s="449">
        <f>IF(SEMANA2[[#This Row],[COD]]&lt;&gt;"",B27+1,"")</f>
        <v/>
      </c>
      <c r="C28" s="622" t="inlineStr">
        <is>
          <t>COD 21</t>
        </is>
      </c>
      <c r="D28" s="415">
        <f t="array" ref="D28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8" s="416" t="n">
        <v>9</v>
      </c>
      <c r="F28" s="418" t="n">
        <v>2</v>
      </c>
      <c r="G28" s="418" t="n">
        <v>4</v>
      </c>
      <c r="H28" s="418" t="n"/>
      <c r="I28" s="602">
        <f>SUM(IF(E28=E$5,4,0),IF(E28&amp;F28=E$5&amp;F$5,1,0),
IF(AND(E28=E$5,F$6&gt;=$D$115),1,0),
IF(AND(F28=E$5,F$6&gt;=$D$115),1,0),
IF(AND(G28=E$5,F$6&gt;=$D$115),1,0),
IF(E28&amp;H28=I$5,1,0),
IF(F28=E$5,2,0),
IF(G28=E$5,1,0),
IF(OR(E28&amp;F28&amp;G28=E$5&amp;F$5&amp;G$5,E28&amp;F28&amp;G28=E$5&amp;G$5&amp;F$5,E28&amp;F28&amp;G28=F$5&amp;E$5&amp;G$5,E28&amp;F28&amp;G28=F$5&amp;G$5&amp;E$5,E28&amp;F28&amp;G28=G$5&amp;E$5&amp;F$5,E28&amp;F28&amp;G28=G$5&amp;F$5&amp;E$5),2,0),IF(AND(E28=E$5,F$6&gt;=$D$129),1,0),IF(AND(F28=E$5,F$6&gt;=$D$129),1,0),IF(AND(G28=E$5,F$6&gt;=$D$129),1,0),IF(E28&amp;H28=H$5,4,0),IF(AND(E28=E$5,F$6&lt;=$D$104),-0.5,0),IF(AND(F28=E$5,F$6&lt;=$D$104),-0.5,0),IF(AND(G28=E$5,F$6&lt;=$D$104),-0.5,0))</f>
        <v/>
      </c>
      <c r="J28" s="416" t="n">
        <v>2</v>
      </c>
      <c r="K28" s="418" t="n">
        <v>1</v>
      </c>
      <c r="L28" s="418" t="n">
        <v>7</v>
      </c>
      <c r="M28" s="418" t="n"/>
      <c r="N28" s="602">
        <f>SUM(IF(J28=J$5,4,0),IF(J28&amp;K28=J$5&amp;K$5,1,0),
IF(AND(J28=J$5,K$6&gt;=$D$115),1,0),
IF(AND(K28=J$5,K$6&gt;=$D$115),1,0),
IF(AND(L28=J$5,K$6&gt;=$D$115),1,0),
IF(J28&amp;M28=N$5,1,0),
IF(K28=J$5,2,0),
IF(L28=J$5,1,0),
IF(OR(J28&amp;K28&amp;L28=J$5&amp;K$5&amp;L$5,J28&amp;K28&amp;L28=J$5&amp;L$5&amp;K$5,J28&amp;K28&amp;L28=K$5&amp;J$5&amp;L$5,J28&amp;K28&amp;L28=K$5&amp;L$5&amp;J$5,J28&amp;K28&amp;L28=L$5&amp;J$5&amp;K$5,J28&amp;K28&amp;L28=L$5&amp;K$5&amp;J$5),2,0),IF(AND(J28=J$5,K$6&gt;=$D$129),1,0),IF(AND(K28=J$5,K$6&gt;=$D$129),1,0),IF(AND(L28=J$5,K$6&gt;=$D$129),1,0),IF(J28&amp;M28=M$5,4,0),IF(AND(J28=J$5,K$6&lt;=$D$104),-0.5,0),IF(AND(K28=J$5,K$6&lt;=$D$104),-0.5,0),IF(AND(L28=J$5,K$6&lt;=$D$104),-0.5,0))</f>
        <v/>
      </c>
      <c r="O28" s="416" t="n">
        <v>5</v>
      </c>
      <c r="P28" s="418" t="n">
        <v>7</v>
      </c>
      <c r="Q28" s="418" t="n">
        <v>3</v>
      </c>
      <c r="R28" s="418" t="n"/>
      <c r="S28" s="602">
        <f>SUM(IF(O28=O$5,4,0),IF(O28&amp;P28=O$5&amp;P$5,1,0),
IF(AND(O28=O$5,P$6&gt;=$D$115),1,0),
IF(AND(P28=O$5,P$6&gt;=$D$115),1,0),
IF(AND(Q28=O$5,P$6&gt;=$D$115),1,0),
IF(O28&amp;R28=S$5,1,0),
IF(P28=O$5,2,0),
IF(Q28=O$5,1,0),
IF(OR(O28&amp;P28&amp;Q28=O$5&amp;P$5&amp;Q$5,O28&amp;P28&amp;Q28=O$5&amp;Q$5&amp;P$5,O28&amp;P28&amp;Q28=P$5&amp;O$5&amp;Q$5,O28&amp;P28&amp;Q28=P$5&amp;Q$5&amp;O$5,O28&amp;P28&amp;Q28=Q$5&amp;O$5&amp;P$5,O28&amp;P28&amp;Q28=Q$5&amp;P$5&amp;O$5),2,0),IF(AND(O28=O$5,P$6&gt;=$D$129),1,0),IF(AND(P28=O$5,P$6&gt;=$D$129),1,0),IF(AND(Q28=O$5,P$6&gt;=$D$129),1,0),IF(O28&amp;R28=R$5,4,0),IF(AND(O28=O$5,P$6&lt;=$D$104),-0.5,0),IF(AND(P28=O$5,P$6&lt;=$D$104),-0.5,0),IF(AND(Q28=O$5,P$6&lt;=$D$104),-0.5,0))</f>
        <v/>
      </c>
      <c r="T28" s="416" t="n">
        <v>3</v>
      </c>
      <c r="U28" s="418" t="n">
        <v>5</v>
      </c>
      <c r="V28" s="418" t="n">
        <v>4</v>
      </c>
      <c r="W28" s="418" t="n"/>
      <c r="X28" s="602">
        <f>SUM(IF(T28=T$5,4,0),IF(T28&amp;U28=T$5&amp;U$5,1,0),
IF(AND(T28=T$5,U$6&gt;=$D$115),1,0),
IF(AND(U28=T$5,U$6&gt;=$D$115),1,0),
IF(AND(V28=T$5,U$6&gt;=$D$115),1,0),
IF(T28&amp;W28=X$5,1,0),
IF(U28=T$5,2,0),
IF(V28=T$5,1,0),
IF(OR(T28&amp;U28&amp;V28=T$5&amp;U$5&amp;V$5,T28&amp;U28&amp;V28=T$5&amp;V$5&amp;U$5,T28&amp;U28&amp;V28=U$5&amp;T$5&amp;V$5,T28&amp;U28&amp;V28=U$5&amp;V$5&amp;T$5,T28&amp;U28&amp;V28=V$5&amp;T$5&amp;U$5,T28&amp;U28&amp;V28=V$5&amp;U$5&amp;T$5),2,0),IF(AND(T28=T$5,U$6&gt;=$D$129),1,0),IF(AND(U28=T$5,U$6&gt;=$D$129),1,0),IF(AND(V28=T$5,U$6&gt;=$D$129),1,0),IF(T28&amp;W28=W$5,4,0),IF(AND(T28=T$5,U$6&lt;=$D$104),-0.5,0),IF(AND(U28=T$5,U$6&lt;=$D$104),-0.5,0),IF(AND(V28=T$5,U$6&lt;=$D$104),-0.5,0))</f>
        <v/>
      </c>
      <c r="Y28" s="416" t="n">
        <v>7</v>
      </c>
      <c r="Z28" s="418" t="n">
        <v>1</v>
      </c>
      <c r="AA28" s="418" t="n">
        <v>2</v>
      </c>
      <c r="AB28" s="418" t="n"/>
      <c r="AC28" s="602">
        <f>SUM(IF(Y28=Y$5,4,0),IF(Y28&amp;Z28=Y$5&amp;Z$5,1,0),
IF(AND(Y28=Y$5,Z$6&gt;=$D$115),1,0),
IF(AND(Z28=Y$5,Z$6&gt;=$D$115),1,0),
IF(AND(AA28=Y$5,Z$6&gt;=$D$115),1,0),
IF(Y28&amp;AB28=AC$5,1,0),
IF(Z28=Y$5,2,0),
IF(AA28=Y$5,1,0),
IF(OR(Y28&amp;Z28&amp;AA28=Y$5&amp;Z$5&amp;AA$5,Y28&amp;Z28&amp;AA28=Y$5&amp;AA$5&amp;Z$5,Y28&amp;Z28&amp;AA28=Z$5&amp;Y$5&amp;AA$5,Y28&amp;Z28&amp;AA28=Z$5&amp;AA$5&amp;Y$5,Y28&amp;Z28&amp;AA28=AA$5&amp;Y$5&amp;Z$5,Y28&amp;Z28&amp;AA28=AA$5&amp;Z$5&amp;Y$5),2,0),IF(AND(Y28=Y$5,Z$6&gt;=$D$129),1,0),IF(AND(Z28=Y$5,Z$6&gt;=$D$129),1,0),IF(AND(AA28=Y$5,Z$6&gt;=$D$129),1,0),IF(Y28&amp;AB28=AB$5,4,0),IF(AND(Y28=Y$5,Z$6&lt;=$D$104),-0.5,0),IF(AND(Z28=Y$5,Z$6&lt;=$D$104),-0.5,0),IF(AND(AA28=Y$5,Z$6&lt;=$D$104),-0.5,0))</f>
        <v/>
      </c>
      <c r="AD28" s="416" t="n">
        <v>5</v>
      </c>
      <c r="AE28" s="418" t="n">
        <v>4</v>
      </c>
      <c r="AF28" s="418" t="n">
        <v>10</v>
      </c>
      <c r="AG28" s="418" t="n"/>
      <c r="AH28" s="602">
        <f>SUM(IF(AD28=AD$5,4,0),IF(AD28&amp;AE28=AD$5&amp;AE$5,1,0),
IF(AND(AD28=AD$5,AE$6&gt;=$D$115),1,0),
IF(AND(AE28=AD$5,AE$6&gt;=$D$115),1,0),
IF(AND(AF28=AD$5,AE$6&gt;=$D$115),1,0),
IF(AD28&amp;AG28=AH$5,1,0),
IF(AE28=AD$5,2,0),
IF(AF28=AD$5,1,0),
IF(OR(AD28&amp;AE28&amp;AF28=AD$5&amp;AE$5&amp;AF$5,AD28&amp;AE28&amp;AF28=AD$5&amp;AF$5&amp;AE$5,AD28&amp;AE28&amp;AF28=AE$5&amp;AD$5&amp;AF$5,AD28&amp;AE28&amp;AF28=AE$5&amp;AF$5&amp;AD$5,AD28&amp;AE28&amp;AF28=AF$5&amp;AD$5&amp;AE$5,AD28&amp;AE28&amp;AF28=AF$5&amp;AE$5&amp;AD$5),2,0),IF(AND(AD28=AD$5,AE$6&gt;=$D$129),1,0),IF(AND(AE28=AD$5,AE$6&gt;=$D$129),1,0),IF(AND(AF28=AD$5,AE$6&gt;=$D$129),1,0),IF(AD28&amp;AG28=AG$5,4,0),IF(AND(AD28=AD$5,AE$6&lt;=$D$104),-0.5,0),IF(AND(AE28=AD$5,AE$6&lt;=$D$104),-0.5,0),IF(AND(AF28=AD$5,AE$6&lt;=$D$104),-0.5,0))</f>
        <v/>
      </c>
      <c r="AI28" s="416" t="n">
        <v>7</v>
      </c>
      <c r="AJ28" s="418" t="n">
        <v>6</v>
      </c>
      <c r="AK28" s="418" t="n">
        <v>9</v>
      </c>
      <c r="AL28" s="418" t="inlineStr">
        <is>
          <t>F</t>
        </is>
      </c>
      <c r="AM28" s="602">
        <f>SUM(IF(AI28=AI$5,4,0),IF(AI28&amp;AJ28=AI$5&amp;AJ$5,1,0),
IF(AND(AI28=AI$5,AJ$6&gt;=$D$115),1,0),
IF(AND(AJ28=AI$5,AJ$6&gt;=$D$115),1,0),
IF(AND(AK28=AI$5,AJ$6&gt;=$D$115),1,0),
IF(AI28&amp;AL28=AM$5,1,0),
IF(AJ28=AI$5,2,0),
IF(AK28=AI$5,1,0),
IF(OR(AI28&amp;AJ28&amp;AK28=AI$5&amp;AJ$5&amp;AK$5,AI28&amp;AJ28&amp;AK28=AI$5&amp;AK$5&amp;AJ$5,AI28&amp;AJ28&amp;AK28=AJ$5&amp;AI$5&amp;AK$5,AI28&amp;AJ28&amp;AK28=AJ$5&amp;AK$5&amp;AI$5,AI28&amp;AJ28&amp;AK28=AK$5&amp;AI$5&amp;AJ$5,AI28&amp;AJ28&amp;AK28=AK$5&amp;AJ$5&amp;AI$5),2,0),IF(AND(AI28=AI$5,AJ$6&gt;=$D$129),1,0),IF(AND(AJ28=AI$5,AJ$6&gt;=$D$129),1,0),IF(AND(AK28=AI$5,AJ$6&gt;=$D$129),1,0),IF(AI28&amp;AL28=AL$5,4,0),IF(AND(AI28=AI$5,AJ$6&lt;=$D$104),-0.5,0),IF(AND(AJ28=AI$5,AJ$6&lt;=$D$104),-0.5,0),IF(AND(AK28=AI$5,AJ$6&lt;=$D$104),-0.5,0))</f>
        <v/>
      </c>
      <c r="AN28" s="416" t="n">
        <v>8</v>
      </c>
      <c r="AO28" s="418" t="n"/>
      <c r="AP28" s="418" t="n"/>
      <c r="AQ28" s="418" t="inlineStr">
        <is>
          <t>SF</t>
        </is>
      </c>
      <c r="AR28" s="602">
        <f>SUM(IF(AN28=AN$5,4,0),IF(AN28&amp;AO28=AN$5&amp;AO$5,1,0),
IF(AND(AN28=AN$5,AO$6&gt;=$D$115),1,0),
IF(AND(AO28=AN$5,AO$6&gt;=$D$115),1,0),
IF(AND(AP28=AN$5,AO$6&gt;=$D$115),1,0),
IF(AN28&amp;AQ28=AR$5,1,0),
IF(AO28=AN$5,2,0),
IF(AP28=AN$5,1,0),
IF(OR(AN28&amp;AO28&amp;AP28=AN$5&amp;AO$5&amp;AP$5,AN28&amp;AO28&amp;AP28=AN$5&amp;AP$5&amp;AO$5,AN28&amp;AO28&amp;AP28=AO$5&amp;AN$5&amp;AP$5,AN28&amp;AO28&amp;AP28=AO$5&amp;AP$5&amp;AN$5,AN28&amp;AO28&amp;AP28=AP$5&amp;AN$5&amp;AO$5,AN28&amp;AO28&amp;AP28=AP$5&amp;AO$5&amp;AN$5),2,0),IF(AND(AN28=AN$5,AO$6&gt;=$D$129),1,0),IF(AND(AO28=AN$5,AO$6&gt;=$D$129),1,0),IF(AND(AP28=AN$5,AO$6&gt;=$D$129),1,0),IF(AN28&amp;AQ28=AQ$5,4,0),IF(AND(AN28=AN$5,AO$6&lt;=$D$104),-0.5,0),IF(AND(AO28=AN$5,AO$6&lt;=$D$104),-0.5,0),IF(AND(AP28=AN$5,AO$6&lt;=$D$104),-0.5,0))</f>
        <v/>
      </c>
      <c r="AS28" s="416" t="n">
        <v>2</v>
      </c>
      <c r="AT28" s="418" t="n">
        <v>10</v>
      </c>
      <c r="AU28" s="418" t="n">
        <v>5</v>
      </c>
      <c r="AV28" s="418" t="n"/>
      <c r="AW28" s="602">
        <f>SUM(IF(AS28=AS$5,4,0),IF(AS28&amp;AT28=AS$5&amp;AT$5,1,0),
IF(AND(AS28=AS$5,AT$6&gt;=$D$115),1,0),
IF(AND(AT28=AS$5,AT$6&gt;=$D$115),1,0),
IF(AND(AU28=AS$5,AT$6&gt;=$D$115),1,0),
IF(AS28&amp;AV28=AW$5,1,0),
IF(AT28=AS$5,2,0),
IF(AU28=AS$5,1,0),
IF(OR(AS28&amp;AT28&amp;AU28=AS$5&amp;AT$5&amp;AU$5,AS28&amp;AT28&amp;AU28=AS$5&amp;AU$5&amp;AT$5,AS28&amp;AT28&amp;AU28=AT$5&amp;AS$5&amp;AU$5,AS28&amp;AT28&amp;AU28=AT$5&amp;AU$5&amp;AS$5,AS28&amp;AT28&amp;AU28=AU$5&amp;AS$5&amp;AT$5,AS28&amp;AT28&amp;AU28=AU$5&amp;AT$5&amp;AS$5),2,0),IF(AND(AS28=AS$5,AT$6&gt;=$D$129),1,0),IF(AND(AT28=AS$5,AT$6&gt;=$D$129),1,0),IF(AND(AU28=AS$5,AT$6&gt;=$D$129),1,0),IF(AS28&amp;AV28=AV$5,4,0),IF(AND(AS28=AS$5,AT$6&lt;=$D$104),-0.5,0),IF(AND(AT28=AS$5,AT$6&lt;=$D$104),-0.5,0),IF(AND(AU28=AS$5,AT$6&lt;=$D$104),-0.5,0))</f>
        <v/>
      </c>
      <c r="AX28" s="416" t="n">
        <v>1</v>
      </c>
      <c r="AY28" s="418" t="n">
        <v>2</v>
      </c>
      <c r="AZ28" s="418" t="n">
        <v>10</v>
      </c>
      <c r="BA28" s="418" t="n"/>
      <c r="BB28" s="602">
        <f>SUM(IF(AX28=AX$5,4,0),IF(AX28&amp;AY28=AX$5&amp;AY$5,1,0),
IF(AND(AX28=AX$5,AY$6&gt;=$D$115),1,0),
IF(AND(AY28=AX$5,AY$6&gt;=$D$115),1,0),
IF(AND(AZ28=AX$5,AY$6&gt;=$D$115),1,0),
IF(AX28&amp;BA28=BB$5,1,0),
IF(AY28=AX$5,2,0),
IF(AZ28=AX$5,1,0),
IF(OR(AX28&amp;AY28&amp;AZ28=AX$5&amp;AY$5&amp;AZ$5,AX28&amp;AY28&amp;AZ28=AX$5&amp;AZ$5&amp;AY$5,AX28&amp;AY28&amp;AZ28=AY$5&amp;AX$5&amp;AZ$5,AX28&amp;AY28&amp;AZ28=AY$5&amp;AZ$5&amp;AX$5,AX28&amp;AY28&amp;AZ28=AZ$5&amp;AX$5&amp;AY$5,AX28&amp;AY28&amp;AZ28=AZ$5&amp;AY$5&amp;AX$5),2,0),IF(AND(AX28=AX$5,AY$6&gt;=$D$129),1,0),IF(AND(AY28=AX$5,AY$6&gt;=$D$129),1,0),IF(AND(AZ28=AX$5,AY$6&gt;=$D$129),1,0),IF(AX28&amp;BA28=BA$5,4,0),IF(AND(AX28=AX$5,AY$6&lt;=$D$104),-0.5,0),IF(AND(AY28=AX$5,AY$6&lt;=$D$104),-0.5,0),IF(AND(AZ28=AX$5,AY$6&lt;=$D$104),-0.5,0))</f>
        <v/>
      </c>
      <c r="BC28" s="416" t="n">
        <v>7</v>
      </c>
      <c r="BD28" s="418" t="n">
        <v>2</v>
      </c>
      <c r="BE28" s="418" t="n">
        <v>5</v>
      </c>
      <c r="BF28" s="418" t="inlineStr">
        <is>
          <t>F</t>
        </is>
      </c>
      <c r="BG28" s="602">
        <f>SUM(IF(BC28=BC$5,4,0),IF(BC28&amp;BD28=BC$5&amp;BD$5,1,0),
IF(AND(BC28=BC$5,BD$6&gt;=$D$115),1,0),
IF(AND(BD28=BC$5,BD$6&gt;=$D$115),1,0),
IF(AND(BE28=BC$5,BD$6&gt;=$D$115),1,0),
IF(BC28&amp;BF28=BG$5,1,0),
IF(BD28=BC$5,2,0),
IF(BE28=BC$5,1,0),
IF(OR(BC28&amp;BD28&amp;BE28=BC$5&amp;BD$5&amp;BE$5,BC28&amp;BD28&amp;BE28=BC$5&amp;BE$5&amp;BD$5,BC28&amp;BD28&amp;BE28=BD$5&amp;BC$5&amp;BE$5,BC28&amp;BD28&amp;BE28=BD$5&amp;BE$5&amp;BC$5,BC28&amp;BD28&amp;BE28=BE$5&amp;BC$5&amp;BD$5,BC28&amp;BD28&amp;BE28=BE$5&amp;BD$5&amp;BC$5),2,0),IF(AND(BC28=BC$5,BD$6&gt;=$D$129),1,0),IF(AND(BD28=BC$5,BD$6&gt;=$D$129),1,0),IF(AND(BE28=BC$5,BD$6&gt;=$D$129),1,0),IF(BC28&amp;BF28=BF$5,4,0),IF(AND(BC28=BC$5,BD$6&lt;=$D$104),-0.5,0),IF(AND(BD28=BC$5,BD$6&lt;=$D$104),-0.5,0),IF(AND(BE28=BC$5,BD$6&lt;=$D$104),-0.5,0))</f>
        <v/>
      </c>
      <c r="BH28" s="416" t="n">
        <v>1</v>
      </c>
      <c r="BI28" s="418" t="n">
        <v>6</v>
      </c>
      <c r="BJ28" s="418" t="n">
        <v>4</v>
      </c>
      <c r="BK28" s="418" t="n"/>
      <c r="BL28" s="602">
        <f>SUM(IF(BH28=BH$5,4,0),IF(BH28&amp;BI28=BH$5&amp;BI$5,1,0),
IF(AND(BH28=BH$5,BI$6&gt;=$D$115),1,0),
IF(AND(BI28=BH$5,BI$6&gt;=$D$115),1,0),
IF(AND(BJ28=BH$5,BI$6&gt;=$D$115),1,0),
IF(BH28&amp;BK28=BL$5,1,0),
IF(BI28=BH$5,2,0),
IF(BJ28=BH$5,1,0),
IF(OR(BH28&amp;BI28&amp;BJ28=BH$5&amp;BI$5&amp;BJ$5,BH28&amp;BI28&amp;BJ28=BH$5&amp;BJ$5&amp;BI$5,BH28&amp;BI28&amp;BJ28=BI$5&amp;BH$5&amp;BJ$5,BH28&amp;BI28&amp;BJ28=BI$5&amp;BJ$5&amp;BH$5,BH28&amp;BI28&amp;BJ28=BJ$5&amp;BH$5&amp;BI$5,BH28&amp;BI28&amp;BJ28=BJ$5&amp;BI$5&amp;BH$5),2,0),IF(AND(BH28=BH$5,BI$6&gt;=$D$129),1,0),IF(AND(BI28=BH$5,BI$6&gt;=$D$129),1,0),IF(AND(BJ28=BH$5,BI$6&gt;=$D$129),1,0),IF(BH28&amp;BK28=BK$5,4,0),IF(AND(BH28=BH$5,BI$6&lt;=$D$104),-0.5,0),IF(AND(BI28=BH$5,BI$6&lt;=$D$104),-0.5,0),IF(AND(BJ28=BH$5,BI$6&lt;=$D$104),-0.5,0))</f>
        <v/>
      </c>
      <c r="BM28" s="416" t="n">
        <v>4</v>
      </c>
      <c r="BN28" s="418" t="n">
        <v>1</v>
      </c>
      <c r="BO28" s="418" t="n">
        <v>9</v>
      </c>
      <c r="BP28" s="418" t="n"/>
      <c r="BQ28" s="602">
        <f>SUM(IF(BM28=BM$5,4,0),IF(BM28&amp;BN28=BM$5&amp;BN$5,1,0),
IF(AND(BM28=BM$5,BN$6&gt;=$D$115),1,0),
IF(AND(BN28=BM$5,BN$6&gt;=$D$115),1,0),
IF(AND(BO28=BM$5,BN$6&gt;=$D$115),1,0),
IF(BM28&amp;BP28=BQ$5,1,0),
IF(BN28=BM$5,2,0),
IF(BO28=BM$5,1,0),
IF(OR(BM28&amp;BN28&amp;BO28=BM$5&amp;BN$5&amp;BO$5,BM28&amp;BN28&amp;BO28=BM$5&amp;BO$5&amp;BN$5,BM28&amp;BN28&amp;BO28=BN$5&amp;BM$5&amp;BO$5,BM28&amp;BN28&amp;BO28=BN$5&amp;BO$5&amp;BM$5,BM28&amp;BN28&amp;BO28=BO$5&amp;BM$5&amp;BN$5,BM28&amp;BN28&amp;BO28=BO$5&amp;BN$5&amp;BM$5),2,0),IF(AND(BM28=BM$5,BN$6&gt;=$D$129),1,0),IF(AND(BN28=BM$5,BN$6&gt;=$D$129),1,0),IF(AND(BO28=BM$5,BN$6&gt;=$D$129),1,0),IF(BM28&amp;BP28=BP$5,4,0),IF(AND(BM28=BM$5,BN$6&lt;=$D$104),-0.5,0),IF(AND(BN28=BM$5,BN$6&lt;=$D$104),-0.5,0),IF(AND(BO28=BM$5,BN$6&lt;=$D$104),-0.5,0))</f>
        <v/>
      </c>
      <c r="BR28" s="416" t="n">
        <v>11</v>
      </c>
      <c r="BS28" s="418" t="n">
        <v>1</v>
      </c>
      <c r="BT28" s="418" t="n">
        <v>9</v>
      </c>
      <c r="BU28" s="418" t="n"/>
      <c r="BV28" s="602">
        <f>SUM(IF(BR28=BR$5,4,0),IF(BR28&amp;BS28=BR$5&amp;BS$5,1,0),
IF(AND(BR28=BR$5,BS$6&gt;=$D$115),1,0),
IF(AND(BS28=BR$5,BS$6&gt;=$D$115),1,0),
IF(AND(BT28=BR$5,BS$6&gt;=$D$115),1,0),
IF(BR28&amp;BU28=BV$5,1,0),
IF(BS28=BR$5,2,0),
IF(BT28=BR$5,1,0),
IF(OR(BR28&amp;BS28&amp;BT28=BR$5&amp;BS$5&amp;BT$5,BR28&amp;BS28&amp;BT28=BR$5&amp;BT$5&amp;BS$5,BR28&amp;BS28&amp;BT28=BS$5&amp;BR$5&amp;BT$5,BR28&amp;BS28&amp;BT28=BS$5&amp;BT$5&amp;BR$5,BR28&amp;BS28&amp;BT28=BT$5&amp;BR$5&amp;BS$5,BR28&amp;BS28&amp;BT28=BT$5&amp;BS$5&amp;BR$5),2,0),IF(AND(BR28=BR$5,BS$6&gt;=$D$129),1,0),IF(AND(BS28=BR$5,BS$6&gt;=$D$129),1,0),IF(AND(BT28=BR$5,BS$6&gt;=$D$129),1,0),IF(BR28&amp;BU28=BU$5,4,0),IF(AND(BR28=BR$5,BS$6&lt;=$D$104),-0.5,0),IF(AND(BS28=BR$5,BS$6&lt;=$D$104),-0.5,0),IF(AND(BT28=BR$5,BS$6&lt;=$D$104),-0.5,0))</f>
        <v/>
      </c>
      <c r="BW28" s="416" t="n"/>
      <c r="BX28" s="418" t="n"/>
      <c r="BY28" s="418" t="n"/>
      <c r="BZ28" s="418" t="n"/>
      <c r="CA28" s="602">
        <f>SUM(IF(BW28=BW$5,4,0),IF(BW28&amp;BX28=BW$5&amp;BX$5,1,0),
IF(AND(BW28=BW$5,BX$6&gt;=$D$115),1,0),
IF(AND(BX28=BW$5,BX$6&gt;=$D$115),1,0),
IF(AND(BY28=BW$5,BX$6&gt;=$D$115),1,0),
IF(BW28&amp;BZ28=CA$5,1,0),
IF(BX28=BW$5,2,0),
IF(BY28=BW$5,1,0),
IF(OR(BW28&amp;BX28&amp;BY28=BW$5&amp;BX$5&amp;BY$5,BW28&amp;BX28&amp;BY28=BW$5&amp;BY$5&amp;BX$5,BW28&amp;BX28&amp;BY28=BX$5&amp;BW$5&amp;BY$5,BW28&amp;BX28&amp;BY28=BX$5&amp;BY$5&amp;BW$5,BW28&amp;BX28&amp;BY28=BY$5&amp;BW$5&amp;BX$5,BW28&amp;BX28&amp;BY28=BY$5&amp;BX$5&amp;BW$5),2,0),IF(AND(BW28=BW$5,BX$6&gt;=$D$129),1,0),IF(AND(BX28=BW$5,BX$6&gt;=$D$129),1,0),IF(AND(BY28=BW$5,BX$6&gt;=$D$129),1,0),IF(BW28&amp;BZ28=BZ$5,4,0),IF(AND(BW28=BW$5,BX$6&lt;=$D$104),-0.5,0),IF(AND(BX28=BW$5,BX$6&lt;=$D$104),-0.5,0),IF(AND(BY28=BW$5,BX$6&lt;=$D$104),-0.5,0))</f>
        <v/>
      </c>
      <c r="CB28" s="416" t="n"/>
      <c r="CC28" s="418" t="n"/>
      <c r="CD28" s="418" t="n"/>
      <c r="CE28" s="418" t="n"/>
      <c r="CF28" s="602">
        <f>SUM(IF(CB28=CB$5,4,0),IF(CB28&amp;CC28=CB$5&amp;CC$5,1,0),
IF(AND(CB28=CB$5,CC$6&gt;=$D$115),1,0),
IF(AND(CC28=CB$5,CC$6&gt;=$D$115),1,0),
IF(AND(CD28=CB$5,CC$6&gt;=$D$115),1,0),
IF(CB28&amp;CE28=CF$5,1,0),
IF(CC28=CB$5,2,0),
IF(CD28=CB$5,1,0),
IF(OR(CB28&amp;CC28&amp;CD28=CB$5&amp;CC$5&amp;CD$5,CB28&amp;CC28&amp;CD28=CB$5&amp;CD$5&amp;CC$5,CB28&amp;CC28&amp;CD28=CC$5&amp;CB$5&amp;CD$5,CB28&amp;CC28&amp;CD28=CC$5&amp;CD$5&amp;CB$5,CB28&amp;CC28&amp;CD28=CD$5&amp;CB$5&amp;CC$5,CB28&amp;CC28&amp;CD28=CD$5&amp;CC$5&amp;CB$5),2,0),IF(AND(CB28=CB$5,CC$6&gt;=$D$129),1,0),IF(AND(CC28=CB$5,CC$6&gt;=$D$129),1,0),IF(AND(CD28=CB$5,CC$6&gt;=$D$129),1,0),IF(CB28&amp;CE28=CE$5,4,0),IF(AND(CB28=CB$5,CC$6&lt;=$D$104),-0.5,0),IF(AND(CC28=CB$5,CC$6&lt;=$D$104),-0.5,0),IF(AND(CD28=CB$5,CC$6&lt;=$D$104),-0.5,0))</f>
        <v/>
      </c>
      <c r="CG28" s="164">
        <f>IF(SEMANA2[[#This Row],[1]]="",0,$B$4)</f>
        <v/>
      </c>
      <c r="CH28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8" s="166">
        <f>IF(SEMANA2[[#This Row],[Columna14]]=0,0,(CH28/CG28))</f>
        <v/>
      </c>
      <c r="CJ28" s="165">
        <f>IF(SEMANA2[[#This Row],[1]]="",0,$B$4)</f>
        <v/>
      </c>
      <c r="CK28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8" s="166">
        <f>IF(SEMANA2[[#This Row],[Columna14]]=0,0,(CK28/CJ28))</f>
        <v/>
      </c>
      <c r="CM28" s="164">
        <f>IF(SEMANA2[[#This Row],[1]]="",0,$B$4)</f>
        <v/>
      </c>
      <c r="CN28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8" s="166">
        <f>IF(SEMANA2[[#This Row],[Columna14]]=0,0,(CN28/CM28))</f>
        <v/>
      </c>
      <c r="CP28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8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Row],[Columna25]],$AX$5,BA28,"SF")+COUNTIFS(SEMANA2[[#This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8" s="166">
        <f>IFERROR(IF(SEMANA2[[#This Row],[Columna14]]=0,0,(CQ28/CP28)),0)</f>
        <v/>
      </c>
      <c r="CS28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8" s="95">
        <f>_xlfn.XLOOKUP(SEMANA2[[#This Row],[COD]],BASE01[COD],BASE01[Columna33])</f>
        <v/>
      </c>
      <c r="CU28" s="604">
        <f>SUM(CS28,CT28)</f>
        <v/>
      </c>
      <c r="CV28" s="450">
        <f>IF(SEMANA2[[#This Row],[TIPO]]="PREMIO",$O$3,"0,00")</f>
        <v/>
      </c>
      <c r="CW28" s="576" t="n"/>
      <c r="CY28" s="392">
        <f>IF(CZ28="","",$CZ$25)</f>
        <v/>
      </c>
      <c r="CZ28" s="392" t="inlineStr">
        <is>
          <t>COD 07</t>
        </is>
      </c>
      <c r="DA28" s="392">
        <f t="array" ref="DA28">IF(CZ28="", "", IF((INDEX(E$8:CE$57, MATCH(CZ28, C$8:C$57, 0), ($CZ$25-1)*5 + 1) &amp; "") = (INDEX(E$5:CE$5, 1, ($CZ$25-1)*5 + 1) &amp; ""), 1, IF((INDEX(E$8:CE$57, MATCH(CZ28, C$8:C$57, 0), ($CZ$25-1)*5 + 2) &amp; "") = (INDEX(E$5:CE$5, 1, ($CZ$25-1)*5 + 1) &amp; ""), 2, IF((INDEX(E$8:CE$57, MATCH(CZ28, C$8:C$57, 0), ($CZ$25-1)*5 + 3) &amp; "") = (INDEX(E$5:CE$5, 1, ($CZ$25-1)*5 + 1) &amp; ""), 3, ""))))</f>
        <v/>
      </c>
      <c r="DB28" s="605">
        <f>SEMANA2[[#This Row],[COD]]</f>
        <v/>
      </c>
      <c r="DC28" s="395">
        <f t="array" ref="DC28">IFERROR(IF(AND(INDEX($E$8:$CE$57, MATCH($C28, $C$8:$C$57, 0), (COLUMNS($DC28:DC28)-1)*5 + 1) = INDEX($E$5:$CE$5, 1, (COLUMNS($DC28:DC28)-1)*5 + 1), INDEX($E$8:$CE$57, MATCH($C28, $C$8:$C$57, 0), (COLUMNS($DC28:DC28)-1)*5 + 4) = "F"), INDEX($CZ$8:$CZ$23, COLUMNS($DC28:DC28)), "0"), "")</f>
        <v/>
      </c>
      <c r="DD28" s="395">
        <f t="array" ref="DD28">IFERROR(IF(AND(INDEX($E$8:$CE$57, MATCH($C28, $C$8:$C$57, 0), (COLUMNS($DC28:DD28)-1)*5 + 1) = INDEX($E$5:$CE$5, 1, (COLUMNS($DC28:DD28)-1)*5 + 1), INDEX($E$8:$CE$57, MATCH($C28, $C$8:$C$57, 0), (COLUMNS($DC28:DD28)-1)*5 + 4) = "F"), INDEX($CZ$8:$CZ$23, COLUMNS($DC28:DD28)), "0"), "")</f>
        <v/>
      </c>
      <c r="DE28" s="395">
        <f t="array" ref="DE28">IFERROR(IF(AND(INDEX($E$8:$CE$57, MATCH($C28, $C$8:$C$57, 0), (COLUMNS($DC28:DE28)-1)*5 + 1) = INDEX($E$5:$CE$5, 1, (COLUMNS($DC28:DE28)-1)*5 + 1), INDEX($E$8:$CE$57, MATCH($C28, $C$8:$C$57, 0), (COLUMNS($DC28:DE28)-1)*5 + 4) = "F"), INDEX($CZ$8:$CZ$23, COLUMNS($DC28:DE28)), "0"), "")</f>
        <v/>
      </c>
      <c r="DF28" s="395">
        <f t="array" ref="DF28">IFERROR(IF(AND(INDEX($E$8:$CE$57, MATCH($C28, $C$8:$C$57, 0), (COLUMNS($DC28:DF28)-1)*5 + 1) = INDEX($E$5:$CE$5, 1, (COLUMNS($DC28:DF28)-1)*5 + 1), INDEX($E$8:$CE$57, MATCH($C28, $C$8:$C$57, 0), (COLUMNS($DC28:DF28)-1)*5 + 4) = "F"), INDEX($CZ$8:$CZ$23, COLUMNS($DC28:DF28)), "0"), "")</f>
        <v/>
      </c>
      <c r="DG28" s="395">
        <f t="array" ref="DG28">IFERROR(IF(AND(INDEX($E$8:$CE$57, MATCH($C28, $C$8:$C$57, 0), (COLUMNS($DC28:DG28)-1)*5 + 1) = INDEX($E$5:$CE$5, 1, (COLUMNS($DC28:DG28)-1)*5 + 1), INDEX($E$8:$CE$57, MATCH($C28, $C$8:$C$57, 0), (COLUMNS($DC28:DG28)-1)*5 + 4) = "F"), INDEX($CZ$8:$CZ$23, COLUMNS($DC28:DG28)), "0"), "")</f>
        <v/>
      </c>
      <c r="DH28" s="395">
        <f t="array" ref="DH28">IFERROR(IF(AND(INDEX($E$8:$CE$57, MATCH($C28, $C$8:$C$57, 0), (COLUMNS($DC28:DH28)-1)*5 + 1) = INDEX($E$5:$CE$5, 1, (COLUMNS($DC28:DH28)-1)*5 + 1), INDEX($E$8:$CE$57, MATCH($C28, $C$8:$C$57, 0), (COLUMNS($DC28:DH28)-1)*5 + 4) = "F"), INDEX($CZ$8:$CZ$23, COLUMNS($DC28:DH28)), "0"), "")</f>
        <v/>
      </c>
      <c r="DI28" s="395">
        <f t="array" ref="DI28">IFERROR(IF(AND(INDEX($E$8:$CE$57, MATCH($C28, $C$8:$C$57, 0), (COLUMNS($DC28:DI28)-1)*5 + 1) = INDEX($E$5:$CE$5, 1, (COLUMNS($DC28:DI28)-1)*5 + 1), INDEX($E$8:$CE$57, MATCH($C28, $C$8:$C$57, 0), (COLUMNS($DC28:DI28)-1)*5 + 4) = "F"), INDEX($CZ$8:$CZ$23, COLUMNS($DC28:DI28)), "0"), "")</f>
        <v/>
      </c>
      <c r="DJ28" s="395">
        <f t="array" ref="DJ28">IFERROR(IF(AND(INDEX($E$8:$CE$57, MATCH($C28, $C$8:$C$57, 0), (COLUMNS($DC28:DJ28)-1)*5 + 1) = INDEX($E$5:$CE$5, 1, (COLUMNS($DC28:DJ28)-1)*5 + 1), INDEX($E$8:$CE$57, MATCH($C28, $C$8:$C$57, 0), (COLUMNS($DC28:DJ28)-1)*5 + 4) = "F"), INDEX($CZ$8:$CZ$23, COLUMNS($DC28:DJ28)), "0"), "")</f>
        <v/>
      </c>
      <c r="DK28" s="395">
        <f t="array" ref="DK28">IFERROR(IF(AND(INDEX($E$8:$CE$57, MATCH($C28, $C$8:$C$57, 0), (COLUMNS($DC28:DK28)-1)*5 + 1) = INDEX($E$5:$CE$5, 1, (COLUMNS($DC28:DK28)-1)*5 + 1), INDEX($E$8:$CE$57, MATCH($C28, $C$8:$C$57, 0), (COLUMNS($DC28:DK28)-1)*5 + 4) = "F"), INDEX($CZ$8:$CZ$23, COLUMNS($DC28:DK28)), "0"), "")</f>
        <v/>
      </c>
      <c r="DL28" s="395">
        <f t="array" ref="DL28">IFERROR(IF(AND(INDEX($E$8:$CE$57, MATCH($C28, $C$8:$C$57, 0), (COLUMNS($DC28:DL28)-1)*5 + 1) = INDEX($E$5:$CE$5, 1, (COLUMNS($DC28:DL28)-1)*5 + 1), INDEX($E$8:$CE$57, MATCH($C28, $C$8:$C$57, 0), (COLUMNS($DC28:DL28)-1)*5 + 4) = "F"), INDEX($CZ$8:$CZ$23, COLUMNS($DC28:DL28)), "0"), "")</f>
        <v/>
      </c>
      <c r="DM28" s="395">
        <f t="array" ref="DM28">IFERROR(IF(AND(INDEX($E$8:$CE$57, MATCH($C28, $C$8:$C$57, 0), (COLUMNS($DC28:DM28)-1)*5 + 1) = INDEX($E$5:$CE$5, 1, (COLUMNS($DC28:DM28)-1)*5 + 1), INDEX($E$8:$CE$57, MATCH($C28, $C$8:$C$57, 0), (COLUMNS($DC28:DM28)-1)*5 + 4) = "F"), INDEX($CZ$8:$CZ$23, COLUMNS($DC28:DM28)), "0"), "")</f>
        <v/>
      </c>
      <c r="DN28" s="395">
        <f t="array" ref="DN28">IFERROR(IF(AND(INDEX($E$8:$CE$57, MATCH($C28, $C$8:$C$57, 0), (COLUMNS($DC28:DN28)-1)*5 + 1) = INDEX($E$5:$CE$5, 1, (COLUMNS($DC28:DN28)-1)*5 + 1), INDEX($E$8:$CE$57, MATCH($C28, $C$8:$C$57, 0), (COLUMNS($DC28:DN28)-1)*5 + 4) = "F"), INDEX($CZ$8:$CZ$23, COLUMNS($DC28:DN28)), "0"), "")</f>
        <v/>
      </c>
      <c r="DO28" s="395">
        <f t="array" ref="DO28">IFERROR(IF(AND(INDEX($E$8:$CE$57, MATCH($C28, $C$8:$C$57, 0), (COLUMNS($DC28:DO28)-1)*5 + 1) = INDEX($E$5:$CE$5, 1, (COLUMNS($DC28:DO28)-1)*5 + 1), INDEX($E$8:$CE$57, MATCH($C28, $C$8:$C$57, 0), (COLUMNS($DC28:DO28)-1)*5 + 4) = "F"), INDEX($CZ$8:$CZ$23, COLUMNS($DC28:DO28)), "0"), "")</f>
        <v/>
      </c>
      <c r="DP28" s="395">
        <f t="array" ref="DP28">IFERROR(IF(AND(INDEX($E$8:$CE$57, MATCH($C28, $C$8:$C$57, 0), (COLUMNS($DC28:DP28)-1)*5 + 1) = INDEX($E$5:$CE$5, 1, (COLUMNS($DC28:DP28)-1)*5 + 1), INDEX($E$8:$CE$57, MATCH($C28, $C$8:$C$57, 0), (COLUMNS($DC28:DP28)-1)*5 + 4) = "F"), INDEX($CZ$8:$CZ$23, COLUMNS($DC28:DP28)), "0"), "")</f>
        <v/>
      </c>
      <c r="DQ28" s="395">
        <f t="array" ref="DQ28">IFERROR(IF(AND(INDEX($E$8:$CE$57, MATCH($C28, $C$8:$C$57, 0), (COLUMNS($DC28:DQ28)-1)*5 + 1) = INDEX($E$5:$CE$5, 1, (COLUMNS($DC28:DQ28)-1)*5 + 1), INDEX($E$8:$CE$57, MATCH($C28, $C$8:$C$57, 0), (COLUMNS($DC28:DQ28)-1)*5 + 4) = "F"), INDEX($CZ$8:$CZ$23, COLUMNS($DC28:DQ28)), "0"), "")</f>
        <v/>
      </c>
      <c r="DR28" s="395">
        <f t="array" ref="DR28">IFERROR(IF(AND(INDEX($E$8:$CE$57, MATCH($C28, $C$8:$C$57, 0), (COLUMNS($DC28:DR28)-1)*5 + 1) = INDEX($E$5:$CE$5, 1, (COLUMNS($DC28:DR28)-1)*5 + 1), INDEX($E$8:$CE$57, MATCH($C28, $C$8:$C$57, 0), (COLUMNS($DC28:DR28)-1)*5 + 4) = "F"), INDEX($CZ$8:$CZ$23, COLUMNS($DC28:DR28)), "0"), "")</f>
        <v/>
      </c>
      <c r="DT28" s="605">
        <f>SEMANA2[[#This Row],[COD]]</f>
        <v/>
      </c>
      <c r="DU28" s="395">
        <f t="array" ref="DU28">IFERROR(IF(AND(INDEX($E$8:$CE$57, MATCH($C28, $C$8:$C$57, 0), (COLUMNS($DU28:DU28)-1)*5 + 1) = INDEX($E$5:$CE$5, 1, (COLUMNS($DU28:DU28)-1)*5 + 1), INDEX($E$8:$CE$57, MATCH($C28, $C$8:$C$57, 0), (COLUMNS($DU28:DU28)-1)*5 + 4) = "SF"), INDEX($CZ$8:$CZ$23, COLUMNS($DU28:DU28)), "0"), "")</f>
        <v/>
      </c>
      <c r="DV28" s="395">
        <f t="array" ref="DV28">IFERROR(IF(AND(INDEX($E$8:$CE$57, MATCH($C28, $C$8:$C$57, 0), (COLUMNS($DU28:DV28)-1)*5 + 1) = INDEX($E$5:$CE$5, 1, (COLUMNS($DU28:DV28)-1)*5 + 1), INDEX($E$8:$CE$57, MATCH($C28, $C$8:$C$57, 0), (COLUMNS($DU28:DV28)-1)*5 + 4) = "SF"), INDEX($CZ$8:$CZ$23, COLUMNS($DU28:DV28)), "0"), "")</f>
        <v/>
      </c>
      <c r="DW28" s="395">
        <f t="array" ref="DW28">IFERROR(IF(AND(INDEX($E$8:$CE$57, MATCH($C28, $C$8:$C$57, 0), (COLUMNS($DU28:DW28)-1)*5 + 1) = INDEX($E$5:$CE$5, 1, (COLUMNS($DU28:DW28)-1)*5 + 1), INDEX($E$8:$CE$57, MATCH($C28, $C$8:$C$57, 0), (COLUMNS($DU28:DW28)-1)*5 + 4) = "SF"), INDEX($CZ$8:$CZ$23, COLUMNS($DU28:DW28)), "0"), "")</f>
        <v/>
      </c>
      <c r="DX28" s="395">
        <f t="array" ref="DX28">IFERROR(IF(AND(INDEX($E$8:$CE$57, MATCH($C28, $C$8:$C$57, 0), (COLUMNS($DU28:DX28)-1)*5 + 1) = INDEX($E$5:$CE$5, 1, (COLUMNS($DU28:DX28)-1)*5 + 1), INDEX($E$8:$CE$57, MATCH($C28, $C$8:$C$57, 0), (COLUMNS($DU28:DX28)-1)*5 + 4) = "SF"), INDEX($CZ$8:$CZ$23, COLUMNS($DU28:DX28)), "0"), "")</f>
        <v/>
      </c>
      <c r="DY28" s="395">
        <f t="array" ref="DY28">IFERROR(IF(AND(INDEX($E$8:$CE$57, MATCH($C28, $C$8:$C$57, 0), (COLUMNS($DU28:DY28)-1)*5 + 1) = INDEX($E$5:$CE$5, 1, (COLUMNS($DU28:DY28)-1)*5 + 1), INDEX($E$8:$CE$57, MATCH($C28, $C$8:$C$57, 0), (COLUMNS($DU28:DY28)-1)*5 + 4) = "SF"), INDEX($CZ$8:$CZ$23, COLUMNS($DU28:DY28)), "0"), "")</f>
        <v/>
      </c>
      <c r="DZ28" s="395">
        <f t="array" ref="DZ28">IFERROR(IF(AND(INDEX($E$8:$CE$57, MATCH($C28, $C$8:$C$57, 0), (COLUMNS($DU28:DZ28)-1)*5 + 1) = INDEX($E$5:$CE$5, 1, (COLUMNS($DU28:DZ28)-1)*5 + 1), INDEX($E$8:$CE$57, MATCH($C28, $C$8:$C$57, 0), (COLUMNS($DU28:DZ28)-1)*5 + 4) = "SF"), INDEX($CZ$8:$CZ$23, COLUMNS($DU28:DZ28)), "0"), "")</f>
        <v/>
      </c>
      <c r="EA28" s="395">
        <f t="array" ref="EA28">IFERROR(IF(AND(INDEX($E$8:$CE$57, MATCH($C28, $C$8:$C$57, 0), (COLUMNS($DU28:EA28)-1)*5 + 1) = INDEX($E$5:$CE$5, 1, (COLUMNS($DU28:EA28)-1)*5 + 1), INDEX($E$8:$CE$57, MATCH($C28, $C$8:$C$57, 0), (COLUMNS($DU28:EA28)-1)*5 + 4) = "SF"), INDEX($CZ$8:$CZ$23, COLUMNS($DU28:EA28)), "0"), "")</f>
        <v/>
      </c>
      <c r="EB28" s="395">
        <f t="array" ref="EB28">IFERROR(IF(AND(INDEX($E$8:$CE$57, MATCH($C28, $C$8:$C$57, 0), (COLUMNS($DU28:EB28)-1)*5 + 1) = INDEX($E$5:$CE$5, 1, (COLUMNS($DU28:EB28)-1)*5 + 1), INDEX($E$8:$CE$57, MATCH($C28, $C$8:$C$57, 0), (COLUMNS($DU28:EB28)-1)*5 + 4) = "SF"), INDEX($CZ$8:$CZ$23, COLUMNS($DU28:EB28)), "0"), "")</f>
        <v/>
      </c>
      <c r="EC28" s="395">
        <f t="array" ref="EC28">IFERROR(IF(AND(INDEX($E$8:$CE$57, MATCH($C28, $C$8:$C$57, 0), (COLUMNS($DU28:EC28)-1)*5 + 1) = INDEX($E$5:$CE$5, 1, (COLUMNS($DU28:EC28)-1)*5 + 1), INDEX($E$8:$CE$57, MATCH($C28, $C$8:$C$57, 0), (COLUMNS($DU28:EC28)-1)*5 + 4) = "SF"), INDEX($CZ$8:$CZ$23, COLUMNS($DU28:EC28)), "0"), "")</f>
        <v/>
      </c>
      <c r="ED28" s="395">
        <f t="array" ref="ED28">IFERROR(IF(AND(INDEX($E$8:$CE$57, MATCH($C28, $C$8:$C$57, 0), (COLUMNS($DU28:ED28)-1)*5 + 1) = INDEX($E$5:$CE$5, 1, (COLUMNS($DU28:ED28)-1)*5 + 1), INDEX($E$8:$CE$57, MATCH($C28, $C$8:$C$57, 0), (COLUMNS($DU28:ED28)-1)*5 + 4) = "SF"), INDEX($CZ$8:$CZ$23, COLUMNS($DU28:ED28)), "0"), "")</f>
        <v/>
      </c>
      <c r="EE28" s="395">
        <f t="array" ref="EE28">IFERROR(IF(AND(INDEX($E$8:$CE$57, MATCH($C28, $C$8:$C$57, 0), (COLUMNS($DU28:EE28)-1)*5 + 1) = INDEX($E$5:$CE$5, 1, (COLUMNS($DU28:EE28)-1)*5 + 1), INDEX($E$8:$CE$57, MATCH($C28, $C$8:$C$57, 0), (COLUMNS($DU28:EE28)-1)*5 + 4) = "SF"), INDEX($CZ$8:$CZ$23, COLUMNS($DU28:EE28)), "0"), "")</f>
        <v/>
      </c>
      <c r="EF28" s="395">
        <f t="array" ref="EF28">IFERROR(IF(AND(INDEX($E$8:$CE$57, MATCH($C28, $C$8:$C$57, 0), (COLUMNS($DU28:EF28)-1)*5 + 1) = INDEX($E$5:$CE$5, 1, (COLUMNS($DU28:EF28)-1)*5 + 1), INDEX($E$8:$CE$57, MATCH($C28, $C$8:$C$57, 0), (COLUMNS($DU28:EF28)-1)*5 + 4) = "SF"), INDEX($CZ$8:$CZ$23, COLUMNS($DU28:EF28)), "0"), "")</f>
        <v/>
      </c>
      <c r="EG28" s="395">
        <f t="array" ref="EG28">IFERROR(IF(AND(INDEX($E$8:$CE$57, MATCH($C28, $C$8:$C$57, 0), (COLUMNS($DU28:EG28)-1)*5 + 1) = INDEX($E$5:$CE$5, 1, (COLUMNS($DU28:EG28)-1)*5 + 1), INDEX($E$8:$CE$57, MATCH($C28, $C$8:$C$57, 0), (COLUMNS($DU28:EG28)-1)*5 + 4) = "SF"), INDEX($CZ$8:$CZ$23, COLUMNS($DU28:EG28)), "0"), "")</f>
        <v/>
      </c>
      <c r="EH28" s="395">
        <f t="array" ref="EH28">IFERROR(IF(AND(INDEX($E$8:$CE$57, MATCH($C28, $C$8:$C$57, 0), (COLUMNS($DU28:EH28)-1)*5 + 1) = INDEX($E$5:$CE$5, 1, (COLUMNS($DU28:EH28)-1)*5 + 1), INDEX($E$8:$CE$57, MATCH($C28, $C$8:$C$57, 0), (COLUMNS($DU28:EH28)-1)*5 + 4) = "SF"), INDEX($CZ$8:$CZ$23, COLUMNS($DU28:EH28)), "0"), "")</f>
        <v/>
      </c>
      <c r="EI28" s="395">
        <f t="array" ref="EI28">IFERROR(IF(AND(INDEX($E$8:$CE$57, MATCH($C28, $C$8:$C$57, 0), (COLUMNS($DU28:EI28)-1)*5 + 1) = INDEX($E$5:$CE$5, 1, (COLUMNS($DU28:EI28)-1)*5 + 1), INDEX($E$8:$CE$57, MATCH($C28, $C$8:$C$57, 0), (COLUMNS($DU28:EI28)-1)*5 + 4) = "SF"), INDEX($CZ$8:$CZ$23, COLUMNS($DU28:EI28)), "0"), "")</f>
        <v/>
      </c>
      <c r="EJ28" s="395">
        <f t="array" ref="EJ28">IFERROR(IF(AND(INDEX($E$8:$CE$57, MATCH($C28, $C$8:$C$57, 0), (COLUMNS($DU28:EJ28)-1)*5 + 1) = INDEX($E$5:$CE$5, 1, (COLUMNS($DU28:EJ28)-1)*5 + 1), INDEX($E$8:$CE$57, MATCH($C28, $C$8:$C$57, 0), (COLUMNS($DU28:EJ28)-1)*5 + 4) = "SF"), INDEX($CZ$8:$CZ$23, COLUMNS($DU28:EJ28)), "0"), "")</f>
        <v/>
      </c>
    </row>
    <row r="29" ht="19.5" customHeight="1" s="568">
      <c r="A29" s="576" t="n"/>
      <c r="B29" s="449">
        <f>IF(SEMANA2[[#This Row],[COD]]&lt;&gt;"",B28+1,"")</f>
        <v/>
      </c>
      <c r="C29" s="622" t="inlineStr">
        <is>
          <t>COD 22</t>
        </is>
      </c>
      <c r="D29" s="415">
        <f t="array" ref="D29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29" s="416" t="n">
        <v>9</v>
      </c>
      <c r="F29" s="417" t="n">
        <v>6</v>
      </c>
      <c r="G29" s="417" t="n">
        <v>2</v>
      </c>
      <c r="H29" s="417" t="n"/>
      <c r="I29" s="602">
        <f>SUM(IF(E29=E$5,4,0),IF(E29&amp;F29=E$5&amp;F$5,1,0),
IF(AND(E29=E$5,F$6&gt;=$D$115),1,0),
IF(AND(F29=E$5,F$6&gt;=$D$115),1,0),
IF(AND(G29=E$5,F$6&gt;=$D$115),1,0),
IF(E29&amp;H29=I$5,1,0),
IF(F29=E$5,2,0),
IF(G29=E$5,1,0),
IF(OR(E29&amp;F29&amp;G29=E$5&amp;F$5&amp;G$5,E29&amp;F29&amp;G29=E$5&amp;G$5&amp;F$5,E29&amp;F29&amp;G29=F$5&amp;E$5&amp;G$5,E29&amp;F29&amp;G29=F$5&amp;G$5&amp;E$5,E29&amp;F29&amp;G29=G$5&amp;E$5&amp;F$5,E29&amp;F29&amp;G29=G$5&amp;F$5&amp;E$5),2,0),IF(AND(E29=E$5,F$6&gt;=$D$129),1,0),IF(AND(F29=E$5,F$6&gt;=$D$129),1,0),IF(AND(G29=E$5,F$6&gt;=$D$129),1,0),IF(E29&amp;H29=H$5,4,0),IF(AND(E29=E$5,F$6&lt;=$D$104),-0.5,0),IF(AND(F29=E$5,F$6&lt;=$D$104),-0.5,0),IF(AND(G29=E$5,F$6&lt;=$D$104),-0.5,0))</f>
        <v/>
      </c>
      <c r="J29" s="416" t="n">
        <v>1</v>
      </c>
      <c r="K29" s="417" t="n">
        <v>2</v>
      </c>
      <c r="L29" s="417" t="n">
        <v>4</v>
      </c>
      <c r="M29" s="417" t="n"/>
      <c r="N29" s="602">
        <f>SUM(IF(J29=J$5,4,0),IF(J29&amp;K29=J$5&amp;K$5,1,0),
IF(AND(J29=J$5,K$6&gt;=$D$115),1,0),
IF(AND(K29=J$5,K$6&gt;=$D$115),1,0),
IF(AND(L29=J$5,K$6&gt;=$D$115),1,0),
IF(J29&amp;M29=N$5,1,0),
IF(K29=J$5,2,0),
IF(L29=J$5,1,0),
IF(OR(J29&amp;K29&amp;L29=J$5&amp;K$5&amp;L$5,J29&amp;K29&amp;L29=J$5&amp;L$5&amp;K$5,J29&amp;K29&amp;L29=K$5&amp;J$5&amp;L$5,J29&amp;K29&amp;L29=K$5&amp;L$5&amp;J$5,J29&amp;K29&amp;L29=L$5&amp;J$5&amp;K$5,J29&amp;K29&amp;L29=L$5&amp;K$5&amp;J$5),2,0),IF(AND(J29=J$5,K$6&gt;=$D$129),1,0),IF(AND(K29=J$5,K$6&gt;=$D$129),1,0),IF(AND(L29=J$5,K$6&gt;=$D$129),1,0),IF(J29&amp;M29=M$5,4,0),IF(AND(J29=J$5,K$6&lt;=$D$104),-0.5,0),IF(AND(K29=J$5,K$6&lt;=$D$104),-0.5,0),IF(AND(L29=J$5,K$6&lt;=$D$104),-0.5,0))</f>
        <v/>
      </c>
      <c r="O29" s="416" t="n">
        <v>7</v>
      </c>
      <c r="P29" s="417" t="n">
        <v>8</v>
      </c>
      <c r="Q29" s="417" t="n">
        <v>5</v>
      </c>
      <c r="R29" s="417" t="n"/>
      <c r="S29" s="602">
        <f>SUM(IF(O29=O$5,4,0),IF(O29&amp;P29=O$5&amp;P$5,1,0),
IF(AND(O29=O$5,P$6&gt;=$D$115),1,0),
IF(AND(P29=O$5,P$6&gt;=$D$115),1,0),
IF(AND(Q29=O$5,P$6&gt;=$D$115),1,0),
IF(O29&amp;R29=S$5,1,0),
IF(P29=O$5,2,0),
IF(Q29=O$5,1,0),
IF(OR(O29&amp;P29&amp;Q29=O$5&amp;P$5&amp;Q$5,O29&amp;P29&amp;Q29=O$5&amp;Q$5&amp;P$5,O29&amp;P29&amp;Q29=P$5&amp;O$5&amp;Q$5,O29&amp;P29&amp;Q29=P$5&amp;Q$5&amp;O$5,O29&amp;P29&amp;Q29=Q$5&amp;O$5&amp;P$5,O29&amp;P29&amp;Q29=Q$5&amp;P$5&amp;O$5),2,0),IF(AND(O29=O$5,P$6&gt;=$D$129),1,0),IF(AND(P29=O$5,P$6&gt;=$D$129),1,0),IF(AND(Q29=O$5,P$6&gt;=$D$129),1,0),IF(O29&amp;R29=R$5,4,0),IF(AND(O29=O$5,P$6&lt;=$D$104),-0.5,0),IF(AND(P29=O$5,P$6&lt;=$D$104),-0.5,0),IF(AND(Q29=O$5,P$6&lt;=$D$104),-0.5,0))</f>
        <v/>
      </c>
      <c r="T29" s="416" t="n">
        <v>1</v>
      </c>
      <c r="U29" s="417" t="n">
        <v>3</v>
      </c>
      <c r="V29" s="417" t="n">
        <v>5</v>
      </c>
      <c r="W29" s="417" t="n"/>
      <c r="X29" s="602">
        <f>SUM(IF(T29=T$5,4,0),IF(T29&amp;U29=T$5&amp;U$5,1,0),
IF(AND(T29=T$5,U$6&gt;=$D$115),1,0),
IF(AND(U29=T$5,U$6&gt;=$D$115),1,0),
IF(AND(V29=T$5,U$6&gt;=$D$115),1,0),
IF(T29&amp;W29=X$5,1,0),
IF(U29=T$5,2,0),
IF(V29=T$5,1,0),
IF(OR(T29&amp;U29&amp;V29=T$5&amp;U$5&amp;V$5,T29&amp;U29&amp;V29=T$5&amp;V$5&amp;U$5,T29&amp;U29&amp;V29=U$5&amp;T$5&amp;V$5,T29&amp;U29&amp;V29=U$5&amp;V$5&amp;T$5,T29&amp;U29&amp;V29=V$5&amp;T$5&amp;U$5,T29&amp;U29&amp;V29=V$5&amp;U$5&amp;T$5),2,0),IF(AND(T29=T$5,U$6&gt;=$D$129),1,0),IF(AND(U29=T$5,U$6&gt;=$D$129),1,0),IF(AND(V29=T$5,U$6&gt;=$D$129),1,0),IF(T29&amp;W29=W$5,4,0),IF(AND(T29=T$5,U$6&lt;=$D$104),-0.5,0),IF(AND(U29=T$5,U$6&lt;=$D$104),-0.5,0),IF(AND(V29=T$5,U$6&lt;=$D$104),-0.5,0))</f>
        <v/>
      </c>
      <c r="Y29" s="416" t="n">
        <v>7</v>
      </c>
      <c r="Z29" s="417" t="n">
        <v>1</v>
      </c>
      <c r="AA29" s="417" t="n">
        <v>4</v>
      </c>
      <c r="AB29" s="417" t="n"/>
      <c r="AC29" s="602">
        <f>SUM(IF(Y29=Y$5,4,0),IF(Y29&amp;Z29=Y$5&amp;Z$5,1,0),
IF(AND(Y29=Y$5,Z$6&gt;=$D$115),1,0),
IF(AND(Z29=Y$5,Z$6&gt;=$D$115),1,0),
IF(AND(AA29=Y$5,Z$6&gt;=$D$115),1,0),
IF(Y29&amp;AB29=AC$5,1,0),
IF(Z29=Y$5,2,0),
IF(AA29=Y$5,1,0),
IF(OR(Y29&amp;Z29&amp;AA29=Y$5&amp;Z$5&amp;AA$5,Y29&amp;Z29&amp;AA29=Y$5&amp;AA$5&amp;Z$5,Y29&amp;Z29&amp;AA29=Z$5&amp;Y$5&amp;AA$5,Y29&amp;Z29&amp;AA29=Z$5&amp;AA$5&amp;Y$5,Y29&amp;Z29&amp;AA29=AA$5&amp;Y$5&amp;Z$5,Y29&amp;Z29&amp;AA29=AA$5&amp;Z$5&amp;Y$5),2,0),IF(AND(Y29=Y$5,Z$6&gt;=$D$129),1,0),IF(AND(Z29=Y$5,Z$6&gt;=$D$129),1,0),IF(AND(AA29=Y$5,Z$6&gt;=$D$129),1,0),IF(Y29&amp;AB29=AB$5,4,0),IF(AND(Y29=Y$5,Z$6&lt;=$D$104),-0.5,0),IF(AND(Z29=Y$5,Z$6&lt;=$D$104),-0.5,0),IF(AND(AA29=Y$5,Z$6&lt;=$D$104),-0.5,0))</f>
        <v/>
      </c>
      <c r="AD29" s="416" t="n">
        <v>5</v>
      </c>
      <c r="AE29" s="417" t="n">
        <v>3</v>
      </c>
      <c r="AF29" s="417" t="n">
        <v>4</v>
      </c>
      <c r="AG29" s="417" t="n"/>
      <c r="AH29" s="602">
        <f>SUM(IF(AD29=AD$5,4,0),IF(AD29&amp;AE29=AD$5&amp;AE$5,1,0),
IF(AND(AD29=AD$5,AE$6&gt;=$D$115),1,0),
IF(AND(AE29=AD$5,AE$6&gt;=$D$115),1,0),
IF(AND(AF29=AD$5,AE$6&gt;=$D$115),1,0),
IF(AD29&amp;AG29=AH$5,1,0),
IF(AE29=AD$5,2,0),
IF(AF29=AD$5,1,0),
IF(OR(AD29&amp;AE29&amp;AF29=AD$5&amp;AE$5&amp;AF$5,AD29&amp;AE29&amp;AF29=AD$5&amp;AF$5&amp;AE$5,AD29&amp;AE29&amp;AF29=AE$5&amp;AD$5&amp;AF$5,AD29&amp;AE29&amp;AF29=AE$5&amp;AF$5&amp;AD$5,AD29&amp;AE29&amp;AF29=AF$5&amp;AD$5&amp;AE$5,AD29&amp;AE29&amp;AF29=AF$5&amp;AE$5&amp;AD$5),2,0),IF(AND(AD29=AD$5,AE$6&gt;=$D$129),1,0),IF(AND(AE29=AD$5,AE$6&gt;=$D$129),1,0),IF(AND(AF29=AD$5,AE$6&gt;=$D$129),1,0),IF(AD29&amp;AG29=AG$5,4,0),IF(AND(AD29=AD$5,AE$6&lt;=$D$104),-0.5,0),IF(AND(AE29=AD$5,AE$6&lt;=$D$104),-0.5,0),IF(AND(AF29=AD$5,AE$6&lt;=$D$104),-0.5,0))</f>
        <v/>
      </c>
      <c r="AI29" s="416" t="n">
        <v>7</v>
      </c>
      <c r="AJ29" s="417" t="n">
        <v>8</v>
      </c>
      <c r="AK29" s="417" t="n">
        <v>6</v>
      </c>
      <c r="AL29" s="417" t="n"/>
      <c r="AM29" s="602">
        <f>SUM(IF(AI29=AI$5,4,0),IF(AI29&amp;AJ29=AI$5&amp;AJ$5,1,0),
IF(AND(AI29=AI$5,AJ$6&gt;=$D$115),1,0),
IF(AND(AJ29=AI$5,AJ$6&gt;=$D$115),1,0),
IF(AND(AK29=AI$5,AJ$6&gt;=$D$115),1,0),
IF(AI29&amp;AL29=AM$5,1,0),
IF(AJ29=AI$5,2,0),
IF(AK29=AI$5,1,0),
IF(OR(AI29&amp;AJ29&amp;AK29=AI$5&amp;AJ$5&amp;AK$5,AI29&amp;AJ29&amp;AK29=AI$5&amp;AK$5&amp;AJ$5,AI29&amp;AJ29&amp;AK29=AJ$5&amp;AI$5&amp;AK$5,AI29&amp;AJ29&amp;AK29=AJ$5&amp;AK$5&amp;AI$5,AI29&amp;AJ29&amp;AK29=AK$5&amp;AI$5&amp;AJ$5,AI29&amp;AJ29&amp;AK29=AK$5&amp;AJ$5&amp;AI$5),2,0),IF(AND(AI29=AI$5,AJ$6&gt;=$D$129),1,0),IF(AND(AJ29=AI$5,AJ$6&gt;=$D$129),1,0),IF(AND(AK29=AI$5,AJ$6&gt;=$D$129),1,0),IF(AI29&amp;AL29=AL$5,4,0),IF(AND(AI29=AI$5,AJ$6&lt;=$D$104),-0.5,0),IF(AND(AJ29=AI$5,AJ$6&lt;=$D$104),-0.5,0),IF(AND(AK29=AI$5,AJ$6&lt;=$D$104),-0.5,0))</f>
        <v/>
      </c>
      <c r="AN29" s="416" t="n">
        <v>8</v>
      </c>
      <c r="AO29" s="417" t="n"/>
      <c r="AP29" s="417" t="n"/>
      <c r="AQ29" s="417" t="inlineStr">
        <is>
          <t>SF</t>
        </is>
      </c>
      <c r="AR29" s="602">
        <f>SUM(IF(AN29=AN$5,4,0),IF(AN29&amp;AO29=AN$5&amp;AO$5,1,0),
IF(AND(AN29=AN$5,AO$6&gt;=$D$115),1,0),
IF(AND(AO29=AN$5,AO$6&gt;=$D$115),1,0),
IF(AND(AP29=AN$5,AO$6&gt;=$D$115),1,0),
IF(AN29&amp;AQ29=AR$5,1,0),
IF(AO29=AN$5,2,0),
IF(AP29=AN$5,1,0),
IF(OR(AN29&amp;AO29&amp;AP29=AN$5&amp;AO$5&amp;AP$5,AN29&amp;AO29&amp;AP29=AN$5&amp;AP$5&amp;AO$5,AN29&amp;AO29&amp;AP29=AO$5&amp;AN$5&amp;AP$5,AN29&amp;AO29&amp;AP29=AO$5&amp;AP$5&amp;AN$5,AN29&amp;AO29&amp;AP29=AP$5&amp;AN$5&amp;AO$5,AN29&amp;AO29&amp;AP29=AP$5&amp;AO$5&amp;AN$5),2,0),IF(AND(AN29=AN$5,AO$6&gt;=$D$129),1,0),IF(AND(AO29=AN$5,AO$6&gt;=$D$129),1,0),IF(AND(AP29=AN$5,AO$6&gt;=$D$129),1,0),IF(AN29&amp;AQ29=AQ$5,4,0),IF(AND(AN29=AN$5,AO$6&lt;=$D$104),-0.5,0),IF(AND(AO29=AN$5,AO$6&lt;=$D$104),-0.5,0),IF(AND(AP29=AN$5,AO$6&lt;=$D$104),-0.5,0))</f>
        <v/>
      </c>
      <c r="AS29" s="416" t="n">
        <v>5</v>
      </c>
      <c r="AT29" s="417" t="n">
        <v>8</v>
      </c>
      <c r="AU29" s="417" t="n">
        <v>9</v>
      </c>
      <c r="AV29" s="417" t="n"/>
      <c r="AW29" s="602">
        <f>SUM(IF(AS29=AS$5,4,0),IF(AS29&amp;AT29=AS$5&amp;AT$5,1,0),
IF(AND(AS29=AS$5,AT$6&gt;=$D$115),1,0),
IF(AND(AT29=AS$5,AT$6&gt;=$D$115),1,0),
IF(AND(AU29=AS$5,AT$6&gt;=$D$115),1,0),
IF(AS29&amp;AV29=AW$5,1,0),
IF(AT29=AS$5,2,0),
IF(AU29=AS$5,1,0),
IF(OR(AS29&amp;AT29&amp;AU29=AS$5&amp;AT$5&amp;AU$5,AS29&amp;AT29&amp;AU29=AS$5&amp;AU$5&amp;AT$5,AS29&amp;AT29&amp;AU29=AT$5&amp;AS$5&amp;AU$5,AS29&amp;AT29&amp;AU29=AT$5&amp;AU$5&amp;AS$5,AS29&amp;AT29&amp;AU29=AU$5&amp;AS$5&amp;AT$5,AS29&amp;AT29&amp;AU29=AU$5&amp;AT$5&amp;AS$5),2,0),IF(AND(AS29=AS$5,AT$6&gt;=$D$129),1,0),IF(AND(AT29=AS$5,AT$6&gt;=$D$129),1,0),IF(AND(AU29=AS$5,AT$6&gt;=$D$129),1,0),IF(AS29&amp;AV29=AV$5,4,0),IF(AND(AS29=AS$5,AT$6&lt;=$D$104),-0.5,0),IF(AND(AT29=AS$5,AT$6&lt;=$D$104),-0.5,0),IF(AND(AU29=AS$5,AT$6&lt;=$D$104),-0.5,0))</f>
        <v/>
      </c>
      <c r="AX29" s="416" t="n">
        <v>1</v>
      </c>
      <c r="AY29" s="417" t="n">
        <v>10</v>
      </c>
      <c r="AZ29" s="417" t="n">
        <v>2</v>
      </c>
      <c r="BA29" s="417" t="n"/>
      <c r="BB29" s="602">
        <f>SUM(IF(AX29=AX$5,4,0),IF(AX29&amp;AY29=AX$5&amp;AY$5,1,0),
IF(AND(AX29=AX$5,AY$6&gt;=$D$115),1,0),
IF(AND(AY29=AX$5,AY$6&gt;=$D$115),1,0),
IF(AND(AZ29=AX$5,AY$6&gt;=$D$115),1,0),
IF(AX29&amp;BA29=BB$5,1,0),
IF(AY29=AX$5,2,0),
IF(AZ29=AX$5,1,0),
IF(OR(AX29&amp;AY29&amp;AZ29=AX$5&amp;AY$5&amp;AZ$5,AX29&amp;AY29&amp;AZ29=AX$5&amp;AZ$5&amp;AY$5,AX29&amp;AY29&amp;AZ29=AY$5&amp;AX$5&amp;AZ$5,AX29&amp;AY29&amp;AZ29=AY$5&amp;AZ$5&amp;AX$5,AX29&amp;AY29&amp;AZ29=AZ$5&amp;AX$5&amp;AY$5,AX29&amp;AY29&amp;AZ29=AZ$5&amp;AY$5&amp;AX$5),2,0),IF(AND(AX29=AX$5,AY$6&gt;=$D$129),1,0),IF(AND(AY29=AX$5,AY$6&gt;=$D$129),1,0),IF(AND(AZ29=AX$5,AY$6&gt;=$D$129),1,0),IF(AX29&amp;BA29=BA$5,4,0),IF(AND(AX29=AX$5,AY$6&lt;=$D$104),-0.5,0),IF(AND(AY29=AX$5,AY$6&lt;=$D$104),-0.5,0),IF(AND(AZ29=AX$5,AY$6&lt;=$D$104),-0.5,0))</f>
        <v/>
      </c>
      <c r="BC29" s="416" t="n">
        <v>7</v>
      </c>
      <c r="BD29" s="417" t="n">
        <v>6</v>
      </c>
      <c r="BE29" s="417" t="n">
        <v>4</v>
      </c>
      <c r="BF29" s="417" t="n"/>
      <c r="BG29" s="602">
        <f>SUM(IF(BC29=BC$5,4,0),IF(BC29&amp;BD29=BC$5&amp;BD$5,1,0),
IF(AND(BC29=BC$5,BD$6&gt;=$D$115),1,0),
IF(AND(BD29=BC$5,BD$6&gt;=$D$115),1,0),
IF(AND(BE29=BC$5,BD$6&gt;=$D$115),1,0),
IF(BC29&amp;BF29=BG$5,1,0),
IF(BD29=BC$5,2,0),
IF(BE29=BC$5,1,0),
IF(OR(BC29&amp;BD29&amp;BE29=BC$5&amp;BD$5&amp;BE$5,BC29&amp;BD29&amp;BE29=BC$5&amp;BE$5&amp;BD$5,BC29&amp;BD29&amp;BE29=BD$5&amp;BC$5&amp;BE$5,BC29&amp;BD29&amp;BE29=BD$5&amp;BE$5&amp;BC$5,BC29&amp;BD29&amp;BE29=BE$5&amp;BC$5&amp;BD$5,BC29&amp;BD29&amp;BE29=BE$5&amp;BD$5&amp;BC$5),2,0),IF(AND(BC29=BC$5,BD$6&gt;=$D$129),1,0),IF(AND(BD29=BC$5,BD$6&gt;=$D$129),1,0),IF(AND(BE29=BC$5,BD$6&gt;=$D$129),1,0),IF(BC29&amp;BF29=BF$5,4,0),IF(AND(BC29=BC$5,BD$6&lt;=$D$104),-0.5,0),IF(AND(BD29=BC$5,BD$6&lt;=$D$104),-0.5,0),IF(AND(BE29=BC$5,BD$6&lt;=$D$104),-0.5,0))</f>
        <v/>
      </c>
      <c r="BH29" s="416" t="n">
        <v>1</v>
      </c>
      <c r="BI29" s="417" t="n">
        <v>6</v>
      </c>
      <c r="BJ29" s="417" t="n">
        <v>2</v>
      </c>
      <c r="BK29" s="417" t="inlineStr">
        <is>
          <t>F</t>
        </is>
      </c>
      <c r="BL29" s="602">
        <f>SUM(IF(BH29=BH$5,4,0),IF(BH29&amp;BI29=BH$5&amp;BI$5,1,0),
IF(AND(BH29=BH$5,BI$6&gt;=$D$115),1,0),
IF(AND(BI29=BH$5,BI$6&gt;=$D$115),1,0),
IF(AND(BJ29=BH$5,BI$6&gt;=$D$115),1,0),
IF(BH29&amp;BK29=BL$5,1,0),
IF(BI29=BH$5,2,0),
IF(BJ29=BH$5,1,0),
IF(OR(BH29&amp;BI29&amp;BJ29=BH$5&amp;BI$5&amp;BJ$5,BH29&amp;BI29&amp;BJ29=BH$5&amp;BJ$5&amp;BI$5,BH29&amp;BI29&amp;BJ29=BI$5&amp;BH$5&amp;BJ$5,BH29&amp;BI29&amp;BJ29=BI$5&amp;BJ$5&amp;BH$5,BH29&amp;BI29&amp;BJ29=BJ$5&amp;BH$5&amp;BI$5,BH29&amp;BI29&amp;BJ29=BJ$5&amp;BI$5&amp;BH$5),2,0),IF(AND(BH29=BH$5,BI$6&gt;=$D$129),1,0),IF(AND(BI29=BH$5,BI$6&gt;=$D$129),1,0),IF(AND(BJ29=BH$5,BI$6&gt;=$D$129),1,0),IF(BH29&amp;BK29=BK$5,4,0),IF(AND(BH29=BH$5,BI$6&lt;=$D$104),-0.5,0),IF(AND(BI29=BH$5,BI$6&lt;=$D$104),-0.5,0),IF(AND(BJ29=BH$5,BI$6&lt;=$D$104),-0.5,0))</f>
        <v/>
      </c>
      <c r="BM29" s="416" t="n">
        <v>9</v>
      </c>
      <c r="BN29" s="417" t="n">
        <v>4</v>
      </c>
      <c r="BO29" s="417" t="n">
        <v>1</v>
      </c>
      <c r="BP29" s="417" t="n"/>
      <c r="BQ29" s="602">
        <f>SUM(IF(BM29=BM$5,4,0),IF(BM29&amp;BN29=BM$5&amp;BN$5,1,0),
IF(AND(BM29=BM$5,BN$6&gt;=$D$115),1,0),
IF(AND(BN29=BM$5,BN$6&gt;=$D$115),1,0),
IF(AND(BO29=BM$5,BN$6&gt;=$D$115),1,0),
IF(BM29&amp;BP29=BQ$5,1,0),
IF(BN29=BM$5,2,0),
IF(BO29=BM$5,1,0),
IF(OR(BM29&amp;BN29&amp;BO29=BM$5&amp;BN$5&amp;BO$5,BM29&amp;BN29&amp;BO29=BM$5&amp;BO$5&amp;BN$5,BM29&amp;BN29&amp;BO29=BN$5&amp;BM$5&amp;BO$5,BM29&amp;BN29&amp;BO29=BN$5&amp;BO$5&amp;BM$5,BM29&amp;BN29&amp;BO29=BO$5&amp;BM$5&amp;BN$5,BM29&amp;BN29&amp;BO29=BO$5&amp;BN$5&amp;BM$5),2,0),IF(AND(BM29=BM$5,BN$6&gt;=$D$129),1,0),IF(AND(BN29=BM$5,BN$6&gt;=$D$129),1,0),IF(AND(BO29=BM$5,BN$6&gt;=$D$129),1,0),IF(BM29&amp;BP29=BP$5,4,0),IF(AND(BM29=BM$5,BN$6&lt;=$D$104),-0.5,0),IF(AND(BN29=BM$5,BN$6&lt;=$D$104),-0.5,0),IF(AND(BO29=BM$5,BN$6&lt;=$D$104),-0.5,0))</f>
        <v/>
      </c>
      <c r="BR29" s="416" t="n">
        <v>1</v>
      </c>
      <c r="BS29" s="417" t="n">
        <v>11</v>
      </c>
      <c r="BT29" s="417" t="n">
        <v>2</v>
      </c>
      <c r="BU29" s="417" t="n"/>
      <c r="BV29" s="602">
        <f>SUM(IF(BR29=BR$5,4,0),IF(BR29&amp;BS29=BR$5&amp;BS$5,1,0),
IF(AND(BR29=BR$5,BS$6&gt;=$D$115),1,0),
IF(AND(BS29=BR$5,BS$6&gt;=$D$115),1,0),
IF(AND(BT29=BR$5,BS$6&gt;=$D$115),1,0),
IF(BR29&amp;BU29=BV$5,1,0),
IF(BS29=BR$5,2,0),
IF(BT29=BR$5,1,0),
IF(OR(BR29&amp;BS29&amp;BT29=BR$5&amp;BS$5&amp;BT$5,BR29&amp;BS29&amp;BT29=BR$5&amp;BT$5&amp;BS$5,BR29&amp;BS29&amp;BT29=BS$5&amp;BR$5&amp;BT$5,BR29&amp;BS29&amp;BT29=BS$5&amp;BT$5&amp;BR$5,BR29&amp;BS29&amp;BT29=BT$5&amp;BR$5&amp;BS$5,BR29&amp;BS29&amp;BT29=BT$5&amp;BS$5&amp;BR$5),2,0),IF(AND(BR29=BR$5,BS$6&gt;=$D$129),1,0),IF(AND(BS29=BR$5,BS$6&gt;=$D$129),1,0),IF(AND(BT29=BR$5,BS$6&gt;=$D$129),1,0),IF(BR29&amp;BU29=BU$5,4,0),IF(AND(BR29=BR$5,BS$6&lt;=$D$104),-0.5,0),IF(AND(BS29=BR$5,BS$6&lt;=$D$104),-0.5,0),IF(AND(BT29=BR$5,BS$6&lt;=$D$104),-0.5,0))</f>
        <v/>
      </c>
      <c r="BW29" s="416" t="n"/>
      <c r="BX29" s="417" t="n"/>
      <c r="BY29" s="417" t="n"/>
      <c r="BZ29" s="417" t="n"/>
      <c r="CA29" s="602">
        <f>SUM(IF(BW29=BW$5,4,0),IF(BW29&amp;BX29=BW$5&amp;BX$5,1,0),
IF(AND(BW29=BW$5,BX$6&gt;=$D$115),1,0),
IF(AND(BX29=BW$5,BX$6&gt;=$D$115),1,0),
IF(AND(BY29=BW$5,BX$6&gt;=$D$115),1,0),
IF(BW29&amp;BZ29=CA$5,1,0),
IF(BX29=BW$5,2,0),
IF(BY29=BW$5,1,0),
IF(OR(BW29&amp;BX29&amp;BY29=BW$5&amp;BX$5&amp;BY$5,BW29&amp;BX29&amp;BY29=BW$5&amp;BY$5&amp;BX$5,BW29&amp;BX29&amp;BY29=BX$5&amp;BW$5&amp;BY$5,BW29&amp;BX29&amp;BY29=BX$5&amp;BY$5&amp;BW$5,BW29&amp;BX29&amp;BY29=BY$5&amp;BW$5&amp;BX$5,BW29&amp;BX29&amp;BY29=BY$5&amp;BX$5&amp;BW$5),2,0),IF(AND(BW29=BW$5,BX$6&gt;=$D$129),1,0),IF(AND(BX29=BW$5,BX$6&gt;=$D$129),1,0),IF(AND(BY29=BW$5,BX$6&gt;=$D$129),1,0),IF(BW29&amp;BZ29=BZ$5,4,0),IF(AND(BW29=BW$5,BX$6&lt;=$D$104),-0.5,0),IF(AND(BX29=BW$5,BX$6&lt;=$D$104),-0.5,0),IF(AND(BY29=BW$5,BX$6&lt;=$D$104),-0.5,0))</f>
        <v/>
      </c>
      <c r="CB29" s="416" t="n"/>
      <c r="CC29" s="417" t="n"/>
      <c r="CD29" s="417" t="n"/>
      <c r="CE29" s="417" t="n"/>
      <c r="CF29" s="602">
        <f>SUM(IF(CB29=CB$5,4,0),IF(CB29&amp;CC29=CB$5&amp;CC$5,1,0),
IF(AND(CB29=CB$5,CC$6&gt;=$D$115),1,0),
IF(AND(CC29=CB$5,CC$6&gt;=$D$115),1,0),
IF(AND(CD29=CB$5,CC$6&gt;=$D$115),1,0),
IF(CB29&amp;CE29=CF$5,1,0),
IF(CC29=CB$5,2,0),
IF(CD29=CB$5,1,0),
IF(OR(CB29&amp;CC29&amp;CD29=CB$5&amp;CC$5&amp;CD$5,CB29&amp;CC29&amp;CD29=CB$5&amp;CD$5&amp;CC$5,CB29&amp;CC29&amp;CD29=CC$5&amp;CB$5&amp;CD$5,CB29&amp;CC29&amp;CD29=CC$5&amp;CD$5&amp;CB$5,CB29&amp;CC29&amp;CD29=CD$5&amp;CB$5&amp;CC$5,CB29&amp;CC29&amp;CD29=CD$5&amp;CC$5&amp;CB$5),2,0),IF(AND(CB29=CB$5,CC$6&gt;=$D$129),1,0),IF(AND(CC29=CB$5,CC$6&gt;=$D$129),1,0),IF(AND(CD29=CB$5,CC$6&gt;=$D$129),1,0),IF(CB29&amp;CE29=CE$5,4,0),IF(AND(CB29=CB$5,CC$6&lt;=$D$104),-0.5,0),IF(AND(CC29=CB$5,CC$6&lt;=$D$104),-0.5,0),IF(AND(CD29=CB$5,CC$6&lt;=$D$104),-0.5,0))</f>
        <v/>
      </c>
      <c r="CG29" s="164">
        <f>IF(SEMANA2[[#This Row],[1]]="",0,$B$4)</f>
        <v/>
      </c>
      <c r="CH29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29" s="166">
        <f>IF(SEMANA2[[#This Row],[Columna14]]=0,0,(CH29/CG29))</f>
        <v/>
      </c>
      <c r="CJ29" s="165">
        <f>IF(SEMANA2[[#This Row],[1]]="",0,$B$4)</f>
        <v/>
      </c>
      <c r="CK29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29" s="166">
        <f>IF(SEMANA2[[#This Row],[Columna14]]=0,0,(CK29/CJ29))</f>
        <v/>
      </c>
      <c r="CM29" s="164">
        <f>IF(SEMANA2[[#This Row],[1]]="",0,$B$4)</f>
        <v/>
      </c>
      <c r="CN29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29" s="166">
        <f>IF(SEMANA2[[#This Row],[Columna14]]=0,0,(CN29/CM29))</f>
        <v/>
      </c>
      <c r="CP29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29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Row],[Columna25]],$AX$5,BA29,"SF")+COUNTIFS(SEMANA2[[#This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29" s="166">
        <f>IFERROR(IF(SEMANA2[[#This Row],[Columna14]]=0,0,(CQ29/CP29)),0)</f>
        <v/>
      </c>
      <c r="CS29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29" s="95">
        <f>_xlfn.XLOOKUP(SEMANA2[[#This Row],[COD]],BASE01[COD],BASE01[Columna33])</f>
        <v/>
      </c>
      <c r="CU29" s="604">
        <f>SUM(CS29,CT29)</f>
        <v/>
      </c>
      <c r="CV29" s="450">
        <f>IF(SEMANA2[[#This Row],[TIPO]]="PREMIO",$O$3,"0,00")</f>
        <v/>
      </c>
      <c r="CW29" s="576" t="n"/>
      <c r="CY29" s="392">
        <f>IF(CZ29="","",$CZ$25)</f>
        <v/>
      </c>
      <c r="CZ29" s="392" t="inlineStr">
        <is>
          <t>COD 13</t>
        </is>
      </c>
      <c r="DA29" s="392">
        <f t="array" ref="DA29">IF(CZ29="", "", IF((INDEX(E$8:CE$57, MATCH(CZ29, C$8:C$57, 0), ($CZ$25-1)*5 + 1) &amp; "") = (INDEX(E$5:CE$5, 1, ($CZ$25-1)*5 + 1) &amp; ""), 1, IF((INDEX(E$8:CE$57, MATCH(CZ29, C$8:C$57, 0), ($CZ$25-1)*5 + 2) &amp; "") = (INDEX(E$5:CE$5, 1, ($CZ$25-1)*5 + 1) &amp; ""), 2, IF((INDEX(E$8:CE$57, MATCH(CZ29, C$8:C$57, 0), ($CZ$25-1)*5 + 3) &amp; "") = (INDEX(E$5:CE$5, 1, ($CZ$25-1)*5 + 1) &amp; ""), 3, ""))))</f>
        <v/>
      </c>
      <c r="DB29" s="605">
        <f>SEMANA2[[#This Row],[COD]]</f>
        <v/>
      </c>
      <c r="DC29" s="395">
        <f t="array" ref="DC29">IFERROR(IF(AND(INDEX($E$8:$CE$57, MATCH($C29, $C$8:$C$57, 0), (COLUMNS($DC29:DC29)-1)*5 + 1) = INDEX($E$5:$CE$5, 1, (COLUMNS($DC29:DC29)-1)*5 + 1), INDEX($E$8:$CE$57, MATCH($C29, $C$8:$C$57, 0), (COLUMNS($DC29:DC29)-1)*5 + 4) = "F"), INDEX($CZ$8:$CZ$23, COLUMNS($DC29:DC29)), "0"), "")</f>
        <v/>
      </c>
      <c r="DD29" s="395">
        <f t="array" ref="DD29">IFERROR(IF(AND(INDEX($E$8:$CE$57, MATCH($C29, $C$8:$C$57, 0), (COLUMNS($DC29:DD29)-1)*5 + 1) = INDEX($E$5:$CE$5, 1, (COLUMNS($DC29:DD29)-1)*5 + 1), INDEX($E$8:$CE$57, MATCH($C29, $C$8:$C$57, 0), (COLUMNS($DC29:DD29)-1)*5 + 4) = "F"), INDEX($CZ$8:$CZ$23, COLUMNS($DC29:DD29)), "0"), "")</f>
        <v/>
      </c>
      <c r="DE29" s="395">
        <f t="array" ref="DE29">IFERROR(IF(AND(INDEX($E$8:$CE$57, MATCH($C29, $C$8:$C$57, 0), (COLUMNS($DC29:DE29)-1)*5 + 1) = INDEX($E$5:$CE$5, 1, (COLUMNS($DC29:DE29)-1)*5 + 1), INDEX($E$8:$CE$57, MATCH($C29, $C$8:$C$57, 0), (COLUMNS($DC29:DE29)-1)*5 + 4) = "F"), INDEX($CZ$8:$CZ$23, COLUMNS($DC29:DE29)), "0"), "")</f>
        <v/>
      </c>
      <c r="DF29" s="395">
        <f t="array" ref="DF29">IFERROR(IF(AND(INDEX($E$8:$CE$57, MATCH($C29, $C$8:$C$57, 0), (COLUMNS($DC29:DF29)-1)*5 + 1) = INDEX($E$5:$CE$5, 1, (COLUMNS($DC29:DF29)-1)*5 + 1), INDEX($E$8:$CE$57, MATCH($C29, $C$8:$C$57, 0), (COLUMNS($DC29:DF29)-1)*5 + 4) = "F"), INDEX($CZ$8:$CZ$23, COLUMNS($DC29:DF29)), "0"), "")</f>
        <v/>
      </c>
      <c r="DG29" s="395">
        <f t="array" ref="DG29">IFERROR(IF(AND(INDEX($E$8:$CE$57, MATCH($C29, $C$8:$C$57, 0), (COLUMNS($DC29:DG29)-1)*5 + 1) = INDEX($E$5:$CE$5, 1, (COLUMNS($DC29:DG29)-1)*5 + 1), INDEX($E$8:$CE$57, MATCH($C29, $C$8:$C$57, 0), (COLUMNS($DC29:DG29)-1)*5 + 4) = "F"), INDEX($CZ$8:$CZ$23, COLUMNS($DC29:DG29)), "0"), "")</f>
        <v/>
      </c>
      <c r="DH29" s="395">
        <f t="array" ref="DH29">IFERROR(IF(AND(INDEX($E$8:$CE$57, MATCH($C29, $C$8:$C$57, 0), (COLUMNS($DC29:DH29)-1)*5 + 1) = INDEX($E$5:$CE$5, 1, (COLUMNS($DC29:DH29)-1)*5 + 1), INDEX($E$8:$CE$57, MATCH($C29, $C$8:$C$57, 0), (COLUMNS($DC29:DH29)-1)*5 + 4) = "F"), INDEX($CZ$8:$CZ$23, COLUMNS($DC29:DH29)), "0"), "")</f>
        <v/>
      </c>
      <c r="DI29" s="395">
        <f t="array" ref="DI29">IFERROR(IF(AND(INDEX($E$8:$CE$57, MATCH($C29, $C$8:$C$57, 0), (COLUMNS($DC29:DI29)-1)*5 + 1) = INDEX($E$5:$CE$5, 1, (COLUMNS($DC29:DI29)-1)*5 + 1), INDEX($E$8:$CE$57, MATCH($C29, $C$8:$C$57, 0), (COLUMNS($DC29:DI29)-1)*5 + 4) = "F"), INDEX($CZ$8:$CZ$23, COLUMNS($DC29:DI29)), "0"), "")</f>
        <v/>
      </c>
      <c r="DJ29" s="395">
        <f t="array" ref="DJ29">IFERROR(IF(AND(INDEX($E$8:$CE$57, MATCH($C29, $C$8:$C$57, 0), (COLUMNS($DC29:DJ29)-1)*5 + 1) = INDEX($E$5:$CE$5, 1, (COLUMNS($DC29:DJ29)-1)*5 + 1), INDEX($E$8:$CE$57, MATCH($C29, $C$8:$C$57, 0), (COLUMNS($DC29:DJ29)-1)*5 + 4) = "F"), INDEX($CZ$8:$CZ$23, COLUMNS($DC29:DJ29)), "0"), "")</f>
        <v/>
      </c>
      <c r="DK29" s="395">
        <f t="array" ref="DK29">IFERROR(IF(AND(INDEX($E$8:$CE$57, MATCH($C29, $C$8:$C$57, 0), (COLUMNS($DC29:DK29)-1)*5 + 1) = INDEX($E$5:$CE$5, 1, (COLUMNS($DC29:DK29)-1)*5 + 1), INDEX($E$8:$CE$57, MATCH($C29, $C$8:$C$57, 0), (COLUMNS($DC29:DK29)-1)*5 + 4) = "F"), INDEX($CZ$8:$CZ$23, COLUMNS($DC29:DK29)), "0"), "")</f>
        <v/>
      </c>
      <c r="DL29" s="395">
        <f t="array" ref="DL29">IFERROR(IF(AND(INDEX($E$8:$CE$57, MATCH($C29, $C$8:$C$57, 0), (COLUMNS($DC29:DL29)-1)*5 + 1) = INDEX($E$5:$CE$5, 1, (COLUMNS($DC29:DL29)-1)*5 + 1), INDEX($E$8:$CE$57, MATCH($C29, $C$8:$C$57, 0), (COLUMNS($DC29:DL29)-1)*5 + 4) = "F"), INDEX($CZ$8:$CZ$23, COLUMNS($DC29:DL29)), "0"), "")</f>
        <v/>
      </c>
      <c r="DM29" s="395">
        <f t="array" ref="DM29">IFERROR(IF(AND(INDEX($E$8:$CE$57, MATCH($C29, $C$8:$C$57, 0), (COLUMNS($DC29:DM29)-1)*5 + 1) = INDEX($E$5:$CE$5, 1, (COLUMNS($DC29:DM29)-1)*5 + 1), INDEX($E$8:$CE$57, MATCH($C29, $C$8:$C$57, 0), (COLUMNS($DC29:DM29)-1)*5 + 4) = "F"), INDEX($CZ$8:$CZ$23, COLUMNS($DC29:DM29)), "0"), "")</f>
        <v/>
      </c>
      <c r="DN29" s="395">
        <f t="array" ref="DN29">IFERROR(IF(AND(INDEX($E$8:$CE$57, MATCH($C29, $C$8:$C$57, 0), (COLUMNS($DC29:DN29)-1)*5 + 1) = INDEX($E$5:$CE$5, 1, (COLUMNS($DC29:DN29)-1)*5 + 1), INDEX($E$8:$CE$57, MATCH($C29, $C$8:$C$57, 0), (COLUMNS($DC29:DN29)-1)*5 + 4) = "F"), INDEX($CZ$8:$CZ$23, COLUMNS($DC29:DN29)), "0"), "")</f>
        <v/>
      </c>
      <c r="DO29" s="395">
        <f t="array" ref="DO29">IFERROR(IF(AND(INDEX($E$8:$CE$57, MATCH($C29, $C$8:$C$57, 0), (COLUMNS($DC29:DO29)-1)*5 + 1) = INDEX($E$5:$CE$5, 1, (COLUMNS($DC29:DO29)-1)*5 + 1), INDEX($E$8:$CE$57, MATCH($C29, $C$8:$C$57, 0), (COLUMNS($DC29:DO29)-1)*5 + 4) = "F"), INDEX($CZ$8:$CZ$23, COLUMNS($DC29:DO29)), "0"), "")</f>
        <v/>
      </c>
      <c r="DP29" s="395">
        <f t="array" ref="DP29">IFERROR(IF(AND(INDEX($E$8:$CE$57, MATCH($C29, $C$8:$C$57, 0), (COLUMNS($DC29:DP29)-1)*5 + 1) = INDEX($E$5:$CE$5, 1, (COLUMNS($DC29:DP29)-1)*5 + 1), INDEX($E$8:$CE$57, MATCH($C29, $C$8:$C$57, 0), (COLUMNS($DC29:DP29)-1)*5 + 4) = "F"), INDEX($CZ$8:$CZ$23, COLUMNS($DC29:DP29)), "0"), "")</f>
        <v/>
      </c>
      <c r="DQ29" s="395">
        <f t="array" ref="DQ29">IFERROR(IF(AND(INDEX($E$8:$CE$57, MATCH($C29, $C$8:$C$57, 0), (COLUMNS($DC29:DQ29)-1)*5 + 1) = INDEX($E$5:$CE$5, 1, (COLUMNS($DC29:DQ29)-1)*5 + 1), INDEX($E$8:$CE$57, MATCH($C29, $C$8:$C$57, 0), (COLUMNS($DC29:DQ29)-1)*5 + 4) = "F"), INDEX($CZ$8:$CZ$23, COLUMNS($DC29:DQ29)), "0"), "")</f>
        <v/>
      </c>
      <c r="DR29" s="395">
        <f t="array" ref="DR29">IFERROR(IF(AND(INDEX($E$8:$CE$57, MATCH($C29, $C$8:$C$57, 0), (COLUMNS($DC29:DR29)-1)*5 + 1) = INDEX($E$5:$CE$5, 1, (COLUMNS($DC29:DR29)-1)*5 + 1), INDEX($E$8:$CE$57, MATCH($C29, $C$8:$C$57, 0), (COLUMNS($DC29:DR29)-1)*5 + 4) = "F"), INDEX($CZ$8:$CZ$23, COLUMNS($DC29:DR29)), "0"), "")</f>
        <v/>
      </c>
      <c r="DT29" s="605">
        <f>SEMANA2[[#This Row],[COD]]</f>
        <v/>
      </c>
      <c r="DU29" s="395">
        <f t="array" ref="DU29">IFERROR(IF(AND(INDEX($E$8:$CE$57, MATCH($C29, $C$8:$C$57, 0), (COLUMNS($DU29:DU29)-1)*5 + 1) = INDEX($E$5:$CE$5, 1, (COLUMNS($DU29:DU29)-1)*5 + 1), INDEX($E$8:$CE$57, MATCH($C29, $C$8:$C$57, 0), (COLUMNS($DU29:DU29)-1)*5 + 4) = "SF"), INDEX($CZ$8:$CZ$23, COLUMNS($DU29:DU29)), "0"), "")</f>
        <v/>
      </c>
      <c r="DV29" s="395">
        <f t="array" ref="DV29">IFERROR(IF(AND(INDEX($E$8:$CE$57, MATCH($C29, $C$8:$C$57, 0), (COLUMNS($DU29:DV29)-1)*5 + 1) = INDEX($E$5:$CE$5, 1, (COLUMNS($DU29:DV29)-1)*5 + 1), INDEX($E$8:$CE$57, MATCH($C29, $C$8:$C$57, 0), (COLUMNS($DU29:DV29)-1)*5 + 4) = "SF"), INDEX($CZ$8:$CZ$23, COLUMNS($DU29:DV29)), "0"), "")</f>
        <v/>
      </c>
      <c r="DW29" s="395">
        <f t="array" ref="DW29">IFERROR(IF(AND(INDEX($E$8:$CE$57, MATCH($C29, $C$8:$C$57, 0), (COLUMNS($DU29:DW29)-1)*5 + 1) = INDEX($E$5:$CE$5, 1, (COLUMNS($DU29:DW29)-1)*5 + 1), INDEX($E$8:$CE$57, MATCH($C29, $C$8:$C$57, 0), (COLUMNS($DU29:DW29)-1)*5 + 4) = "SF"), INDEX($CZ$8:$CZ$23, COLUMNS($DU29:DW29)), "0"), "")</f>
        <v/>
      </c>
      <c r="DX29" s="395">
        <f t="array" ref="DX29">IFERROR(IF(AND(INDEX($E$8:$CE$57, MATCH($C29, $C$8:$C$57, 0), (COLUMNS($DU29:DX29)-1)*5 + 1) = INDEX($E$5:$CE$5, 1, (COLUMNS($DU29:DX29)-1)*5 + 1), INDEX($E$8:$CE$57, MATCH($C29, $C$8:$C$57, 0), (COLUMNS($DU29:DX29)-1)*5 + 4) = "SF"), INDEX($CZ$8:$CZ$23, COLUMNS($DU29:DX29)), "0"), "")</f>
        <v/>
      </c>
      <c r="DY29" s="395">
        <f t="array" ref="DY29">IFERROR(IF(AND(INDEX($E$8:$CE$57, MATCH($C29, $C$8:$C$57, 0), (COLUMNS($DU29:DY29)-1)*5 + 1) = INDEX($E$5:$CE$5, 1, (COLUMNS($DU29:DY29)-1)*5 + 1), INDEX($E$8:$CE$57, MATCH($C29, $C$8:$C$57, 0), (COLUMNS($DU29:DY29)-1)*5 + 4) = "SF"), INDEX($CZ$8:$CZ$23, COLUMNS($DU29:DY29)), "0"), "")</f>
        <v/>
      </c>
      <c r="DZ29" s="395">
        <f t="array" ref="DZ29">IFERROR(IF(AND(INDEX($E$8:$CE$57, MATCH($C29, $C$8:$C$57, 0), (COLUMNS($DU29:DZ29)-1)*5 + 1) = INDEX($E$5:$CE$5, 1, (COLUMNS($DU29:DZ29)-1)*5 + 1), INDEX($E$8:$CE$57, MATCH($C29, $C$8:$C$57, 0), (COLUMNS($DU29:DZ29)-1)*5 + 4) = "SF"), INDEX($CZ$8:$CZ$23, COLUMNS($DU29:DZ29)), "0"), "")</f>
        <v/>
      </c>
      <c r="EA29" s="395">
        <f t="array" ref="EA29">IFERROR(IF(AND(INDEX($E$8:$CE$57, MATCH($C29, $C$8:$C$57, 0), (COLUMNS($DU29:EA29)-1)*5 + 1) = INDEX($E$5:$CE$5, 1, (COLUMNS($DU29:EA29)-1)*5 + 1), INDEX($E$8:$CE$57, MATCH($C29, $C$8:$C$57, 0), (COLUMNS($DU29:EA29)-1)*5 + 4) = "SF"), INDEX($CZ$8:$CZ$23, COLUMNS($DU29:EA29)), "0"), "")</f>
        <v/>
      </c>
      <c r="EB29" s="395">
        <f t="array" ref="EB29">IFERROR(IF(AND(INDEX($E$8:$CE$57, MATCH($C29, $C$8:$C$57, 0), (COLUMNS($DU29:EB29)-1)*5 + 1) = INDEX($E$5:$CE$5, 1, (COLUMNS($DU29:EB29)-1)*5 + 1), INDEX($E$8:$CE$57, MATCH($C29, $C$8:$C$57, 0), (COLUMNS($DU29:EB29)-1)*5 + 4) = "SF"), INDEX($CZ$8:$CZ$23, COLUMNS($DU29:EB29)), "0"), "")</f>
        <v/>
      </c>
      <c r="EC29" s="395">
        <f t="array" ref="EC29">IFERROR(IF(AND(INDEX($E$8:$CE$57, MATCH($C29, $C$8:$C$57, 0), (COLUMNS($DU29:EC29)-1)*5 + 1) = INDEX($E$5:$CE$5, 1, (COLUMNS($DU29:EC29)-1)*5 + 1), INDEX($E$8:$CE$57, MATCH($C29, $C$8:$C$57, 0), (COLUMNS($DU29:EC29)-1)*5 + 4) = "SF"), INDEX($CZ$8:$CZ$23, COLUMNS($DU29:EC29)), "0"), "")</f>
        <v/>
      </c>
      <c r="ED29" s="395">
        <f t="array" ref="ED29">IFERROR(IF(AND(INDEX($E$8:$CE$57, MATCH($C29, $C$8:$C$57, 0), (COLUMNS($DU29:ED29)-1)*5 + 1) = INDEX($E$5:$CE$5, 1, (COLUMNS($DU29:ED29)-1)*5 + 1), INDEX($E$8:$CE$57, MATCH($C29, $C$8:$C$57, 0), (COLUMNS($DU29:ED29)-1)*5 + 4) = "SF"), INDEX($CZ$8:$CZ$23, COLUMNS($DU29:ED29)), "0"), "")</f>
        <v/>
      </c>
      <c r="EE29" s="395">
        <f t="array" ref="EE29">IFERROR(IF(AND(INDEX($E$8:$CE$57, MATCH($C29, $C$8:$C$57, 0), (COLUMNS($DU29:EE29)-1)*5 + 1) = INDEX($E$5:$CE$5, 1, (COLUMNS($DU29:EE29)-1)*5 + 1), INDEX($E$8:$CE$57, MATCH($C29, $C$8:$C$57, 0), (COLUMNS($DU29:EE29)-1)*5 + 4) = "SF"), INDEX($CZ$8:$CZ$23, COLUMNS($DU29:EE29)), "0"), "")</f>
        <v/>
      </c>
      <c r="EF29" s="395">
        <f t="array" ref="EF29">IFERROR(IF(AND(INDEX($E$8:$CE$57, MATCH($C29, $C$8:$C$57, 0), (COLUMNS($DU29:EF29)-1)*5 + 1) = INDEX($E$5:$CE$5, 1, (COLUMNS($DU29:EF29)-1)*5 + 1), INDEX($E$8:$CE$57, MATCH($C29, $C$8:$C$57, 0), (COLUMNS($DU29:EF29)-1)*5 + 4) = "SF"), INDEX($CZ$8:$CZ$23, COLUMNS($DU29:EF29)), "0"), "")</f>
        <v/>
      </c>
      <c r="EG29" s="395">
        <f t="array" ref="EG29">IFERROR(IF(AND(INDEX($E$8:$CE$57, MATCH($C29, $C$8:$C$57, 0), (COLUMNS($DU29:EG29)-1)*5 + 1) = INDEX($E$5:$CE$5, 1, (COLUMNS($DU29:EG29)-1)*5 + 1), INDEX($E$8:$CE$57, MATCH($C29, $C$8:$C$57, 0), (COLUMNS($DU29:EG29)-1)*5 + 4) = "SF"), INDEX($CZ$8:$CZ$23, COLUMNS($DU29:EG29)), "0"), "")</f>
        <v/>
      </c>
      <c r="EH29" s="395">
        <f t="array" ref="EH29">IFERROR(IF(AND(INDEX($E$8:$CE$57, MATCH($C29, $C$8:$C$57, 0), (COLUMNS($DU29:EH29)-1)*5 + 1) = INDEX($E$5:$CE$5, 1, (COLUMNS($DU29:EH29)-1)*5 + 1), INDEX($E$8:$CE$57, MATCH($C29, $C$8:$C$57, 0), (COLUMNS($DU29:EH29)-1)*5 + 4) = "SF"), INDEX($CZ$8:$CZ$23, COLUMNS($DU29:EH29)), "0"), "")</f>
        <v/>
      </c>
      <c r="EI29" s="395">
        <f t="array" ref="EI29">IFERROR(IF(AND(INDEX($E$8:$CE$57, MATCH($C29, $C$8:$C$57, 0), (COLUMNS($DU29:EI29)-1)*5 + 1) = INDEX($E$5:$CE$5, 1, (COLUMNS($DU29:EI29)-1)*5 + 1), INDEX($E$8:$CE$57, MATCH($C29, $C$8:$C$57, 0), (COLUMNS($DU29:EI29)-1)*5 + 4) = "SF"), INDEX($CZ$8:$CZ$23, COLUMNS($DU29:EI29)), "0"), "")</f>
        <v/>
      </c>
      <c r="EJ29" s="395">
        <f t="array" ref="EJ29">IFERROR(IF(AND(INDEX($E$8:$CE$57, MATCH($C29, $C$8:$C$57, 0), (COLUMNS($DU29:EJ29)-1)*5 + 1) = INDEX($E$5:$CE$5, 1, (COLUMNS($DU29:EJ29)-1)*5 + 1), INDEX($E$8:$CE$57, MATCH($C29, $C$8:$C$57, 0), (COLUMNS($DU29:EJ29)-1)*5 + 4) = "SF"), INDEX($CZ$8:$CZ$23, COLUMNS($DU29:EJ29)), "0"), "")</f>
        <v/>
      </c>
    </row>
    <row r="30" ht="19.5" customHeight="1" s="568">
      <c r="A30" s="576" t="n"/>
      <c r="B30" s="449">
        <f>IF(SEMANA2[[#This Row],[COD]]&lt;&gt;"",B29+1,"")</f>
        <v/>
      </c>
      <c r="C30" s="622" t="inlineStr">
        <is>
          <t>COD 23</t>
        </is>
      </c>
      <c r="D30" s="415">
        <f t="array" ref="D30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0" s="416" t="n">
        <v>3</v>
      </c>
      <c r="F30" s="418" t="n">
        <v>2</v>
      </c>
      <c r="G30" s="418" t="n">
        <v>4</v>
      </c>
      <c r="H30" s="418" t="n"/>
      <c r="I30" s="602">
        <f>SUM(IF(E30=E$5,4,0),IF(E30&amp;F30=E$5&amp;F$5,1,0),
IF(AND(E30=E$5,F$6&gt;=$D$115),1,0),
IF(AND(F30=E$5,F$6&gt;=$D$115),1,0),
IF(AND(G30=E$5,F$6&gt;=$D$115),1,0),
IF(E30&amp;H30=I$5,1,0),
IF(F30=E$5,2,0),
IF(G30=E$5,1,0),
IF(OR(E30&amp;F30&amp;G30=E$5&amp;F$5&amp;G$5,E30&amp;F30&amp;G30=E$5&amp;G$5&amp;F$5,E30&amp;F30&amp;G30=F$5&amp;E$5&amp;G$5,E30&amp;F30&amp;G30=F$5&amp;G$5&amp;E$5,E30&amp;F30&amp;G30=G$5&amp;E$5&amp;F$5,E30&amp;F30&amp;G30=G$5&amp;F$5&amp;E$5),2,0),IF(AND(E30=E$5,F$6&gt;=$D$129),1,0),IF(AND(F30=E$5,F$6&gt;=$D$129),1,0),IF(AND(G30=E$5,F$6&gt;=$D$129),1,0),IF(E30&amp;H30=H$5,4,0),IF(AND(E30=E$5,F$6&lt;=$D$104),-0.5,0),IF(AND(F30=E$5,F$6&lt;=$D$104),-0.5,0),IF(AND(G30=E$5,F$6&lt;=$D$104),-0.5,0))</f>
        <v/>
      </c>
      <c r="J30" s="416" t="n">
        <v>2</v>
      </c>
      <c r="K30" s="418" t="n">
        <v>10</v>
      </c>
      <c r="L30" s="418" t="n">
        <v>7</v>
      </c>
      <c r="M30" s="418" t="n"/>
      <c r="N30" s="602">
        <f>SUM(IF(J30=J$5,4,0),IF(J30&amp;K30=J$5&amp;K$5,1,0),
IF(AND(J30=J$5,K$6&gt;=$D$115),1,0),
IF(AND(K30=J$5,K$6&gt;=$D$115),1,0),
IF(AND(L30=J$5,K$6&gt;=$D$115),1,0),
IF(J30&amp;M30=N$5,1,0),
IF(K30=J$5,2,0),
IF(L30=J$5,1,0),
IF(OR(J30&amp;K30&amp;L30=J$5&amp;K$5&amp;L$5,J30&amp;K30&amp;L30=J$5&amp;L$5&amp;K$5,J30&amp;K30&amp;L30=K$5&amp;J$5&amp;L$5,J30&amp;K30&amp;L30=K$5&amp;L$5&amp;J$5,J30&amp;K30&amp;L30=L$5&amp;J$5&amp;K$5,J30&amp;K30&amp;L30=L$5&amp;K$5&amp;J$5),2,0),IF(AND(J30=J$5,K$6&gt;=$D$129),1,0),IF(AND(K30=J$5,K$6&gt;=$D$129),1,0),IF(AND(L30=J$5,K$6&gt;=$D$129),1,0),IF(J30&amp;M30=M$5,4,0),IF(AND(J30=J$5,K$6&lt;=$D$104),-0.5,0),IF(AND(K30=J$5,K$6&lt;=$D$104),-0.5,0),IF(AND(L30=J$5,K$6&lt;=$D$104),-0.5,0))</f>
        <v/>
      </c>
      <c r="O30" s="416" t="n">
        <v>5</v>
      </c>
      <c r="P30" s="418" t="n">
        <v>3</v>
      </c>
      <c r="Q30" s="418" t="n">
        <v>1</v>
      </c>
      <c r="R30" s="418" t="inlineStr">
        <is>
          <t>F</t>
        </is>
      </c>
      <c r="S30" s="602">
        <f>SUM(IF(O30=O$5,4,0),IF(O30&amp;P30=O$5&amp;P$5,1,0),
IF(AND(O30=O$5,P$6&gt;=$D$115),1,0),
IF(AND(P30=O$5,P$6&gt;=$D$115),1,0),
IF(AND(Q30=O$5,P$6&gt;=$D$115),1,0),
IF(O30&amp;R30=S$5,1,0),
IF(P30=O$5,2,0),
IF(Q30=O$5,1,0),
IF(OR(O30&amp;P30&amp;Q30=O$5&amp;P$5&amp;Q$5,O30&amp;P30&amp;Q30=O$5&amp;Q$5&amp;P$5,O30&amp;P30&amp;Q30=P$5&amp;O$5&amp;Q$5,O30&amp;P30&amp;Q30=P$5&amp;Q$5&amp;O$5,O30&amp;P30&amp;Q30=Q$5&amp;O$5&amp;P$5,O30&amp;P30&amp;Q30=Q$5&amp;P$5&amp;O$5),2,0),IF(AND(O30=O$5,P$6&gt;=$D$129),1,0),IF(AND(P30=O$5,P$6&gt;=$D$129),1,0),IF(AND(Q30=O$5,P$6&gt;=$D$129),1,0),IF(O30&amp;R30=R$5,4,0),IF(AND(O30=O$5,P$6&lt;=$D$104),-0.5,0),IF(AND(P30=O$5,P$6&lt;=$D$104),-0.5,0),IF(AND(Q30=O$5,P$6&lt;=$D$104),-0.5,0))</f>
        <v/>
      </c>
      <c r="T30" s="416" t="n">
        <v>5</v>
      </c>
      <c r="U30" s="418" t="n">
        <v>3</v>
      </c>
      <c r="V30" s="418" t="n">
        <v>4</v>
      </c>
      <c r="W30" s="418" t="n"/>
      <c r="X30" s="602">
        <f>SUM(IF(T30=T$5,4,0),IF(T30&amp;U30=T$5&amp;U$5,1,0),
IF(AND(T30=T$5,U$6&gt;=$D$115),1,0),
IF(AND(U30=T$5,U$6&gt;=$D$115),1,0),
IF(AND(V30=T$5,U$6&gt;=$D$115),1,0),
IF(T30&amp;W30=X$5,1,0),
IF(U30=T$5,2,0),
IF(V30=T$5,1,0),
IF(OR(T30&amp;U30&amp;V30=T$5&amp;U$5&amp;V$5,T30&amp;U30&amp;V30=T$5&amp;V$5&amp;U$5,T30&amp;U30&amp;V30=U$5&amp;T$5&amp;V$5,T30&amp;U30&amp;V30=U$5&amp;V$5&amp;T$5,T30&amp;U30&amp;V30=V$5&amp;T$5&amp;U$5,T30&amp;U30&amp;V30=V$5&amp;U$5&amp;T$5),2,0),IF(AND(T30=T$5,U$6&gt;=$D$129),1,0),IF(AND(U30=T$5,U$6&gt;=$D$129),1,0),IF(AND(V30=T$5,U$6&gt;=$D$129),1,0),IF(T30&amp;W30=W$5,4,0),IF(AND(T30=T$5,U$6&lt;=$D$104),-0.5,0),IF(AND(U30=T$5,U$6&lt;=$D$104),-0.5,0),IF(AND(V30=T$5,U$6&lt;=$D$104),-0.5,0))</f>
        <v/>
      </c>
      <c r="Y30" s="416" t="n">
        <v>2</v>
      </c>
      <c r="Z30" s="418" t="n">
        <v>4</v>
      </c>
      <c r="AA30" s="418" t="n">
        <v>7</v>
      </c>
      <c r="AB30" s="418" t="n"/>
      <c r="AC30" s="602">
        <f>SUM(IF(Y30=Y$5,4,0),IF(Y30&amp;Z30=Y$5&amp;Z$5,1,0),
IF(AND(Y30=Y$5,Z$6&gt;=$D$115),1,0),
IF(AND(Z30=Y$5,Z$6&gt;=$D$115),1,0),
IF(AND(AA30=Y$5,Z$6&gt;=$D$115),1,0),
IF(Y30&amp;AB30=AC$5,1,0),
IF(Z30=Y$5,2,0),
IF(AA30=Y$5,1,0),
IF(OR(Y30&amp;Z30&amp;AA30=Y$5&amp;Z$5&amp;AA$5,Y30&amp;Z30&amp;AA30=Y$5&amp;AA$5&amp;Z$5,Y30&amp;Z30&amp;AA30=Z$5&amp;Y$5&amp;AA$5,Y30&amp;Z30&amp;AA30=Z$5&amp;AA$5&amp;Y$5,Y30&amp;Z30&amp;AA30=AA$5&amp;Y$5&amp;Z$5,Y30&amp;Z30&amp;AA30=AA$5&amp;Z$5&amp;Y$5),2,0),IF(AND(Y30=Y$5,Z$6&gt;=$D$129),1,0),IF(AND(Z30=Y$5,Z$6&gt;=$D$129),1,0),IF(AND(AA30=Y$5,Z$6&gt;=$D$129),1,0),IF(Y30&amp;AB30=AB$5,4,0),IF(AND(Y30=Y$5,Z$6&lt;=$D$104),-0.5,0),IF(AND(Z30=Y$5,Z$6&lt;=$D$104),-0.5,0),IF(AND(AA30=Y$5,Z$6&lt;=$D$104),-0.5,0))</f>
        <v/>
      </c>
      <c r="AD30" s="416" t="n">
        <v>3</v>
      </c>
      <c r="AE30" s="418" t="n">
        <v>10</v>
      </c>
      <c r="AF30" s="418" t="n">
        <v>5</v>
      </c>
      <c r="AG30" s="418" t="n"/>
      <c r="AH30" s="602">
        <f>SUM(IF(AD30=AD$5,4,0),IF(AD30&amp;AE30=AD$5&amp;AE$5,1,0),
IF(AND(AD30=AD$5,AE$6&gt;=$D$115),1,0),
IF(AND(AE30=AD$5,AE$6&gt;=$D$115),1,0),
IF(AND(AF30=AD$5,AE$6&gt;=$D$115),1,0),
IF(AD30&amp;AG30=AH$5,1,0),
IF(AE30=AD$5,2,0),
IF(AF30=AD$5,1,0),
IF(OR(AD30&amp;AE30&amp;AF30=AD$5&amp;AE$5&amp;AF$5,AD30&amp;AE30&amp;AF30=AD$5&amp;AF$5&amp;AE$5,AD30&amp;AE30&amp;AF30=AE$5&amp;AD$5&amp;AF$5,AD30&amp;AE30&amp;AF30=AE$5&amp;AF$5&amp;AD$5,AD30&amp;AE30&amp;AF30=AF$5&amp;AD$5&amp;AE$5,AD30&amp;AE30&amp;AF30=AF$5&amp;AE$5&amp;AD$5),2,0),IF(AND(AD30=AD$5,AE$6&gt;=$D$129),1,0),IF(AND(AE30=AD$5,AE$6&gt;=$D$129),1,0),IF(AND(AF30=AD$5,AE$6&gt;=$D$129),1,0),IF(AD30&amp;AG30=AG$5,4,0),IF(AND(AD30=AD$5,AE$6&lt;=$D$104),-0.5,0),IF(AND(AE30=AD$5,AE$6&lt;=$D$104),-0.5,0),IF(AND(AF30=AD$5,AE$6&lt;=$D$104),-0.5,0))</f>
        <v/>
      </c>
      <c r="AI30" s="416" t="n">
        <v>6</v>
      </c>
      <c r="AJ30" s="418" t="n">
        <v>7</v>
      </c>
      <c r="AK30" s="418" t="n">
        <v>1</v>
      </c>
      <c r="AL30" s="418" t="n"/>
      <c r="AM30" s="602">
        <f>SUM(IF(AI30=AI$5,4,0),IF(AI30&amp;AJ30=AI$5&amp;AJ$5,1,0),
IF(AND(AI30=AI$5,AJ$6&gt;=$D$115),1,0),
IF(AND(AJ30=AI$5,AJ$6&gt;=$D$115),1,0),
IF(AND(AK30=AI$5,AJ$6&gt;=$D$115),1,0),
IF(AI30&amp;AL30=AM$5,1,0),
IF(AJ30=AI$5,2,0),
IF(AK30=AI$5,1,0),
IF(OR(AI30&amp;AJ30&amp;AK30=AI$5&amp;AJ$5&amp;AK$5,AI30&amp;AJ30&amp;AK30=AI$5&amp;AK$5&amp;AJ$5,AI30&amp;AJ30&amp;AK30=AJ$5&amp;AI$5&amp;AK$5,AI30&amp;AJ30&amp;AK30=AJ$5&amp;AK$5&amp;AI$5,AI30&amp;AJ30&amp;AK30=AK$5&amp;AI$5&amp;AJ$5,AI30&amp;AJ30&amp;AK30=AK$5&amp;AJ$5&amp;AI$5),2,0),IF(AND(AI30=AI$5,AJ$6&gt;=$D$129),1,0),IF(AND(AJ30=AI$5,AJ$6&gt;=$D$129),1,0),IF(AND(AK30=AI$5,AJ$6&gt;=$D$129),1,0),IF(AI30&amp;AL30=AL$5,4,0),IF(AND(AI30=AI$5,AJ$6&lt;=$D$104),-0.5,0),IF(AND(AJ30=AI$5,AJ$6&lt;=$D$104),-0.5,0),IF(AND(AK30=AI$5,AJ$6&lt;=$D$104),-0.5,0))</f>
        <v/>
      </c>
      <c r="AN30" s="416" t="n">
        <v>8</v>
      </c>
      <c r="AO30" s="418" t="n"/>
      <c r="AP30" s="418" t="n"/>
      <c r="AQ30" s="418" t="inlineStr">
        <is>
          <t>SF</t>
        </is>
      </c>
      <c r="AR30" s="602">
        <f>SUM(IF(AN30=AN$5,4,0),IF(AN30&amp;AO30=AN$5&amp;AO$5,1,0),
IF(AND(AN30=AN$5,AO$6&gt;=$D$115),1,0),
IF(AND(AO30=AN$5,AO$6&gt;=$D$115),1,0),
IF(AND(AP30=AN$5,AO$6&gt;=$D$115),1,0),
IF(AN30&amp;AQ30=AR$5,1,0),
IF(AO30=AN$5,2,0),
IF(AP30=AN$5,1,0),
IF(OR(AN30&amp;AO30&amp;AP30=AN$5&amp;AO$5&amp;AP$5,AN30&amp;AO30&amp;AP30=AN$5&amp;AP$5&amp;AO$5,AN30&amp;AO30&amp;AP30=AO$5&amp;AN$5&amp;AP$5,AN30&amp;AO30&amp;AP30=AO$5&amp;AP$5&amp;AN$5,AN30&amp;AO30&amp;AP30=AP$5&amp;AN$5&amp;AO$5,AN30&amp;AO30&amp;AP30=AP$5&amp;AO$5&amp;AN$5),2,0),IF(AND(AN30=AN$5,AO$6&gt;=$D$129),1,0),IF(AND(AO30=AN$5,AO$6&gt;=$D$129),1,0),IF(AND(AP30=AN$5,AO$6&gt;=$D$129),1,0),IF(AN30&amp;AQ30=AQ$5,4,0),IF(AND(AN30=AN$5,AO$6&lt;=$D$104),-0.5,0),IF(AND(AO30=AN$5,AO$6&lt;=$D$104),-0.5,0),IF(AND(AP30=AN$5,AO$6&lt;=$D$104),-0.5,0))</f>
        <v/>
      </c>
      <c r="AS30" s="416" t="n">
        <v>7</v>
      </c>
      <c r="AT30" s="418" t="n">
        <v>2</v>
      </c>
      <c r="AU30" s="418" t="n">
        <v>10</v>
      </c>
      <c r="AV30" s="418" t="n"/>
      <c r="AW30" s="602">
        <f>SUM(IF(AS30=AS$5,4,0),IF(AS30&amp;AT30=AS$5&amp;AT$5,1,0),
IF(AND(AS30=AS$5,AT$6&gt;=$D$115),1,0),
IF(AND(AT30=AS$5,AT$6&gt;=$D$115),1,0),
IF(AND(AU30=AS$5,AT$6&gt;=$D$115),1,0),
IF(AS30&amp;AV30=AW$5,1,0),
IF(AT30=AS$5,2,0),
IF(AU30=AS$5,1,0),
IF(OR(AS30&amp;AT30&amp;AU30=AS$5&amp;AT$5&amp;AU$5,AS30&amp;AT30&amp;AU30=AS$5&amp;AU$5&amp;AT$5,AS30&amp;AT30&amp;AU30=AT$5&amp;AS$5&amp;AU$5,AS30&amp;AT30&amp;AU30=AT$5&amp;AU$5&amp;AS$5,AS30&amp;AT30&amp;AU30=AU$5&amp;AS$5&amp;AT$5,AS30&amp;AT30&amp;AU30=AU$5&amp;AT$5&amp;AS$5),2,0),IF(AND(AS30=AS$5,AT$6&gt;=$D$129),1,0),IF(AND(AT30=AS$5,AT$6&gt;=$D$129),1,0),IF(AND(AU30=AS$5,AT$6&gt;=$D$129),1,0),IF(AS30&amp;AV30=AV$5,4,0),IF(AND(AS30=AS$5,AT$6&lt;=$D$104),-0.5,0),IF(AND(AT30=AS$5,AT$6&lt;=$D$104),-0.5,0),IF(AND(AU30=AS$5,AT$6&lt;=$D$104),-0.5,0))</f>
        <v/>
      </c>
      <c r="AX30" s="416" t="n">
        <v>1</v>
      </c>
      <c r="AY30" s="418" t="n">
        <v>4</v>
      </c>
      <c r="AZ30" s="418" t="n">
        <v>5</v>
      </c>
      <c r="BA30" s="418" t="n"/>
      <c r="BB30" s="602">
        <f>SUM(IF(AX30=AX$5,4,0),IF(AX30&amp;AY30=AX$5&amp;AY$5,1,0),
IF(AND(AX30=AX$5,AY$6&gt;=$D$115),1,0),
IF(AND(AY30=AX$5,AY$6&gt;=$D$115),1,0),
IF(AND(AZ30=AX$5,AY$6&gt;=$D$115),1,0),
IF(AX30&amp;BA30=BB$5,1,0),
IF(AY30=AX$5,2,0),
IF(AZ30=AX$5,1,0),
IF(OR(AX30&amp;AY30&amp;AZ30=AX$5&amp;AY$5&amp;AZ$5,AX30&amp;AY30&amp;AZ30=AX$5&amp;AZ$5&amp;AY$5,AX30&amp;AY30&amp;AZ30=AY$5&amp;AX$5&amp;AZ$5,AX30&amp;AY30&amp;AZ30=AY$5&amp;AZ$5&amp;AX$5,AX30&amp;AY30&amp;AZ30=AZ$5&amp;AX$5&amp;AY$5,AX30&amp;AY30&amp;AZ30=AZ$5&amp;AY$5&amp;AX$5),2,0),IF(AND(AX30=AX$5,AY$6&gt;=$D$129),1,0),IF(AND(AY30=AX$5,AY$6&gt;=$D$129),1,0),IF(AND(AZ30=AX$5,AY$6&gt;=$D$129),1,0),IF(AX30&amp;BA30=BA$5,4,0),IF(AND(AX30=AX$5,AY$6&lt;=$D$104),-0.5,0),IF(AND(AY30=AX$5,AY$6&lt;=$D$104),-0.5,0),IF(AND(AZ30=AX$5,AY$6&lt;=$D$104),-0.5,0))</f>
        <v/>
      </c>
      <c r="BC30" s="416" t="n">
        <v>5</v>
      </c>
      <c r="BD30" s="418" t="n">
        <v>2</v>
      </c>
      <c r="BE30" s="418" t="n">
        <v>7</v>
      </c>
      <c r="BF30" s="418" t="n"/>
      <c r="BG30" s="602">
        <f>SUM(IF(BC30=BC$5,4,0),IF(BC30&amp;BD30=BC$5&amp;BD$5,1,0),
IF(AND(BC30=BC$5,BD$6&gt;=$D$115),1,0),
IF(AND(BD30=BC$5,BD$6&gt;=$D$115),1,0),
IF(AND(BE30=BC$5,BD$6&gt;=$D$115),1,0),
IF(BC30&amp;BF30=BG$5,1,0),
IF(BD30=BC$5,2,0),
IF(BE30=BC$5,1,0),
IF(OR(BC30&amp;BD30&amp;BE30=BC$5&amp;BD$5&amp;BE$5,BC30&amp;BD30&amp;BE30=BC$5&amp;BE$5&amp;BD$5,BC30&amp;BD30&amp;BE30=BD$5&amp;BC$5&amp;BE$5,BC30&amp;BD30&amp;BE30=BD$5&amp;BE$5&amp;BC$5,BC30&amp;BD30&amp;BE30=BE$5&amp;BC$5&amp;BD$5,BC30&amp;BD30&amp;BE30=BE$5&amp;BD$5&amp;BC$5),2,0),IF(AND(BC30=BC$5,BD$6&gt;=$D$129),1,0),IF(AND(BD30=BC$5,BD$6&gt;=$D$129),1,0),IF(AND(BE30=BC$5,BD$6&gt;=$D$129),1,0),IF(BC30&amp;BF30=BF$5,4,0),IF(AND(BC30=BC$5,BD$6&lt;=$D$104),-0.5,0),IF(AND(BD30=BC$5,BD$6&lt;=$D$104),-0.5,0),IF(AND(BE30=BC$5,BD$6&lt;=$D$104),-0.5,0))</f>
        <v/>
      </c>
      <c r="BH30" s="416" t="n">
        <v>6</v>
      </c>
      <c r="BI30" s="418" t="n">
        <v>1</v>
      </c>
      <c r="BJ30" s="418" t="n">
        <v>8</v>
      </c>
      <c r="BK30" s="418" t="inlineStr">
        <is>
          <t>F</t>
        </is>
      </c>
      <c r="BL30" s="602">
        <f>SUM(IF(BH30=BH$5,4,0),IF(BH30&amp;BI30=BH$5&amp;BI$5,1,0),
IF(AND(BH30=BH$5,BI$6&gt;=$D$115),1,0),
IF(AND(BI30=BH$5,BI$6&gt;=$D$115),1,0),
IF(AND(BJ30=BH$5,BI$6&gt;=$D$115),1,0),
IF(BH30&amp;BK30=BL$5,1,0),
IF(BI30=BH$5,2,0),
IF(BJ30=BH$5,1,0),
IF(OR(BH30&amp;BI30&amp;BJ30=BH$5&amp;BI$5&amp;BJ$5,BH30&amp;BI30&amp;BJ30=BH$5&amp;BJ$5&amp;BI$5,BH30&amp;BI30&amp;BJ30=BI$5&amp;BH$5&amp;BJ$5,BH30&amp;BI30&amp;BJ30=BI$5&amp;BJ$5&amp;BH$5,BH30&amp;BI30&amp;BJ30=BJ$5&amp;BH$5&amp;BI$5,BH30&amp;BI30&amp;BJ30=BJ$5&amp;BI$5&amp;BH$5),2,0),IF(AND(BH30=BH$5,BI$6&gt;=$D$129),1,0),IF(AND(BI30=BH$5,BI$6&gt;=$D$129),1,0),IF(AND(BJ30=BH$5,BI$6&gt;=$D$129),1,0),IF(BH30&amp;BK30=BK$5,4,0),IF(AND(BH30=BH$5,BI$6&lt;=$D$104),-0.5,0),IF(AND(BI30=BH$5,BI$6&lt;=$D$104),-0.5,0),IF(AND(BJ30=BH$5,BI$6&lt;=$D$104),-0.5,0))</f>
        <v/>
      </c>
      <c r="BM30" s="416" t="n">
        <v>1</v>
      </c>
      <c r="BN30" s="418" t="n">
        <v>3</v>
      </c>
      <c r="BO30" s="418" t="n">
        <v>6</v>
      </c>
      <c r="BP30" s="418" t="n"/>
      <c r="BQ30" s="602">
        <f>SUM(IF(BM30=BM$5,4,0),IF(BM30&amp;BN30=BM$5&amp;BN$5,1,0),
IF(AND(BM30=BM$5,BN$6&gt;=$D$115),1,0),
IF(AND(BN30=BM$5,BN$6&gt;=$D$115),1,0),
IF(AND(BO30=BM$5,BN$6&gt;=$D$115),1,0),
IF(BM30&amp;BP30=BQ$5,1,0),
IF(BN30=BM$5,2,0),
IF(BO30=BM$5,1,0),
IF(OR(BM30&amp;BN30&amp;BO30=BM$5&amp;BN$5&amp;BO$5,BM30&amp;BN30&amp;BO30=BM$5&amp;BO$5&amp;BN$5,BM30&amp;BN30&amp;BO30=BN$5&amp;BM$5&amp;BO$5,BM30&amp;BN30&amp;BO30=BN$5&amp;BO$5&amp;BM$5,BM30&amp;BN30&amp;BO30=BO$5&amp;BM$5&amp;BN$5,BM30&amp;BN30&amp;BO30=BO$5&amp;BN$5&amp;BM$5),2,0),IF(AND(BM30=BM$5,BN$6&gt;=$D$129),1,0),IF(AND(BN30=BM$5,BN$6&gt;=$D$129),1,0),IF(AND(BO30=BM$5,BN$6&gt;=$D$129),1,0),IF(BM30&amp;BP30=BP$5,4,0),IF(AND(BM30=BM$5,BN$6&lt;=$D$104),-0.5,0),IF(AND(BN30=BM$5,BN$6&lt;=$D$104),-0.5,0),IF(AND(BO30=BM$5,BN$6&lt;=$D$104),-0.5,0))</f>
        <v/>
      </c>
      <c r="BR30" s="416" t="n">
        <v>11</v>
      </c>
      <c r="BS30" s="418" t="n">
        <v>5</v>
      </c>
      <c r="BT30" s="418" t="n">
        <v>1</v>
      </c>
      <c r="BU30" s="418" t="n"/>
      <c r="BV30" s="602">
        <f>SUM(IF(BR30=BR$5,4,0),IF(BR30&amp;BS30=BR$5&amp;BS$5,1,0),
IF(AND(BR30=BR$5,BS$6&gt;=$D$115),1,0),
IF(AND(BS30=BR$5,BS$6&gt;=$D$115),1,0),
IF(AND(BT30=BR$5,BS$6&gt;=$D$115),1,0),
IF(BR30&amp;BU30=BV$5,1,0),
IF(BS30=BR$5,2,0),
IF(BT30=BR$5,1,0),
IF(OR(BR30&amp;BS30&amp;BT30=BR$5&amp;BS$5&amp;BT$5,BR30&amp;BS30&amp;BT30=BR$5&amp;BT$5&amp;BS$5,BR30&amp;BS30&amp;BT30=BS$5&amp;BR$5&amp;BT$5,BR30&amp;BS30&amp;BT30=BS$5&amp;BT$5&amp;BR$5,BR30&amp;BS30&amp;BT30=BT$5&amp;BR$5&amp;BS$5,BR30&amp;BS30&amp;BT30=BT$5&amp;BS$5&amp;BR$5),2,0),IF(AND(BR30=BR$5,BS$6&gt;=$D$129),1,0),IF(AND(BS30=BR$5,BS$6&gt;=$D$129),1,0),IF(AND(BT30=BR$5,BS$6&gt;=$D$129),1,0),IF(BR30&amp;BU30=BU$5,4,0),IF(AND(BR30=BR$5,BS$6&lt;=$D$104),-0.5,0),IF(AND(BS30=BR$5,BS$6&lt;=$D$104),-0.5,0),IF(AND(BT30=BR$5,BS$6&lt;=$D$104),-0.5,0))</f>
        <v/>
      </c>
      <c r="BW30" s="416" t="n"/>
      <c r="BX30" s="418" t="n"/>
      <c r="BY30" s="418" t="n"/>
      <c r="BZ30" s="418" t="n"/>
      <c r="CA30" s="602">
        <f>SUM(IF(BW30=BW$5,4,0),IF(BW30&amp;BX30=BW$5&amp;BX$5,1,0),
IF(AND(BW30=BW$5,BX$6&gt;=$D$115),1,0),
IF(AND(BX30=BW$5,BX$6&gt;=$D$115),1,0),
IF(AND(BY30=BW$5,BX$6&gt;=$D$115),1,0),
IF(BW30&amp;BZ30=CA$5,1,0),
IF(BX30=BW$5,2,0),
IF(BY30=BW$5,1,0),
IF(OR(BW30&amp;BX30&amp;BY30=BW$5&amp;BX$5&amp;BY$5,BW30&amp;BX30&amp;BY30=BW$5&amp;BY$5&amp;BX$5,BW30&amp;BX30&amp;BY30=BX$5&amp;BW$5&amp;BY$5,BW30&amp;BX30&amp;BY30=BX$5&amp;BY$5&amp;BW$5,BW30&amp;BX30&amp;BY30=BY$5&amp;BW$5&amp;BX$5,BW30&amp;BX30&amp;BY30=BY$5&amp;BX$5&amp;BW$5),2,0),IF(AND(BW30=BW$5,BX$6&gt;=$D$129),1,0),IF(AND(BX30=BW$5,BX$6&gt;=$D$129),1,0),IF(AND(BY30=BW$5,BX$6&gt;=$D$129),1,0),IF(BW30&amp;BZ30=BZ$5,4,0),IF(AND(BW30=BW$5,BX$6&lt;=$D$104),-0.5,0),IF(AND(BX30=BW$5,BX$6&lt;=$D$104),-0.5,0),IF(AND(BY30=BW$5,BX$6&lt;=$D$104),-0.5,0))</f>
        <v/>
      </c>
      <c r="CB30" s="416" t="n"/>
      <c r="CC30" s="418" t="n"/>
      <c r="CD30" s="418" t="n"/>
      <c r="CE30" s="418" t="n"/>
      <c r="CF30" s="602">
        <f>SUM(IF(CB30=CB$5,4,0),IF(CB30&amp;CC30=CB$5&amp;CC$5,1,0),
IF(AND(CB30=CB$5,CC$6&gt;=$D$115),1,0),
IF(AND(CC30=CB$5,CC$6&gt;=$D$115),1,0),
IF(AND(CD30=CB$5,CC$6&gt;=$D$115),1,0),
IF(CB30&amp;CE30=CF$5,1,0),
IF(CC30=CB$5,2,0),
IF(CD30=CB$5,1,0),
IF(OR(CB30&amp;CC30&amp;CD30=CB$5&amp;CC$5&amp;CD$5,CB30&amp;CC30&amp;CD30=CB$5&amp;CD$5&amp;CC$5,CB30&amp;CC30&amp;CD30=CC$5&amp;CB$5&amp;CD$5,CB30&amp;CC30&amp;CD30=CC$5&amp;CD$5&amp;CB$5,CB30&amp;CC30&amp;CD30=CD$5&amp;CB$5&amp;CC$5,CB30&amp;CC30&amp;CD30=CD$5&amp;CC$5&amp;CB$5),2,0),IF(AND(CB30=CB$5,CC$6&gt;=$D$129),1,0),IF(AND(CC30=CB$5,CC$6&gt;=$D$129),1,0),IF(AND(CD30=CB$5,CC$6&gt;=$D$129),1,0),IF(CB30&amp;CE30=CE$5,4,0),IF(AND(CB30=CB$5,CC$6&lt;=$D$104),-0.5,0),IF(AND(CC30=CB$5,CC$6&lt;=$D$104),-0.5,0),IF(AND(CD30=CB$5,CC$6&lt;=$D$104),-0.5,0))</f>
        <v/>
      </c>
      <c r="CG30" s="164">
        <f>IF(SEMANA2[[#This Row],[1]]="",0,$B$4)</f>
        <v/>
      </c>
      <c r="CH30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0" s="166">
        <f>IF(SEMANA2[[#This Row],[Columna14]]=0,0,(CH30/CG30))</f>
        <v/>
      </c>
      <c r="CJ30" s="165">
        <f>IF(SEMANA2[[#This Row],[1]]="",0,$B$4)</f>
        <v/>
      </c>
      <c r="CK30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0" s="166">
        <f>IF(SEMANA2[[#This Row],[Columna14]]=0,0,(CK30/CJ30))</f>
        <v/>
      </c>
      <c r="CM30" s="164">
        <f>IF(SEMANA2[[#This Row],[1]]="",0,$B$4)</f>
        <v/>
      </c>
      <c r="CN30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0" s="166">
        <f>IF(SEMANA2[[#This Row],[Columna14]]=0,0,(CN30/CM30))</f>
        <v/>
      </c>
      <c r="CP30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0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Row],[Columna25]],$AX$5,BA30,"SF")+COUNTIFS(SEMANA2[[#This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0" s="166">
        <f>IFERROR(IF(SEMANA2[[#This Row],[Columna14]]=0,0,(CQ30/CP30)),0)</f>
        <v/>
      </c>
      <c r="CS30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0" s="95">
        <f>_xlfn.XLOOKUP(SEMANA2[[#This Row],[COD]],BASE01[COD],BASE01[Columna33])</f>
        <v/>
      </c>
      <c r="CU30" s="604">
        <f>SUM(CS30,CT30)</f>
        <v/>
      </c>
      <c r="CV30" s="450">
        <f>IF(SEMANA2[[#This Row],[TIPO]]="PREMIO",$O$3,"0,00")</f>
        <v/>
      </c>
      <c r="CW30" s="576" t="n"/>
      <c r="CY30" s="392">
        <f>IF(CZ30="","",$CZ$25)</f>
        <v/>
      </c>
      <c r="CZ30" s="392" t="inlineStr">
        <is>
          <t>COD 15</t>
        </is>
      </c>
      <c r="DA30" s="392">
        <f t="array" ref="DA30">IF(CZ30="", "", IF((INDEX(E$8:CE$57, MATCH(CZ30, C$8:C$57, 0), ($CZ$25-1)*5 + 1) &amp; "") = (INDEX(E$5:CE$5, 1, ($CZ$25-1)*5 + 1) &amp; ""), 1, IF((INDEX(E$8:CE$57, MATCH(CZ30, C$8:C$57, 0), ($CZ$25-1)*5 + 2) &amp; "") = (INDEX(E$5:CE$5, 1, ($CZ$25-1)*5 + 1) &amp; ""), 2, IF((INDEX(E$8:CE$57, MATCH(CZ30, C$8:C$57, 0), ($CZ$25-1)*5 + 3) &amp; "") = (INDEX(E$5:CE$5, 1, ($CZ$25-1)*5 + 1) &amp; ""), 3, ""))))</f>
        <v/>
      </c>
      <c r="DB30" s="605">
        <f>SEMANA2[[#This Row],[COD]]</f>
        <v/>
      </c>
      <c r="DC30" s="395">
        <f t="array" ref="DC30">IFERROR(IF(AND(INDEX($E$8:$CE$57, MATCH($C30, $C$8:$C$57, 0), (COLUMNS($DC30:DC30)-1)*5 + 1) = INDEX($E$5:$CE$5, 1, (COLUMNS($DC30:DC30)-1)*5 + 1), INDEX($E$8:$CE$57, MATCH($C30, $C$8:$C$57, 0), (COLUMNS($DC30:DC30)-1)*5 + 4) = "F"), INDEX($CZ$8:$CZ$23, COLUMNS($DC30:DC30)), "0"), "")</f>
        <v/>
      </c>
      <c r="DD30" s="395">
        <f t="array" ref="DD30">IFERROR(IF(AND(INDEX($E$8:$CE$57, MATCH($C30, $C$8:$C$57, 0), (COLUMNS($DC30:DD30)-1)*5 + 1) = INDEX($E$5:$CE$5, 1, (COLUMNS($DC30:DD30)-1)*5 + 1), INDEX($E$8:$CE$57, MATCH($C30, $C$8:$C$57, 0), (COLUMNS($DC30:DD30)-1)*5 + 4) = "F"), INDEX($CZ$8:$CZ$23, COLUMNS($DC30:DD30)), "0"), "")</f>
        <v/>
      </c>
      <c r="DE30" s="395">
        <f t="array" ref="DE30">IFERROR(IF(AND(INDEX($E$8:$CE$57, MATCH($C30, $C$8:$C$57, 0), (COLUMNS($DC30:DE30)-1)*5 + 1) = INDEX($E$5:$CE$5, 1, (COLUMNS($DC30:DE30)-1)*5 + 1), INDEX($E$8:$CE$57, MATCH($C30, $C$8:$C$57, 0), (COLUMNS($DC30:DE30)-1)*5 + 4) = "F"), INDEX($CZ$8:$CZ$23, COLUMNS($DC30:DE30)), "0"), "")</f>
        <v/>
      </c>
      <c r="DF30" s="395">
        <f t="array" ref="DF30">IFERROR(IF(AND(INDEX($E$8:$CE$57, MATCH($C30, $C$8:$C$57, 0), (COLUMNS($DC30:DF30)-1)*5 + 1) = INDEX($E$5:$CE$5, 1, (COLUMNS($DC30:DF30)-1)*5 + 1), INDEX($E$8:$CE$57, MATCH($C30, $C$8:$C$57, 0), (COLUMNS($DC30:DF30)-1)*5 + 4) = "F"), INDEX($CZ$8:$CZ$23, COLUMNS($DC30:DF30)), "0"), "")</f>
        <v/>
      </c>
      <c r="DG30" s="395">
        <f t="array" ref="DG30">IFERROR(IF(AND(INDEX($E$8:$CE$57, MATCH($C30, $C$8:$C$57, 0), (COLUMNS($DC30:DG30)-1)*5 + 1) = INDEX($E$5:$CE$5, 1, (COLUMNS($DC30:DG30)-1)*5 + 1), INDEX($E$8:$CE$57, MATCH($C30, $C$8:$C$57, 0), (COLUMNS($DC30:DG30)-1)*5 + 4) = "F"), INDEX($CZ$8:$CZ$23, COLUMNS($DC30:DG30)), "0"), "")</f>
        <v/>
      </c>
      <c r="DH30" s="395">
        <f t="array" ref="DH30">IFERROR(IF(AND(INDEX($E$8:$CE$57, MATCH($C30, $C$8:$C$57, 0), (COLUMNS($DC30:DH30)-1)*5 + 1) = INDEX($E$5:$CE$5, 1, (COLUMNS($DC30:DH30)-1)*5 + 1), INDEX($E$8:$CE$57, MATCH($C30, $C$8:$C$57, 0), (COLUMNS($DC30:DH30)-1)*5 + 4) = "F"), INDEX($CZ$8:$CZ$23, COLUMNS($DC30:DH30)), "0"), "")</f>
        <v/>
      </c>
      <c r="DI30" s="395">
        <f t="array" ref="DI30">IFERROR(IF(AND(INDEX($E$8:$CE$57, MATCH($C30, $C$8:$C$57, 0), (COLUMNS($DC30:DI30)-1)*5 + 1) = INDEX($E$5:$CE$5, 1, (COLUMNS($DC30:DI30)-1)*5 + 1), INDEX($E$8:$CE$57, MATCH($C30, $C$8:$C$57, 0), (COLUMNS($DC30:DI30)-1)*5 + 4) = "F"), INDEX($CZ$8:$CZ$23, COLUMNS($DC30:DI30)), "0"), "")</f>
        <v/>
      </c>
      <c r="DJ30" s="395">
        <f t="array" ref="DJ30">IFERROR(IF(AND(INDEX($E$8:$CE$57, MATCH($C30, $C$8:$C$57, 0), (COLUMNS($DC30:DJ30)-1)*5 + 1) = INDEX($E$5:$CE$5, 1, (COLUMNS($DC30:DJ30)-1)*5 + 1), INDEX($E$8:$CE$57, MATCH($C30, $C$8:$C$57, 0), (COLUMNS($DC30:DJ30)-1)*5 + 4) = "F"), INDEX($CZ$8:$CZ$23, COLUMNS($DC30:DJ30)), "0"), "")</f>
        <v/>
      </c>
      <c r="DK30" s="395">
        <f t="array" ref="DK30">IFERROR(IF(AND(INDEX($E$8:$CE$57, MATCH($C30, $C$8:$C$57, 0), (COLUMNS($DC30:DK30)-1)*5 + 1) = INDEX($E$5:$CE$5, 1, (COLUMNS($DC30:DK30)-1)*5 + 1), INDEX($E$8:$CE$57, MATCH($C30, $C$8:$C$57, 0), (COLUMNS($DC30:DK30)-1)*5 + 4) = "F"), INDEX($CZ$8:$CZ$23, COLUMNS($DC30:DK30)), "0"), "")</f>
        <v/>
      </c>
      <c r="DL30" s="395">
        <f t="array" ref="DL30">IFERROR(IF(AND(INDEX($E$8:$CE$57, MATCH($C30, $C$8:$C$57, 0), (COLUMNS($DC30:DL30)-1)*5 + 1) = INDEX($E$5:$CE$5, 1, (COLUMNS($DC30:DL30)-1)*5 + 1), INDEX($E$8:$CE$57, MATCH($C30, $C$8:$C$57, 0), (COLUMNS($DC30:DL30)-1)*5 + 4) = "F"), INDEX($CZ$8:$CZ$23, COLUMNS($DC30:DL30)), "0"), "")</f>
        <v/>
      </c>
      <c r="DM30" s="395">
        <f t="array" ref="DM30">IFERROR(IF(AND(INDEX($E$8:$CE$57, MATCH($C30, $C$8:$C$57, 0), (COLUMNS($DC30:DM30)-1)*5 + 1) = INDEX($E$5:$CE$5, 1, (COLUMNS($DC30:DM30)-1)*5 + 1), INDEX($E$8:$CE$57, MATCH($C30, $C$8:$C$57, 0), (COLUMNS($DC30:DM30)-1)*5 + 4) = "F"), INDEX($CZ$8:$CZ$23, COLUMNS($DC30:DM30)), "0"), "")</f>
        <v/>
      </c>
      <c r="DN30" s="395">
        <f t="array" ref="DN30">IFERROR(IF(AND(INDEX($E$8:$CE$57, MATCH($C30, $C$8:$C$57, 0), (COLUMNS($DC30:DN30)-1)*5 + 1) = INDEX($E$5:$CE$5, 1, (COLUMNS($DC30:DN30)-1)*5 + 1), INDEX($E$8:$CE$57, MATCH($C30, $C$8:$C$57, 0), (COLUMNS($DC30:DN30)-1)*5 + 4) = "F"), INDEX($CZ$8:$CZ$23, COLUMNS($DC30:DN30)), "0"), "")</f>
        <v/>
      </c>
      <c r="DO30" s="395">
        <f t="array" ref="DO30">IFERROR(IF(AND(INDEX($E$8:$CE$57, MATCH($C30, $C$8:$C$57, 0), (COLUMNS($DC30:DO30)-1)*5 + 1) = INDEX($E$5:$CE$5, 1, (COLUMNS($DC30:DO30)-1)*5 + 1), INDEX($E$8:$CE$57, MATCH($C30, $C$8:$C$57, 0), (COLUMNS($DC30:DO30)-1)*5 + 4) = "F"), INDEX($CZ$8:$CZ$23, COLUMNS($DC30:DO30)), "0"), "")</f>
        <v/>
      </c>
      <c r="DP30" s="395">
        <f t="array" ref="DP30">IFERROR(IF(AND(INDEX($E$8:$CE$57, MATCH($C30, $C$8:$C$57, 0), (COLUMNS($DC30:DP30)-1)*5 + 1) = INDEX($E$5:$CE$5, 1, (COLUMNS($DC30:DP30)-1)*5 + 1), INDEX($E$8:$CE$57, MATCH($C30, $C$8:$C$57, 0), (COLUMNS($DC30:DP30)-1)*5 + 4) = "F"), INDEX($CZ$8:$CZ$23, COLUMNS($DC30:DP30)), "0"), "")</f>
        <v/>
      </c>
      <c r="DQ30" s="395">
        <f t="array" ref="DQ30">IFERROR(IF(AND(INDEX($E$8:$CE$57, MATCH($C30, $C$8:$C$57, 0), (COLUMNS($DC30:DQ30)-1)*5 + 1) = INDEX($E$5:$CE$5, 1, (COLUMNS($DC30:DQ30)-1)*5 + 1), INDEX($E$8:$CE$57, MATCH($C30, $C$8:$C$57, 0), (COLUMNS($DC30:DQ30)-1)*5 + 4) = "F"), INDEX($CZ$8:$CZ$23, COLUMNS($DC30:DQ30)), "0"), "")</f>
        <v/>
      </c>
      <c r="DR30" s="395">
        <f t="array" ref="DR30">IFERROR(IF(AND(INDEX($E$8:$CE$57, MATCH($C30, $C$8:$C$57, 0), (COLUMNS($DC30:DR30)-1)*5 + 1) = INDEX($E$5:$CE$5, 1, (COLUMNS($DC30:DR30)-1)*5 + 1), INDEX($E$8:$CE$57, MATCH($C30, $C$8:$C$57, 0), (COLUMNS($DC30:DR30)-1)*5 + 4) = "F"), INDEX($CZ$8:$CZ$23, COLUMNS($DC30:DR30)), "0"), "")</f>
        <v/>
      </c>
      <c r="DT30" s="605">
        <f>SEMANA2[[#This Row],[COD]]</f>
        <v/>
      </c>
      <c r="DU30" s="395">
        <f t="array" ref="DU30">IFERROR(IF(AND(INDEX($E$8:$CE$57, MATCH($C30, $C$8:$C$57, 0), (COLUMNS($DU30:DU30)-1)*5 + 1) = INDEX($E$5:$CE$5, 1, (COLUMNS($DU30:DU30)-1)*5 + 1), INDEX($E$8:$CE$57, MATCH($C30, $C$8:$C$57, 0), (COLUMNS($DU30:DU30)-1)*5 + 4) = "SF"), INDEX($CZ$8:$CZ$23, COLUMNS($DU30:DU30)), "0"), "")</f>
        <v/>
      </c>
      <c r="DV30" s="395">
        <f t="array" ref="DV30">IFERROR(IF(AND(INDEX($E$8:$CE$57, MATCH($C30, $C$8:$C$57, 0), (COLUMNS($DU30:DV30)-1)*5 + 1) = INDEX($E$5:$CE$5, 1, (COLUMNS($DU30:DV30)-1)*5 + 1), INDEX($E$8:$CE$57, MATCH($C30, $C$8:$C$57, 0), (COLUMNS($DU30:DV30)-1)*5 + 4) = "SF"), INDEX($CZ$8:$CZ$23, COLUMNS($DU30:DV30)), "0"), "")</f>
        <v/>
      </c>
      <c r="DW30" s="395">
        <f t="array" ref="DW30">IFERROR(IF(AND(INDEX($E$8:$CE$57, MATCH($C30, $C$8:$C$57, 0), (COLUMNS($DU30:DW30)-1)*5 + 1) = INDEX($E$5:$CE$5, 1, (COLUMNS($DU30:DW30)-1)*5 + 1), INDEX($E$8:$CE$57, MATCH($C30, $C$8:$C$57, 0), (COLUMNS($DU30:DW30)-1)*5 + 4) = "SF"), INDEX($CZ$8:$CZ$23, COLUMNS($DU30:DW30)), "0"), "")</f>
        <v/>
      </c>
      <c r="DX30" s="395">
        <f t="array" ref="DX30">IFERROR(IF(AND(INDEX($E$8:$CE$57, MATCH($C30, $C$8:$C$57, 0), (COLUMNS($DU30:DX30)-1)*5 + 1) = INDEX($E$5:$CE$5, 1, (COLUMNS($DU30:DX30)-1)*5 + 1), INDEX($E$8:$CE$57, MATCH($C30, $C$8:$C$57, 0), (COLUMNS($DU30:DX30)-1)*5 + 4) = "SF"), INDEX($CZ$8:$CZ$23, COLUMNS($DU30:DX30)), "0"), "")</f>
        <v/>
      </c>
      <c r="DY30" s="395">
        <f t="array" ref="DY30">IFERROR(IF(AND(INDEX($E$8:$CE$57, MATCH($C30, $C$8:$C$57, 0), (COLUMNS($DU30:DY30)-1)*5 + 1) = INDEX($E$5:$CE$5, 1, (COLUMNS($DU30:DY30)-1)*5 + 1), INDEX($E$8:$CE$57, MATCH($C30, $C$8:$C$57, 0), (COLUMNS($DU30:DY30)-1)*5 + 4) = "SF"), INDEX($CZ$8:$CZ$23, COLUMNS($DU30:DY30)), "0"), "")</f>
        <v/>
      </c>
      <c r="DZ30" s="395">
        <f t="array" ref="DZ30">IFERROR(IF(AND(INDEX($E$8:$CE$57, MATCH($C30, $C$8:$C$57, 0), (COLUMNS($DU30:DZ30)-1)*5 + 1) = INDEX($E$5:$CE$5, 1, (COLUMNS($DU30:DZ30)-1)*5 + 1), INDEX($E$8:$CE$57, MATCH($C30, $C$8:$C$57, 0), (COLUMNS($DU30:DZ30)-1)*5 + 4) = "SF"), INDEX($CZ$8:$CZ$23, COLUMNS($DU30:DZ30)), "0"), "")</f>
        <v/>
      </c>
      <c r="EA30" s="395">
        <f t="array" ref="EA30">IFERROR(IF(AND(INDEX($E$8:$CE$57, MATCH($C30, $C$8:$C$57, 0), (COLUMNS($DU30:EA30)-1)*5 + 1) = INDEX($E$5:$CE$5, 1, (COLUMNS($DU30:EA30)-1)*5 + 1), INDEX($E$8:$CE$57, MATCH($C30, $C$8:$C$57, 0), (COLUMNS($DU30:EA30)-1)*5 + 4) = "SF"), INDEX($CZ$8:$CZ$23, COLUMNS($DU30:EA30)), "0"), "")</f>
        <v/>
      </c>
      <c r="EB30" s="395">
        <f t="array" ref="EB30">IFERROR(IF(AND(INDEX($E$8:$CE$57, MATCH($C30, $C$8:$C$57, 0), (COLUMNS($DU30:EB30)-1)*5 + 1) = INDEX($E$5:$CE$5, 1, (COLUMNS($DU30:EB30)-1)*5 + 1), INDEX($E$8:$CE$57, MATCH($C30, $C$8:$C$57, 0), (COLUMNS($DU30:EB30)-1)*5 + 4) = "SF"), INDEX($CZ$8:$CZ$23, COLUMNS($DU30:EB30)), "0"), "")</f>
        <v/>
      </c>
      <c r="EC30" s="395">
        <f t="array" ref="EC30">IFERROR(IF(AND(INDEX($E$8:$CE$57, MATCH($C30, $C$8:$C$57, 0), (COLUMNS($DU30:EC30)-1)*5 + 1) = INDEX($E$5:$CE$5, 1, (COLUMNS($DU30:EC30)-1)*5 + 1), INDEX($E$8:$CE$57, MATCH($C30, $C$8:$C$57, 0), (COLUMNS($DU30:EC30)-1)*5 + 4) = "SF"), INDEX($CZ$8:$CZ$23, COLUMNS($DU30:EC30)), "0"), "")</f>
        <v/>
      </c>
      <c r="ED30" s="395">
        <f t="array" ref="ED30">IFERROR(IF(AND(INDEX($E$8:$CE$57, MATCH($C30, $C$8:$C$57, 0), (COLUMNS($DU30:ED30)-1)*5 + 1) = INDEX($E$5:$CE$5, 1, (COLUMNS($DU30:ED30)-1)*5 + 1), INDEX($E$8:$CE$57, MATCH($C30, $C$8:$C$57, 0), (COLUMNS($DU30:ED30)-1)*5 + 4) = "SF"), INDEX($CZ$8:$CZ$23, COLUMNS($DU30:ED30)), "0"), "")</f>
        <v/>
      </c>
      <c r="EE30" s="395">
        <f t="array" ref="EE30">IFERROR(IF(AND(INDEX($E$8:$CE$57, MATCH($C30, $C$8:$C$57, 0), (COLUMNS($DU30:EE30)-1)*5 + 1) = INDEX($E$5:$CE$5, 1, (COLUMNS($DU30:EE30)-1)*5 + 1), INDEX($E$8:$CE$57, MATCH($C30, $C$8:$C$57, 0), (COLUMNS($DU30:EE30)-1)*5 + 4) = "SF"), INDEX($CZ$8:$CZ$23, COLUMNS($DU30:EE30)), "0"), "")</f>
        <v/>
      </c>
      <c r="EF30" s="395">
        <f t="array" ref="EF30">IFERROR(IF(AND(INDEX($E$8:$CE$57, MATCH($C30, $C$8:$C$57, 0), (COLUMNS($DU30:EF30)-1)*5 + 1) = INDEX($E$5:$CE$5, 1, (COLUMNS($DU30:EF30)-1)*5 + 1), INDEX($E$8:$CE$57, MATCH($C30, $C$8:$C$57, 0), (COLUMNS($DU30:EF30)-1)*5 + 4) = "SF"), INDEX($CZ$8:$CZ$23, COLUMNS($DU30:EF30)), "0"), "")</f>
        <v/>
      </c>
      <c r="EG30" s="395">
        <f t="array" ref="EG30">IFERROR(IF(AND(INDEX($E$8:$CE$57, MATCH($C30, $C$8:$C$57, 0), (COLUMNS($DU30:EG30)-1)*5 + 1) = INDEX($E$5:$CE$5, 1, (COLUMNS($DU30:EG30)-1)*5 + 1), INDEX($E$8:$CE$57, MATCH($C30, $C$8:$C$57, 0), (COLUMNS($DU30:EG30)-1)*5 + 4) = "SF"), INDEX($CZ$8:$CZ$23, COLUMNS($DU30:EG30)), "0"), "")</f>
        <v/>
      </c>
      <c r="EH30" s="395">
        <f t="array" ref="EH30">IFERROR(IF(AND(INDEX($E$8:$CE$57, MATCH($C30, $C$8:$C$57, 0), (COLUMNS($DU30:EH30)-1)*5 + 1) = INDEX($E$5:$CE$5, 1, (COLUMNS($DU30:EH30)-1)*5 + 1), INDEX($E$8:$CE$57, MATCH($C30, $C$8:$C$57, 0), (COLUMNS($DU30:EH30)-1)*5 + 4) = "SF"), INDEX($CZ$8:$CZ$23, COLUMNS($DU30:EH30)), "0"), "")</f>
        <v/>
      </c>
      <c r="EI30" s="395">
        <f t="array" ref="EI30">IFERROR(IF(AND(INDEX($E$8:$CE$57, MATCH($C30, $C$8:$C$57, 0), (COLUMNS($DU30:EI30)-1)*5 + 1) = INDEX($E$5:$CE$5, 1, (COLUMNS($DU30:EI30)-1)*5 + 1), INDEX($E$8:$CE$57, MATCH($C30, $C$8:$C$57, 0), (COLUMNS($DU30:EI30)-1)*5 + 4) = "SF"), INDEX($CZ$8:$CZ$23, COLUMNS($DU30:EI30)), "0"), "")</f>
        <v/>
      </c>
      <c r="EJ30" s="395">
        <f t="array" ref="EJ30">IFERROR(IF(AND(INDEX($E$8:$CE$57, MATCH($C30, $C$8:$C$57, 0), (COLUMNS($DU30:EJ30)-1)*5 + 1) = INDEX($E$5:$CE$5, 1, (COLUMNS($DU30:EJ30)-1)*5 + 1), INDEX($E$8:$CE$57, MATCH($C30, $C$8:$C$57, 0), (COLUMNS($DU30:EJ30)-1)*5 + 4) = "SF"), INDEX($CZ$8:$CZ$23, COLUMNS($DU30:EJ30)), "0"), "")</f>
        <v/>
      </c>
    </row>
    <row r="31" ht="19.5" customHeight="1" s="568">
      <c r="A31" s="576" t="n"/>
      <c r="B31" s="449">
        <f>IF(SEMANA2[[#This Row],[COD]]&lt;&gt;"",B30+1,"")</f>
        <v/>
      </c>
      <c r="C31" s="622" t="inlineStr">
        <is>
          <t>COD 24</t>
        </is>
      </c>
      <c r="D31" s="415">
        <f t="array" ref="D3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1" s="416" t="n">
        <v>9</v>
      </c>
      <c r="F31" s="423" t="n">
        <v>6</v>
      </c>
      <c r="G31" s="423" t="n">
        <v>2</v>
      </c>
      <c r="H31" s="423" t="n"/>
      <c r="I31" s="602">
        <f>SUM(IF(E31=E$5,4,0),IF(E31&amp;F31=E$5&amp;F$5,1,0),
IF(AND(E31=E$5,F$6&gt;=$D$115),1,0),
IF(AND(F31=E$5,F$6&gt;=$D$115),1,0),
IF(AND(G31=E$5,F$6&gt;=$D$115),1,0),
IF(E31&amp;H31=I$5,1,0),
IF(F31=E$5,2,0),
IF(G31=E$5,1,0),
IF(OR(E31&amp;F31&amp;G31=E$5&amp;F$5&amp;G$5,E31&amp;F31&amp;G31=E$5&amp;G$5&amp;F$5,E31&amp;F31&amp;G31=F$5&amp;E$5&amp;G$5,E31&amp;F31&amp;G31=F$5&amp;G$5&amp;E$5,E31&amp;F31&amp;G31=G$5&amp;E$5&amp;F$5,E31&amp;F31&amp;G31=G$5&amp;F$5&amp;E$5),2,0),IF(AND(E31=E$5,F$6&gt;=$D$129),1,0),IF(AND(F31=E$5,F$6&gt;=$D$129),1,0),IF(AND(G31=E$5,F$6&gt;=$D$129),1,0),IF(E31&amp;H31=H$5,4,0),IF(AND(E31=E$5,F$6&lt;=$D$104),-0.5,0),IF(AND(F31=E$5,F$6&lt;=$D$104),-0.5,0),IF(AND(G31=E$5,F$6&lt;=$D$104),-0.5,0))</f>
        <v/>
      </c>
      <c r="J31" s="416" t="n">
        <v>1</v>
      </c>
      <c r="K31" s="423" t="n">
        <v>4</v>
      </c>
      <c r="L31" s="423" t="n">
        <v>7</v>
      </c>
      <c r="M31" s="423" t="n"/>
      <c r="N31" s="602">
        <f>SUM(IF(J31=J$5,4,0),IF(J31&amp;K31=J$5&amp;K$5,1,0),
IF(AND(J31=J$5,K$6&gt;=$D$115),1,0),
IF(AND(K31=J$5,K$6&gt;=$D$115),1,0),
IF(AND(L31=J$5,K$6&gt;=$D$115),1,0),
IF(J31&amp;M31=N$5,1,0),
IF(K31=J$5,2,0),
IF(L31=J$5,1,0),
IF(OR(J31&amp;K31&amp;L31=J$5&amp;K$5&amp;L$5,J31&amp;K31&amp;L31=J$5&amp;L$5&amp;K$5,J31&amp;K31&amp;L31=K$5&amp;J$5&amp;L$5,J31&amp;K31&amp;L31=K$5&amp;L$5&amp;J$5,J31&amp;K31&amp;L31=L$5&amp;J$5&amp;K$5,J31&amp;K31&amp;L31=L$5&amp;K$5&amp;J$5),2,0),IF(AND(J31=J$5,K$6&gt;=$D$129),1,0),IF(AND(K31=J$5,K$6&gt;=$D$129),1,0),IF(AND(L31=J$5,K$6&gt;=$D$129),1,0),IF(J31&amp;M31=M$5,4,0),IF(AND(J31=J$5,K$6&lt;=$D$104),-0.5,0),IF(AND(K31=J$5,K$6&lt;=$D$104),-0.5,0),IF(AND(L31=J$5,K$6&lt;=$D$104),-0.5,0))</f>
        <v/>
      </c>
      <c r="O31" s="416" t="n">
        <v>1</v>
      </c>
      <c r="P31" s="423" t="n">
        <v>7</v>
      </c>
      <c r="Q31" s="423" t="n">
        <v>5</v>
      </c>
      <c r="R31" s="423" t="n"/>
      <c r="S31" s="602">
        <f>SUM(IF(O31=O$5,4,0),IF(O31&amp;P31=O$5&amp;P$5,1,0),
IF(AND(O31=O$5,P$6&gt;=$D$115),1,0),
IF(AND(P31=O$5,P$6&gt;=$D$115),1,0),
IF(AND(Q31=O$5,P$6&gt;=$D$115),1,0),
IF(O31&amp;R31=S$5,1,0),
IF(P31=O$5,2,0),
IF(Q31=O$5,1,0),
IF(OR(O31&amp;P31&amp;Q31=O$5&amp;P$5&amp;Q$5,O31&amp;P31&amp;Q31=O$5&amp;Q$5&amp;P$5,O31&amp;P31&amp;Q31=P$5&amp;O$5&amp;Q$5,O31&amp;P31&amp;Q31=P$5&amp;Q$5&amp;O$5,O31&amp;P31&amp;Q31=Q$5&amp;O$5&amp;P$5,O31&amp;P31&amp;Q31=Q$5&amp;P$5&amp;O$5),2,0),IF(AND(O31=O$5,P$6&gt;=$D$129),1,0),IF(AND(P31=O$5,P$6&gt;=$D$129),1,0),IF(AND(Q31=O$5,P$6&gt;=$D$129),1,0),IF(O31&amp;R31=R$5,4,0),IF(AND(O31=O$5,P$6&lt;=$D$104),-0.5,0),IF(AND(P31=O$5,P$6&lt;=$D$104),-0.5,0),IF(AND(Q31=O$5,P$6&lt;=$D$104),-0.5,0))</f>
        <v/>
      </c>
      <c r="T31" s="416" t="n">
        <v>5</v>
      </c>
      <c r="U31" s="423" t="n">
        <v>3</v>
      </c>
      <c r="V31" s="423" t="n">
        <v>4</v>
      </c>
      <c r="W31" s="423" t="n"/>
      <c r="X31" s="602">
        <f>SUM(IF(T31=T$5,4,0),IF(T31&amp;U31=T$5&amp;U$5,1,0),
IF(AND(T31=T$5,U$6&gt;=$D$115),1,0),
IF(AND(U31=T$5,U$6&gt;=$D$115),1,0),
IF(AND(V31=T$5,U$6&gt;=$D$115),1,0),
IF(T31&amp;W31=X$5,1,0),
IF(U31=T$5,2,0),
IF(V31=T$5,1,0),
IF(OR(T31&amp;U31&amp;V31=T$5&amp;U$5&amp;V$5,T31&amp;U31&amp;V31=T$5&amp;V$5&amp;U$5,T31&amp;U31&amp;V31=U$5&amp;T$5&amp;V$5,T31&amp;U31&amp;V31=U$5&amp;V$5&amp;T$5,T31&amp;U31&amp;V31=V$5&amp;T$5&amp;U$5,T31&amp;U31&amp;V31=V$5&amp;U$5&amp;T$5),2,0),IF(AND(T31=T$5,U$6&gt;=$D$129),1,0),IF(AND(U31=T$5,U$6&gt;=$D$129),1,0),IF(AND(V31=T$5,U$6&gt;=$D$129),1,0),IF(T31&amp;W31=W$5,4,0),IF(AND(T31=T$5,U$6&lt;=$D$104),-0.5,0),IF(AND(U31=T$5,U$6&lt;=$D$104),-0.5,0),IF(AND(V31=T$5,U$6&lt;=$D$104),-0.5,0))</f>
        <v/>
      </c>
      <c r="Y31" s="416" t="n">
        <v>5</v>
      </c>
      <c r="Z31" s="423" t="n">
        <v>4</v>
      </c>
      <c r="AA31" s="423" t="n">
        <v>1</v>
      </c>
      <c r="AB31" s="423" t="n"/>
      <c r="AC31" s="602">
        <f>SUM(IF(Y31=Y$5,4,0),IF(Y31&amp;Z31=Y$5&amp;Z$5,1,0),
IF(AND(Y31=Y$5,Z$6&gt;=$D$115),1,0),
IF(AND(Z31=Y$5,Z$6&gt;=$D$115),1,0),
IF(AND(AA31=Y$5,Z$6&gt;=$D$115),1,0),
IF(Y31&amp;AB31=AC$5,1,0),
IF(Z31=Y$5,2,0),
IF(AA31=Y$5,1,0),
IF(OR(Y31&amp;Z31&amp;AA31=Y$5&amp;Z$5&amp;AA$5,Y31&amp;Z31&amp;AA31=Y$5&amp;AA$5&amp;Z$5,Y31&amp;Z31&amp;AA31=Z$5&amp;Y$5&amp;AA$5,Y31&amp;Z31&amp;AA31=Z$5&amp;AA$5&amp;Y$5,Y31&amp;Z31&amp;AA31=AA$5&amp;Y$5&amp;Z$5,Y31&amp;Z31&amp;AA31=AA$5&amp;Z$5&amp;Y$5),2,0),IF(AND(Y31=Y$5,Z$6&gt;=$D$129),1,0),IF(AND(Z31=Y$5,Z$6&gt;=$D$129),1,0),IF(AND(AA31=Y$5,Z$6&gt;=$D$129),1,0),IF(Y31&amp;AB31=AB$5,4,0),IF(AND(Y31=Y$5,Z$6&lt;=$D$104),-0.5,0),IF(AND(Z31=Y$5,Z$6&lt;=$D$104),-0.5,0),IF(AND(AA31=Y$5,Z$6&lt;=$D$104),-0.5,0))</f>
        <v/>
      </c>
      <c r="AD31" s="416" t="n">
        <v>3</v>
      </c>
      <c r="AE31" s="423" t="n">
        <v>5</v>
      </c>
      <c r="AF31" s="423" t="n">
        <v>4</v>
      </c>
      <c r="AG31" s="423" t="n"/>
      <c r="AH31" s="602">
        <f>SUM(IF(AD31=AD$5,4,0),IF(AD31&amp;AE31=AD$5&amp;AE$5,1,0),
IF(AND(AD31=AD$5,AE$6&gt;=$D$115),1,0),
IF(AND(AE31=AD$5,AE$6&gt;=$D$115),1,0),
IF(AND(AF31=AD$5,AE$6&gt;=$D$115),1,0),
IF(AD31&amp;AG31=AH$5,1,0),
IF(AE31=AD$5,2,0),
IF(AF31=AD$5,1,0),
IF(OR(AD31&amp;AE31&amp;AF31=AD$5&amp;AE$5&amp;AF$5,AD31&amp;AE31&amp;AF31=AD$5&amp;AF$5&amp;AE$5,AD31&amp;AE31&amp;AF31=AE$5&amp;AD$5&amp;AF$5,AD31&amp;AE31&amp;AF31=AE$5&amp;AF$5&amp;AD$5,AD31&amp;AE31&amp;AF31=AF$5&amp;AD$5&amp;AE$5,AD31&amp;AE31&amp;AF31=AF$5&amp;AE$5&amp;AD$5),2,0),IF(AND(AD31=AD$5,AE$6&gt;=$D$129),1,0),IF(AND(AE31=AD$5,AE$6&gt;=$D$129),1,0),IF(AND(AF31=AD$5,AE$6&gt;=$D$129),1,0),IF(AD31&amp;AG31=AG$5,4,0),IF(AND(AD31=AD$5,AE$6&lt;=$D$104),-0.5,0),IF(AND(AE31=AD$5,AE$6&lt;=$D$104),-0.5,0),IF(AND(AF31=AD$5,AE$6&lt;=$D$104),-0.5,0))</f>
        <v/>
      </c>
      <c r="AI31" s="416" t="n">
        <v>6</v>
      </c>
      <c r="AJ31" s="423" t="n">
        <v>8</v>
      </c>
      <c r="AK31" s="423" t="n">
        <v>9</v>
      </c>
      <c r="AL31" s="423" t="n"/>
      <c r="AM31" s="602">
        <f>SUM(IF(AI31=AI$5,4,0),IF(AI31&amp;AJ31=AI$5&amp;AJ$5,1,0),
IF(AND(AI31=AI$5,AJ$6&gt;=$D$115),1,0),
IF(AND(AJ31=AI$5,AJ$6&gt;=$D$115),1,0),
IF(AND(AK31=AI$5,AJ$6&gt;=$D$115),1,0),
IF(AI31&amp;AL31=AM$5,1,0),
IF(AJ31=AI$5,2,0),
IF(AK31=AI$5,1,0),
IF(OR(AI31&amp;AJ31&amp;AK31=AI$5&amp;AJ$5&amp;AK$5,AI31&amp;AJ31&amp;AK31=AI$5&amp;AK$5&amp;AJ$5,AI31&amp;AJ31&amp;AK31=AJ$5&amp;AI$5&amp;AK$5,AI31&amp;AJ31&amp;AK31=AJ$5&amp;AK$5&amp;AI$5,AI31&amp;AJ31&amp;AK31=AK$5&amp;AI$5&amp;AJ$5,AI31&amp;AJ31&amp;AK31=AK$5&amp;AJ$5&amp;AI$5),2,0),IF(AND(AI31=AI$5,AJ$6&gt;=$D$129),1,0),IF(AND(AJ31=AI$5,AJ$6&gt;=$D$129),1,0),IF(AND(AK31=AI$5,AJ$6&gt;=$D$129),1,0),IF(AI31&amp;AL31=AL$5,4,0),IF(AND(AI31=AI$5,AJ$6&lt;=$D$104),-0.5,0),IF(AND(AJ31=AI$5,AJ$6&lt;=$D$104),-0.5,0),IF(AND(AK31=AI$5,AJ$6&lt;=$D$104),-0.5,0))</f>
        <v/>
      </c>
      <c r="AN31" s="416" t="n">
        <v>8</v>
      </c>
      <c r="AO31" s="423" t="n">
        <v>1</v>
      </c>
      <c r="AP31" s="423" t="n">
        <v>4</v>
      </c>
      <c r="AQ31" s="423" t="inlineStr">
        <is>
          <t>F</t>
        </is>
      </c>
      <c r="AR31" s="602">
        <f>SUM(IF(AN31=AN$5,4,0),IF(AN31&amp;AO31=AN$5&amp;AO$5,1,0),
IF(AND(AN31=AN$5,AO$6&gt;=$D$115),1,0),
IF(AND(AO31=AN$5,AO$6&gt;=$D$115),1,0),
IF(AND(AP31=AN$5,AO$6&gt;=$D$115),1,0),
IF(AN31&amp;AQ31=AR$5,1,0),
IF(AO31=AN$5,2,0),
IF(AP31=AN$5,1,0),
IF(OR(AN31&amp;AO31&amp;AP31=AN$5&amp;AO$5&amp;AP$5,AN31&amp;AO31&amp;AP31=AN$5&amp;AP$5&amp;AO$5,AN31&amp;AO31&amp;AP31=AO$5&amp;AN$5&amp;AP$5,AN31&amp;AO31&amp;AP31=AO$5&amp;AP$5&amp;AN$5,AN31&amp;AO31&amp;AP31=AP$5&amp;AN$5&amp;AO$5,AN31&amp;AO31&amp;AP31=AP$5&amp;AO$5&amp;AN$5),2,0),IF(AND(AN31=AN$5,AO$6&gt;=$D$129),1,0),IF(AND(AO31=AN$5,AO$6&gt;=$D$129),1,0),IF(AND(AP31=AN$5,AO$6&gt;=$D$129),1,0),IF(AN31&amp;AQ31=AQ$5,4,0),IF(AND(AN31=AN$5,AO$6&lt;=$D$104),-0.5,0),IF(AND(AO31=AN$5,AO$6&lt;=$D$104),-0.5,0),IF(AND(AP31=AN$5,AO$6&lt;=$D$104),-0.5,0))</f>
        <v/>
      </c>
      <c r="AS31" s="416" t="n">
        <v>1</v>
      </c>
      <c r="AT31" s="423" t="n">
        <v>2</v>
      </c>
      <c r="AU31" s="423" t="n">
        <v>11</v>
      </c>
      <c r="AV31" s="423" t="n"/>
      <c r="AW31" s="602">
        <f>SUM(IF(AS31=AS$5,4,0),IF(AS31&amp;AT31=AS$5&amp;AT$5,1,0),
IF(AND(AS31=AS$5,AT$6&gt;=$D$115),1,0),
IF(AND(AT31=AS$5,AT$6&gt;=$D$115),1,0),
IF(AND(AU31=AS$5,AT$6&gt;=$D$115),1,0),
IF(AS31&amp;AV31=AW$5,1,0),
IF(AT31=AS$5,2,0),
IF(AU31=AS$5,1,0),
IF(OR(AS31&amp;AT31&amp;AU31=AS$5&amp;AT$5&amp;AU$5,AS31&amp;AT31&amp;AU31=AS$5&amp;AU$5&amp;AT$5,AS31&amp;AT31&amp;AU31=AT$5&amp;AS$5&amp;AU$5,AS31&amp;AT31&amp;AU31=AT$5&amp;AU$5&amp;AS$5,AS31&amp;AT31&amp;AU31=AU$5&amp;AS$5&amp;AT$5,AS31&amp;AT31&amp;AU31=AU$5&amp;AT$5&amp;AS$5),2,0),IF(AND(AS31=AS$5,AT$6&gt;=$D$129),1,0),IF(AND(AT31=AS$5,AT$6&gt;=$D$129),1,0),IF(AND(AU31=AS$5,AT$6&gt;=$D$129),1,0),IF(AS31&amp;AV31=AV$5,4,0),IF(AND(AS31=AS$5,AT$6&lt;=$D$104),-0.5,0),IF(AND(AT31=AS$5,AT$6&lt;=$D$104),-0.5,0),IF(AND(AU31=AS$5,AT$6&lt;=$D$104),-0.5,0))</f>
        <v/>
      </c>
      <c r="AX31" s="416" t="n">
        <v>6</v>
      </c>
      <c r="AY31" s="423" t="n">
        <v>1</v>
      </c>
      <c r="AZ31" s="423" t="n">
        <v>10</v>
      </c>
      <c r="BA31" s="423" t="n"/>
      <c r="BB31" s="602">
        <f>SUM(IF(AX31=AX$5,4,0),IF(AX31&amp;AY31=AX$5&amp;AY$5,1,0),
IF(AND(AX31=AX$5,AY$6&gt;=$D$115),1,0),
IF(AND(AY31=AX$5,AY$6&gt;=$D$115),1,0),
IF(AND(AZ31=AX$5,AY$6&gt;=$D$115),1,0),
IF(AX31&amp;BA31=BB$5,1,0),
IF(AY31=AX$5,2,0),
IF(AZ31=AX$5,1,0),
IF(OR(AX31&amp;AY31&amp;AZ31=AX$5&amp;AY$5&amp;AZ$5,AX31&amp;AY31&amp;AZ31=AX$5&amp;AZ$5&amp;AY$5,AX31&amp;AY31&amp;AZ31=AY$5&amp;AX$5&amp;AZ$5,AX31&amp;AY31&amp;AZ31=AY$5&amp;AZ$5&amp;AX$5,AX31&amp;AY31&amp;AZ31=AZ$5&amp;AX$5&amp;AY$5,AX31&amp;AY31&amp;AZ31=AZ$5&amp;AY$5&amp;AX$5),2,0),IF(AND(AX31=AX$5,AY$6&gt;=$D$129),1,0),IF(AND(AY31=AX$5,AY$6&gt;=$D$129),1,0),IF(AND(AZ31=AX$5,AY$6&gt;=$D$129),1,0),IF(AX31&amp;BA31=BA$5,4,0),IF(AND(AX31=AX$5,AY$6&lt;=$D$104),-0.5,0),IF(AND(AY31=AX$5,AY$6&lt;=$D$104),-0.5,0),IF(AND(AZ31=AX$5,AY$6&lt;=$D$104),-0.5,0))</f>
        <v/>
      </c>
      <c r="BC31" s="416" t="n">
        <v>7</v>
      </c>
      <c r="BD31" s="423" t="n"/>
      <c r="BE31" s="423" t="n"/>
      <c r="BF31" s="423" t="inlineStr">
        <is>
          <t>SF</t>
        </is>
      </c>
      <c r="BG31" s="602">
        <f>SUM(IF(BC31=BC$5,4,0),IF(BC31&amp;BD31=BC$5&amp;BD$5,1,0),
IF(AND(BC31=BC$5,BD$6&gt;=$D$115),1,0),
IF(AND(BD31=BC$5,BD$6&gt;=$D$115),1,0),
IF(AND(BE31=BC$5,BD$6&gt;=$D$115),1,0),
IF(BC31&amp;BF31=BG$5,1,0),
IF(BD31=BC$5,2,0),
IF(BE31=BC$5,1,0),
IF(OR(BC31&amp;BD31&amp;BE31=BC$5&amp;BD$5&amp;BE$5,BC31&amp;BD31&amp;BE31=BC$5&amp;BE$5&amp;BD$5,BC31&amp;BD31&amp;BE31=BD$5&amp;BC$5&amp;BE$5,BC31&amp;BD31&amp;BE31=BD$5&amp;BE$5&amp;BC$5,BC31&amp;BD31&amp;BE31=BE$5&amp;BC$5&amp;BD$5,BC31&amp;BD31&amp;BE31=BE$5&amp;BD$5&amp;BC$5),2,0),IF(AND(BC31=BC$5,BD$6&gt;=$D$129),1,0),IF(AND(BD31=BC$5,BD$6&gt;=$D$129),1,0),IF(AND(BE31=BC$5,BD$6&gt;=$D$129),1,0),IF(BC31&amp;BF31=BF$5,4,0),IF(AND(BC31=BC$5,BD$6&lt;=$D$104),-0.5,0),IF(AND(BD31=BC$5,BD$6&lt;=$D$104),-0.5,0),IF(AND(BE31=BC$5,BD$6&lt;=$D$104),-0.5,0))</f>
        <v/>
      </c>
      <c r="BH31" s="416" t="n">
        <v>6</v>
      </c>
      <c r="BI31" s="423" t="n">
        <v>2</v>
      </c>
      <c r="BJ31" s="423" t="n">
        <v>7</v>
      </c>
      <c r="BK31" s="423" t="n"/>
      <c r="BL31" s="602">
        <f>SUM(IF(BH31=BH$5,4,0),IF(BH31&amp;BI31=BH$5&amp;BI$5,1,0),
IF(AND(BH31=BH$5,BI$6&gt;=$D$115),1,0),
IF(AND(BI31=BH$5,BI$6&gt;=$D$115),1,0),
IF(AND(BJ31=BH$5,BI$6&gt;=$D$115),1,0),
IF(BH31&amp;BK31=BL$5,1,0),
IF(BI31=BH$5,2,0),
IF(BJ31=BH$5,1,0),
IF(OR(BH31&amp;BI31&amp;BJ31=BH$5&amp;BI$5&amp;BJ$5,BH31&amp;BI31&amp;BJ31=BH$5&amp;BJ$5&amp;BI$5,BH31&amp;BI31&amp;BJ31=BI$5&amp;BH$5&amp;BJ$5,BH31&amp;BI31&amp;BJ31=BI$5&amp;BJ$5&amp;BH$5,BH31&amp;BI31&amp;BJ31=BJ$5&amp;BH$5&amp;BI$5,BH31&amp;BI31&amp;BJ31=BJ$5&amp;BI$5&amp;BH$5),2,0),IF(AND(BH31=BH$5,BI$6&gt;=$D$129),1,0),IF(AND(BI31=BH$5,BI$6&gt;=$D$129),1,0),IF(AND(BJ31=BH$5,BI$6&gt;=$D$129),1,0),IF(BH31&amp;BK31=BK$5,4,0),IF(AND(BH31=BH$5,BI$6&lt;=$D$104),-0.5,0),IF(AND(BI31=BH$5,BI$6&lt;=$D$104),-0.5,0),IF(AND(BJ31=BH$5,BI$6&lt;=$D$104),-0.5,0))</f>
        <v/>
      </c>
      <c r="BM31" s="416" t="n">
        <v>4</v>
      </c>
      <c r="BN31" s="423" t="n">
        <v>9</v>
      </c>
      <c r="BO31" s="423" t="n">
        <v>1</v>
      </c>
      <c r="BP31" s="423" t="inlineStr">
        <is>
          <t>F</t>
        </is>
      </c>
      <c r="BQ31" s="602">
        <f>SUM(IF(BM31=BM$5,4,0),IF(BM31&amp;BN31=BM$5&amp;BN$5,1,0),
IF(AND(BM31=BM$5,BN$6&gt;=$D$115),1,0),
IF(AND(BN31=BM$5,BN$6&gt;=$D$115),1,0),
IF(AND(BO31=BM$5,BN$6&gt;=$D$115),1,0),
IF(BM31&amp;BP31=BQ$5,1,0),
IF(BN31=BM$5,2,0),
IF(BO31=BM$5,1,0),
IF(OR(BM31&amp;BN31&amp;BO31=BM$5&amp;BN$5&amp;BO$5,BM31&amp;BN31&amp;BO31=BM$5&amp;BO$5&amp;BN$5,BM31&amp;BN31&amp;BO31=BN$5&amp;BM$5&amp;BO$5,BM31&amp;BN31&amp;BO31=BN$5&amp;BO$5&amp;BM$5,BM31&amp;BN31&amp;BO31=BO$5&amp;BM$5&amp;BN$5,BM31&amp;BN31&amp;BO31=BO$5&amp;BN$5&amp;BM$5),2,0),IF(AND(BM31=BM$5,BN$6&gt;=$D$129),1,0),IF(AND(BN31=BM$5,BN$6&gt;=$D$129),1,0),IF(AND(BO31=BM$5,BN$6&gt;=$D$129),1,0),IF(BM31&amp;BP31=BP$5,4,0),IF(AND(BM31=BM$5,BN$6&lt;=$D$104),-0.5,0),IF(AND(BN31=BM$5,BN$6&lt;=$D$104),-0.5,0),IF(AND(BO31=BM$5,BN$6&lt;=$D$104),-0.5,0))</f>
        <v/>
      </c>
      <c r="BR31" s="416" t="n">
        <v>5</v>
      </c>
      <c r="BS31" s="423" t="n">
        <v>7</v>
      </c>
      <c r="BT31" s="423" t="n">
        <v>2</v>
      </c>
      <c r="BU31" s="423" t="n"/>
      <c r="BV31" s="602">
        <f>SUM(IF(BR31=BR$5,4,0),IF(BR31&amp;BS31=BR$5&amp;BS$5,1,0),
IF(AND(BR31=BR$5,BS$6&gt;=$D$115),1,0),
IF(AND(BS31=BR$5,BS$6&gt;=$D$115),1,0),
IF(AND(BT31=BR$5,BS$6&gt;=$D$115),1,0),
IF(BR31&amp;BU31=BV$5,1,0),
IF(BS31=BR$5,2,0),
IF(BT31=BR$5,1,0),
IF(OR(BR31&amp;BS31&amp;BT31=BR$5&amp;BS$5&amp;BT$5,BR31&amp;BS31&amp;BT31=BR$5&amp;BT$5&amp;BS$5,BR31&amp;BS31&amp;BT31=BS$5&amp;BR$5&amp;BT$5,BR31&amp;BS31&amp;BT31=BS$5&amp;BT$5&amp;BR$5,BR31&amp;BS31&amp;BT31=BT$5&amp;BR$5&amp;BS$5,BR31&amp;BS31&amp;BT31=BT$5&amp;BS$5&amp;BR$5),2,0),IF(AND(BR31=BR$5,BS$6&gt;=$D$129),1,0),IF(AND(BS31=BR$5,BS$6&gt;=$D$129),1,0),IF(AND(BT31=BR$5,BS$6&gt;=$D$129),1,0),IF(BR31&amp;BU31=BU$5,4,0),IF(AND(BR31=BR$5,BS$6&lt;=$D$104),-0.5,0),IF(AND(BS31=BR$5,BS$6&lt;=$D$104),-0.5,0),IF(AND(BT31=BR$5,BS$6&lt;=$D$104),-0.5,0))</f>
        <v/>
      </c>
      <c r="BW31" s="416" t="n"/>
      <c r="BX31" s="423" t="n"/>
      <c r="BY31" s="423" t="n"/>
      <c r="BZ31" s="423" t="n"/>
      <c r="CA31" s="602">
        <f>SUM(IF(BW31=BW$5,4,0),IF(BW31&amp;BX31=BW$5&amp;BX$5,1,0),
IF(AND(BW31=BW$5,BX$6&gt;=$D$115),1,0),
IF(AND(BX31=BW$5,BX$6&gt;=$D$115),1,0),
IF(AND(BY31=BW$5,BX$6&gt;=$D$115),1,0),
IF(BW31&amp;BZ31=CA$5,1,0),
IF(BX31=BW$5,2,0),
IF(BY31=BW$5,1,0),
IF(OR(BW31&amp;BX31&amp;BY31=BW$5&amp;BX$5&amp;BY$5,BW31&amp;BX31&amp;BY31=BW$5&amp;BY$5&amp;BX$5,BW31&amp;BX31&amp;BY31=BX$5&amp;BW$5&amp;BY$5,BW31&amp;BX31&amp;BY31=BX$5&amp;BY$5&amp;BW$5,BW31&amp;BX31&amp;BY31=BY$5&amp;BW$5&amp;BX$5,BW31&amp;BX31&amp;BY31=BY$5&amp;BX$5&amp;BW$5),2,0),IF(AND(BW31=BW$5,BX$6&gt;=$D$129),1,0),IF(AND(BX31=BW$5,BX$6&gt;=$D$129),1,0),IF(AND(BY31=BW$5,BX$6&gt;=$D$129),1,0),IF(BW31&amp;BZ31=BZ$5,4,0),IF(AND(BW31=BW$5,BX$6&lt;=$D$104),-0.5,0),IF(AND(BX31=BW$5,BX$6&lt;=$D$104),-0.5,0),IF(AND(BY31=BW$5,BX$6&lt;=$D$104),-0.5,0))</f>
        <v/>
      </c>
      <c r="CB31" s="416" t="n"/>
      <c r="CC31" s="423" t="n"/>
      <c r="CD31" s="423" t="n"/>
      <c r="CE31" s="423" t="n"/>
      <c r="CF31" s="602">
        <f>SUM(IF(CB31=CB$5,4,0),IF(CB31&amp;CC31=CB$5&amp;CC$5,1,0),
IF(AND(CB31=CB$5,CC$6&gt;=$D$115),1,0),
IF(AND(CC31=CB$5,CC$6&gt;=$D$115),1,0),
IF(AND(CD31=CB$5,CC$6&gt;=$D$115),1,0),
IF(CB31&amp;CE31=CF$5,1,0),
IF(CC31=CB$5,2,0),
IF(CD31=CB$5,1,0),
IF(OR(CB31&amp;CC31&amp;CD31=CB$5&amp;CC$5&amp;CD$5,CB31&amp;CC31&amp;CD31=CB$5&amp;CD$5&amp;CC$5,CB31&amp;CC31&amp;CD31=CC$5&amp;CB$5&amp;CD$5,CB31&amp;CC31&amp;CD31=CC$5&amp;CD$5&amp;CB$5,CB31&amp;CC31&amp;CD31=CD$5&amp;CB$5&amp;CC$5,CB31&amp;CC31&amp;CD31=CD$5&amp;CC$5&amp;CB$5),2,0),IF(AND(CB31=CB$5,CC$6&gt;=$D$129),1,0),IF(AND(CC31=CB$5,CC$6&gt;=$D$129),1,0),IF(AND(CD31=CB$5,CC$6&gt;=$D$129),1,0),IF(CB31&amp;CE31=CE$5,4,0),IF(AND(CB31=CB$5,CC$6&lt;=$D$104),-0.5,0),IF(AND(CC31=CB$5,CC$6&lt;=$D$104),-0.5,0),IF(AND(CD31=CB$5,CC$6&lt;=$D$104),-0.5,0))</f>
        <v/>
      </c>
      <c r="CG31" s="164">
        <f>IF(SEMANA2[[#This Row],[1]]="",0,$B$4)</f>
        <v/>
      </c>
      <c r="CH31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1" s="166">
        <f>IF(SEMANA2[[#This Row],[Columna14]]=0,0,(CH31/CG31))</f>
        <v/>
      </c>
      <c r="CJ31" s="165">
        <f>IF(SEMANA2[[#This Row],[1]]="",0,$B$4)</f>
        <v/>
      </c>
      <c r="CK31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1" s="166">
        <f>IF(SEMANA2[[#This Row],[Columna14]]=0,0,(CK31/CJ31))</f>
        <v/>
      </c>
      <c r="CM31" s="164">
        <f>IF(SEMANA2[[#This Row],[1]]="",0,$B$4)</f>
        <v/>
      </c>
      <c r="CN31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1" s="166">
        <f>IF(SEMANA2[[#This Row],[Columna14]]=0,0,(CN31/CM31))</f>
        <v/>
      </c>
      <c r="CP31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1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Row],[Columna25]],$AX$5,BA31,"SF")+COUNTIFS(SEMANA2[[#This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1" s="166">
        <f>IFERROR(IF(SEMANA2[[#This Row],[Columna14]]=0,0,(CQ31/CP31)),0)</f>
        <v/>
      </c>
      <c r="CS31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1" s="95">
        <f>_xlfn.XLOOKUP(SEMANA2[[#This Row],[COD]],BASE01[COD],BASE01[Columna33])</f>
        <v/>
      </c>
      <c r="CU31" s="604">
        <f>SUM(CS31,CT31)</f>
        <v/>
      </c>
      <c r="CV31" s="450">
        <f>IF(SEMANA2[[#This Row],[TIPO]]="PREMIO",$O$3,"0,00")</f>
        <v/>
      </c>
      <c r="CW31" s="576" t="n"/>
      <c r="CY31" s="392">
        <f>IF(CZ31="","",$CZ$25)</f>
        <v/>
      </c>
      <c r="CZ31" s="392" t="inlineStr">
        <is>
          <t>COD 16</t>
        </is>
      </c>
      <c r="DA31" s="392">
        <f t="array" ref="DA31">IF(CZ31="", "", IF((INDEX(E$8:CE$57, MATCH(CZ31, C$8:C$57, 0), ($CZ$25-1)*5 + 1) &amp; "") = (INDEX(E$5:CE$5, 1, ($CZ$25-1)*5 + 1) &amp; ""), 1, IF((INDEX(E$8:CE$57, MATCH(CZ31, C$8:C$57, 0), ($CZ$25-1)*5 + 2) &amp; "") = (INDEX(E$5:CE$5, 1, ($CZ$25-1)*5 + 1) &amp; ""), 2, IF((INDEX(E$8:CE$57, MATCH(CZ31, C$8:C$57, 0), ($CZ$25-1)*5 + 3) &amp; "") = (INDEX(E$5:CE$5, 1, ($CZ$25-1)*5 + 1) &amp; ""), 3, ""))))</f>
        <v/>
      </c>
      <c r="DB31" s="605">
        <f>SEMANA2[[#This Row],[COD]]</f>
        <v/>
      </c>
      <c r="DC31" s="395">
        <f t="array" ref="DC31">IFERROR(IF(AND(INDEX($E$8:$CE$57, MATCH($C31, $C$8:$C$57, 0), (COLUMNS($DC31:DC31)-1)*5 + 1) = INDEX($E$5:$CE$5, 1, (COLUMNS($DC31:DC31)-1)*5 + 1), INDEX($E$8:$CE$57, MATCH($C31, $C$8:$C$57, 0), (COLUMNS($DC31:DC31)-1)*5 + 4) = "F"), INDEX($CZ$8:$CZ$23, COLUMNS($DC31:DC31)), "0"), "")</f>
        <v/>
      </c>
      <c r="DD31" s="395">
        <f t="array" ref="DD31">IFERROR(IF(AND(INDEX($E$8:$CE$57, MATCH($C31, $C$8:$C$57, 0), (COLUMNS($DC31:DD31)-1)*5 + 1) = INDEX($E$5:$CE$5, 1, (COLUMNS($DC31:DD31)-1)*5 + 1), INDEX($E$8:$CE$57, MATCH($C31, $C$8:$C$57, 0), (COLUMNS($DC31:DD31)-1)*5 + 4) = "F"), INDEX($CZ$8:$CZ$23, COLUMNS($DC31:DD31)), "0"), "")</f>
        <v/>
      </c>
      <c r="DE31" s="395">
        <f t="array" ref="DE31">IFERROR(IF(AND(INDEX($E$8:$CE$57, MATCH($C31, $C$8:$C$57, 0), (COLUMNS($DC31:DE31)-1)*5 + 1) = INDEX($E$5:$CE$5, 1, (COLUMNS($DC31:DE31)-1)*5 + 1), INDEX($E$8:$CE$57, MATCH($C31, $C$8:$C$57, 0), (COLUMNS($DC31:DE31)-1)*5 + 4) = "F"), INDEX($CZ$8:$CZ$23, COLUMNS($DC31:DE31)), "0"), "")</f>
        <v/>
      </c>
      <c r="DF31" s="395">
        <f t="array" ref="DF31">IFERROR(IF(AND(INDEX($E$8:$CE$57, MATCH($C31, $C$8:$C$57, 0), (COLUMNS($DC31:DF31)-1)*5 + 1) = INDEX($E$5:$CE$5, 1, (COLUMNS($DC31:DF31)-1)*5 + 1), INDEX($E$8:$CE$57, MATCH($C31, $C$8:$C$57, 0), (COLUMNS($DC31:DF31)-1)*5 + 4) = "F"), INDEX($CZ$8:$CZ$23, COLUMNS($DC31:DF31)), "0"), "")</f>
        <v/>
      </c>
      <c r="DG31" s="395">
        <f t="array" ref="DG31">IFERROR(IF(AND(INDEX($E$8:$CE$57, MATCH($C31, $C$8:$C$57, 0), (COLUMNS($DC31:DG31)-1)*5 + 1) = INDEX($E$5:$CE$5, 1, (COLUMNS($DC31:DG31)-1)*5 + 1), INDEX($E$8:$CE$57, MATCH($C31, $C$8:$C$57, 0), (COLUMNS($DC31:DG31)-1)*5 + 4) = "F"), INDEX($CZ$8:$CZ$23, COLUMNS($DC31:DG31)), "0"), "")</f>
        <v/>
      </c>
      <c r="DH31" s="395">
        <f t="array" ref="DH31">IFERROR(IF(AND(INDEX($E$8:$CE$57, MATCH($C31, $C$8:$C$57, 0), (COLUMNS($DC31:DH31)-1)*5 + 1) = INDEX($E$5:$CE$5, 1, (COLUMNS($DC31:DH31)-1)*5 + 1), INDEX($E$8:$CE$57, MATCH($C31, $C$8:$C$57, 0), (COLUMNS($DC31:DH31)-1)*5 + 4) = "F"), INDEX($CZ$8:$CZ$23, COLUMNS($DC31:DH31)), "0"), "")</f>
        <v/>
      </c>
      <c r="DI31" s="395">
        <f t="array" ref="DI31">IFERROR(IF(AND(INDEX($E$8:$CE$57, MATCH($C31, $C$8:$C$57, 0), (COLUMNS($DC31:DI31)-1)*5 + 1) = INDEX($E$5:$CE$5, 1, (COLUMNS($DC31:DI31)-1)*5 + 1), INDEX($E$8:$CE$57, MATCH($C31, $C$8:$C$57, 0), (COLUMNS($DC31:DI31)-1)*5 + 4) = "F"), INDEX($CZ$8:$CZ$23, COLUMNS($DC31:DI31)), "0"), "")</f>
        <v/>
      </c>
      <c r="DJ31" s="395">
        <f t="array" ref="DJ31">IFERROR(IF(AND(INDEX($E$8:$CE$57, MATCH($C31, $C$8:$C$57, 0), (COLUMNS($DC31:DJ31)-1)*5 + 1) = INDEX($E$5:$CE$5, 1, (COLUMNS($DC31:DJ31)-1)*5 + 1), INDEX($E$8:$CE$57, MATCH($C31, $C$8:$C$57, 0), (COLUMNS($DC31:DJ31)-1)*5 + 4) = "F"), INDEX($CZ$8:$CZ$23, COLUMNS($DC31:DJ31)), "0"), "")</f>
        <v/>
      </c>
      <c r="DK31" s="395">
        <f t="array" ref="DK31">IFERROR(IF(AND(INDEX($E$8:$CE$57, MATCH($C31, $C$8:$C$57, 0), (COLUMNS($DC31:DK31)-1)*5 + 1) = INDEX($E$5:$CE$5, 1, (COLUMNS($DC31:DK31)-1)*5 + 1), INDEX($E$8:$CE$57, MATCH($C31, $C$8:$C$57, 0), (COLUMNS($DC31:DK31)-1)*5 + 4) = "F"), INDEX($CZ$8:$CZ$23, COLUMNS($DC31:DK31)), "0"), "")</f>
        <v/>
      </c>
      <c r="DL31" s="395">
        <f t="array" ref="DL31">IFERROR(IF(AND(INDEX($E$8:$CE$57, MATCH($C31, $C$8:$C$57, 0), (COLUMNS($DC31:DL31)-1)*5 + 1) = INDEX($E$5:$CE$5, 1, (COLUMNS($DC31:DL31)-1)*5 + 1), INDEX($E$8:$CE$57, MATCH($C31, $C$8:$C$57, 0), (COLUMNS($DC31:DL31)-1)*5 + 4) = "F"), INDEX($CZ$8:$CZ$23, COLUMNS($DC31:DL31)), "0"), "")</f>
        <v/>
      </c>
      <c r="DM31" s="395">
        <f t="array" ref="DM31">IFERROR(IF(AND(INDEX($E$8:$CE$57, MATCH($C31, $C$8:$C$57, 0), (COLUMNS($DC31:DM31)-1)*5 + 1) = INDEX($E$5:$CE$5, 1, (COLUMNS($DC31:DM31)-1)*5 + 1), INDEX($E$8:$CE$57, MATCH($C31, $C$8:$C$57, 0), (COLUMNS($DC31:DM31)-1)*5 + 4) = "F"), INDEX($CZ$8:$CZ$23, COLUMNS($DC31:DM31)), "0"), "")</f>
        <v/>
      </c>
      <c r="DN31" s="395">
        <f t="array" ref="DN31">IFERROR(IF(AND(INDEX($E$8:$CE$57, MATCH($C31, $C$8:$C$57, 0), (COLUMNS($DC31:DN31)-1)*5 + 1) = INDEX($E$5:$CE$5, 1, (COLUMNS($DC31:DN31)-1)*5 + 1), INDEX($E$8:$CE$57, MATCH($C31, $C$8:$C$57, 0), (COLUMNS($DC31:DN31)-1)*5 + 4) = "F"), INDEX($CZ$8:$CZ$23, COLUMNS($DC31:DN31)), "0"), "")</f>
        <v/>
      </c>
      <c r="DO31" s="395">
        <f t="array" ref="DO31">IFERROR(IF(AND(INDEX($E$8:$CE$57, MATCH($C31, $C$8:$C$57, 0), (COLUMNS($DC31:DO31)-1)*5 + 1) = INDEX($E$5:$CE$5, 1, (COLUMNS($DC31:DO31)-1)*5 + 1), INDEX($E$8:$CE$57, MATCH($C31, $C$8:$C$57, 0), (COLUMNS($DC31:DO31)-1)*5 + 4) = "F"), INDEX($CZ$8:$CZ$23, COLUMNS($DC31:DO31)), "0"), "")</f>
        <v/>
      </c>
      <c r="DP31" s="395">
        <f t="array" ref="DP31">IFERROR(IF(AND(INDEX($E$8:$CE$57, MATCH($C31, $C$8:$C$57, 0), (COLUMNS($DC31:DP31)-1)*5 + 1) = INDEX($E$5:$CE$5, 1, (COLUMNS($DC31:DP31)-1)*5 + 1), INDEX($E$8:$CE$57, MATCH($C31, $C$8:$C$57, 0), (COLUMNS($DC31:DP31)-1)*5 + 4) = "F"), INDEX($CZ$8:$CZ$23, COLUMNS($DC31:DP31)), "0"), "")</f>
        <v/>
      </c>
      <c r="DQ31" s="395">
        <f t="array" ref="DQ31">IFERROR(IF(AND(INDEX($E$8:$CE$57, MATCH($C31, $C$8:$C$57, 0), (COLUMNS($DC31:DQ31)-1)*5 + 1) = INDEX($E$5:$CE$5, 1, (COLUMNS($DC31:DQ31)-1)*5 + 1), INDEX($E$8:$CE$57, MATCH($C31, $C$8:$C$57, 0), (COLUMNS($DC31:DQ31)-1)*5 + 4) = "F"), INDEX($CZ$8:$CZ$23, COLUMNS($DC31:DQ31)), "0"), "")</f>
        <v/>
      </c>
      <c r="DR31" s="395">
        <f t="array" ref="DR31">IFERROR(IF(AND(INDEX($E$8:$CE$57, MATCH($C31, $C$8:$C$57, 0), (COLUMNS($DC31:DR31)-1)*5 + 1) = INDEX($E$5:$CE$5, 1, (COLUMNS($DC31:DR31)-1)*5 + 1), INDEX($E$8:$CE$57, MATCH($C31, $C$8:$C$57, 0), (COLUMNS($DC31:DR31)-1)*5 + 4) = "F"), INDEX($CZ$8:$CZ$23, COLUMNS($DC31:DR31)), "0"), "")</f>
        <v/>
      </c>
      <c r="DT31" s="605">
        <f>SEMANA2[[#This Row],[COD]]</f>
        <v/>
      </c>
      <c r="DU31" s="395">
        <f t="array" ref="DU31">IFERROR(IF(AND(INDEX($E$8:$CE$57, MATCH($C31, $C$8:$C$57, 0), (COLUMNS($DU31:DU31)-1)*5 + 1) = INDEX($E$5:$CE$5, 1, (COLUMNS($DU31:DU31)-1)*5 + 1), INDEX($E$8:$CE$57, MATCH($C31, $C$8:$C$57, 0), (COLUMNS($DU31:DU31)-1)*5 + 4) = "SF"), INDEX($CZ$8:$CZ$23, COLUMNS($DU31:DU31)), "0"), "")</f>
        <v/>
      </c>
      <c r="DV31" s="395">
        <f t="array" ref="DV31">IFERROR(IF(AND(INDEX($E$8:$CE$57, MATCH($C31, $C$8:$C$57, 0), (COLUMNS($DU31:DV31)-1)*5 + 1) = INDEX($E$5:$CE$5, 1, (COLUMNS($DU31:DV31)-1)*5 + 1), INDEX($E$8:$CE$57, MATCH($C31, $C$8:$C$57, 0), (COLUMNS($DU31:DV31)-1)*5 + 4) = "SF"), INDEX($CZ$8:$CZ$23, COLUMNS($DU31:DV31)), "0"), "")</f>
        <v/>
      </c>
      <c r="DW31" s="395">
        <f t="array" ref="DW31">IFERROR(IF(AND(INDEX($E$8:$CE$57, MATCH($C31, $C$8:$C$57, 0), (COLUMNS($DU31:DW31)-1)*5 + 1) = INDEX($E$5:$CE$5, 1, (COLUMNS($DU31:DW31)-1)*5 + 1), INDEX($E$8:$CE$57, MATCH($C31, $C$8:$C$57, 0), (COLUMNS($DU31:DW31)-1)*5 + 4) = "SF"), INDEX($CZ$8:$CZ$23, COLUMNS($DU31:DW31)), "0"), "")</f>
        <v/>
      </c>
      <c r="DX31" s="395">
        <f t="array" ref="DX31">IFERROR(IF(AND(INDEX($E$8:$CE$57, MATCH($C31, $C$8:$C$57, 0), (COLUMNS($DU31:DX31)-1)*5 + 1) = INDEX($E$5:$CE$5, 1, (COLUMNS($DU31:DX31)-1)*5 + 1), INDEX($E$8:$CE$57, MATCH($C31, $C$8:$C$57, 0), (COLUMNS($DU31:DX31)-1)*5 + 4) = "SF"), INDEX($CZ$8:$CZ$23, COLUMNS($DU31:DX31)), "0"), "")</f>
        <v/>
      </c>
      <c r="DY31" s="395">
        <f t="array" ref="DY31">IFERROR(IF(AND(INDEX($E$8:$CE$57, MATCH($C31, $C$8:$C$57, 0), (COLUMNS($DU31:DY31)-1)*5 + 1) = INDEX($E$5:$CE$5, 1, (COLUMNS($DU31:DY31)-1)*5 + 1), INDEX($E$8:$CE$57, MATCH($C31, $C$8:$C$57, 0), (COLUMNS($DU31:DY31)-1)*5 + 4) = "SF"), INDEX($CZ$8:$CZ$23, COLUMNS($DU31:DY31)), "0"), "")</f>
        <v/>
      </c>
      <c r="DZ31" s="395">
        <f t="array" ref="DZ31">IFERROR(IF(AND(INDEX($E$8:$CE$57, MATCH($C31, $C$8:$C$57, 0), (COLUMNS($DU31:DZ31)-1)*5 + 1) = INDEX($E$5:$CE$5, 1, (COLUMNS($DU31:DZ31)-1)*5 + 1), INDEX($E$8:$CE$57, MATCH($C31, $C$8:$C$57, 0), (COLUMNS($DU31:DZ31)-1)*5 + 4) = "SF"), INDEX($CZ$8:$CZ$23, COLUMNS($DU31:DZ31)), "0"), "")</f>
        <v/>
      </c>
      <c r="EA31" s="395">
        <f t="array" ref="EA31">IFERROR(IF(AND(INDEX($E$8:$CE$57, MATCH($C31, $C$8:$C$57, 0), (COLUMNS($DU31:EA31)-1)*5 + 1) = INDEX($E$5:$CE$5, 1, (COLUMNS($DU31:EA31)-1)*5 + 1), INDEX($E$8:$CE$57, MATCH($C31, $C$8:$C$57, 0), (COLUMNS($DU31:EA31)-1)*5 + 4) = "SF"), INDEX($CZ$8:$CZ$23, COLUMNS($DU31:EA31)), "0"), "")</f>
        <v/>
      </c>
      <c r="EB31" s="395">
        <f t="array" ref="EB31">IFERROR(IF(AND(INDEX($E$8:$CE$57, MATCH($C31, $C$8:$C$57, 0), (COLUMNS($DU31:EB31)-1)*5 + 1) = INDEX($E$5:$CE$5, 1, (COLUMNS($DU31:EB31)-1)*5 + 1), INDEX($E$8:$CE$57, MATCH($C31, $C$8:$C$57, 0), (COLUMNS($DU31:EB31)-1)*5 + 4) = "SF"), INDEX($CZ$8:$CZ$23, COLUMNS($DU31:EB31)), "0"), "")</f>
        <v/>
      </c>
      <c r="EC31" s="395">
        <f t="array" ref="EC31">IFERROR(IF(AND(INDEX($E$8:$CE$57, MATCH($C31, $C$8:$C$57, 0), (COLUMNS($DU31:EC31)-1)*5 + 1) = INDEX($E$5:$CE$5, 1, (COLUMNS($DU31:EC31)-1)*5 + 1), INDEX($E$8:$CE$57, MATCH($C31, $C$8:$C$57, 0), (COLUMNS($DU31:EC31)-1)*5 + 4) = "SF"), INDEX($CZ$8:$CZ$23, COLUMNS($DU31:EC31)), "0"), "")</f>
        <v/>
      </c>
      <c r="ED31" s="395">
        <f t="array" ref="ED31">IFERROR(IF(AND(INDEX($E$8:$CE$57, MATCH($C31, $C$8:$C$57, 0), (COLUMNS($DU31:ED31)-1)*5 + 1) = INDEX($E$5:$CE$5, 1, (COLUMNS($DU31:ED31)-1)*5 + 1), INDEX($E$8:$CE$57, MATCH($C31, $C$8:$C$57, 0), (COLUMNS($DU31:ED31)-1)*5 + 4) = "SF"), INDEX($CZ$8:$CZ$23, COLUMNS($DU31:ED31)), "0"), "")</f>
        <v/>
      </c>
      <c r="EE31" s="395">
        <f t="array" ref="EE31">IFERROR(IF(AND(INDEX($E$8:$CE$57, MATCH($C31, $C$8:$C$57, 0), (COLUMNS($DU31:EE31)-1)*5 + 1) = INDEX($E$5:$CE$5, 1, (COLUMNS($DU31:EE31)-1)*5 + 1), INDEX($E$8:$CE$57, MATCH($C31, $C$8:$C$57, 0), (COLUMNS($DU31:EE31)-1)*5 + 4) = "SF"), INDEX($CZ$8:$CZ$23, COLUMNS($DU31:EE31)), "0"), "")</f>
        <v/>
      </c>
      <c r="EF31" s="395">
        <f t="array" ref="EF31">IFERROR(IF(AND(INDEX($E$8:$CE$57, MATCH($C31, $C$8:$C$57, 0), (COLUMNS($DU31:EF31)-1)*5 + 1) = INDEX($E$5:$CE$5, 1, (COLUMNS($DU31:EF31)-1)*5 + 1), INDEX($E$8:$CE$57, MATCH($C31, $C$8:$C$57, 0), (COLUMNS($DU31:EF31)-1)*5 + 4) = "SF"), INDEX($CZ$8:$CZ$23, COLUMNS($DU31:EF31)), "0"), "")</f>
        <v/>
      </c>
      <c r="EG31" s="395">
        <f t="array" ref="EG31">IFERROR(IF(AND(INDEX($E$8:$CE$57, MATCH($C31, $C$8:$C$57, 0), (COLUMNS($DU31:EG31)-1)*5 + 1) = INDEX($E$5:$CE$5, 1, (COLUMNS($DU31:EG31)-1)*5 + 1), INDEX($E$8:$CE$57, MATCH($C31, $C$8:$C$57, 0), (COLUMNS($DU31:EG31)-1)*5 + 4) = "SF"), INDEX($CZ$8:$CZ$23, COLUMNS($DU31:EG31)), "0"), "")</f>
        <v/>
      </c>
      <c r="EH31" s="395">
        <f t="array" ref="EH31">IFERROR(IF(AND(INDEX($E$8:$CE$57, MATCH($C31, $C$8:$C$57, 0), (COLUMNS($DU31:EH31)-1)*5 + 1) = INDEX($E$5:$CE$5, 1, (COLUMNS($DU31:EH31)-1)*5 + 1), INDEX($E$8:$CE$57, MATCH($C31, $C$8:$C$57, 0), (COLUMNS($DU31:EH31)-1)*5 + 4) = "SF"), INDEX($CZ$8:$CZ$23, COLUMNS($DU31:EH31)), "0"), "")</f>
        <v/>
      </c>
      <c r="EI31" s="395">
        <f t="array" ref="EI31">IFERROR(IF(AND(INDEX($E$8:$CE$57, MATCH($C31, $C$8:$C$57, 0), (COLUMNS($DU31:EI31)-1)*5 + 1) = INDEX($E$5:$CE$5, 1, (COLUMNS($DU31:EI31)-1)*5 + 1), INDEX($E$8:$CE$57, MATCH($C31, $C$8:$C$57, 0), (COLUMNS($DU31:EI31)-1)*5 + 4) = "SF"), INDEX($CZ$8:$CZ$23, COLUMNS($DU31:EI31)), "0"), "")</f>
        <v/>
      </c>
      <c r="EJ31" s="395">
        <f t="array" ref="EJ31">IFERROR(IF(AND(INDEX($E$8:$CE$57, MATCH($C31, $C$8:$C$57, 0), (COLUMNS($DU31:EJ31)-1)*5 + 1) = INDEX($E$5:$CE$5, 1, (COLUMNS($DU31:EJ31)-1)*5 + 1), INDEX($E$8:$CE$57, MATCH($C31, $C$8:$C$57, 0), (COLUMNS($DU31:EJ31)-1)*5 + 4) = "SF"), INDEX($CZ$8:$CZ$23, COLUMNS($DU31:EJ31)), "0"), "")</f>
        <v/>
      </c>
    </row>
    <row r="32" ht="19.5" customHeight="1" s="568">
      <c r="A32" s="576" t="n"/>
      <c r="B32" s="449">
        <f>IF(SEMANA2[[#This Row],[COD]]&lt;&gt;"",B31+1,"")</f>
        <v/>
      </c>
      <c r="C32" s="622" t="inlineStr">
        <is>
          <t>COD 25</t>
        </is>
      </c>
      <c r="D32" s="415">
        <f t="array" ref="D32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2" s="416" t="n">
        <v>9</v>
      </c>
      <c r="F32" s="418" t="n"/>
      <c r="G32" s="418" t="n"/>
      <c r="H32" s="418" t="inlineStr">
        <is>
          <t>SF</t>
        </is>
      </c>
      <c r="I32" s="602">
        <f>SUM(IF(E32=E$5,4,0),IF(E32&amp;F32=E$5&amp;F$5,1,0),
IF(AND(E32=E$5,F$6&gt;=$D$115),1,0),
IF(AND(F32=E$5,F$6&gt;=$D$115),1,0),
IF(AND(G32=E$5,F$6&gt;=$D$115),1,0),
IF(E32&amp;H32=I$5,1,0),
IF(F32=E$5,2,0),
IF(G32=E$5,1,0),
IF(OR(E32&amp;F32&amp;G32=E$5&amp;F$5&amp;G$5,E32&amp;F32&amp;G32=E$5&amp;G$5&amp;F$5,E32&amp;F32&amp;G32=F$5&amp;E$5&amp;G$5,E32&amp;F32&amp;G32=F$5&amp;G$5&amp;E$5,E32&amp;F32&amp;G32=G$5&amp;E$5&amp;F$5,E32&amp;F32&amp;G32=G$5&amp;F$5&amp;E$5),2,0),IF(AND(E32=E$5,F$6&gt;=$D$129),1,0),IF(AND(F32=E$5,F$6&gt;=$D$129),1,0),IF(AND(G32=E$5,F$6&gt;=$D$129),1,0),IF(E32&amp;H32=H$5,4,0),IF(AND(E32=E$5,F$6&lt;=$D$104),-0.5,0),IF(AND(F32=E$5,F$6&lt;=$D$104),-0.5,0),IF(AND(G32=E$5,F$6&lt;=$D$104),-0.5,0))</f>
        <v/>
      </c>
      <c r="J32" s="416" t="n">
        <v>1</v>
      </c>
      <c r="K32" s="418" t="n">
        <v>7</v>
      </c>
      <c r="L32" s="418" t="n">
        <v>5</v>
      </c>
      <c r="M32" s="418" t="n"/>
      <c r="N32" s="602">
        <f>SUM(IF(J32=J$5,4,0),IF(J32&amp;K32=J$5&amp;K$5,1,0),
IF(AND(J32=J$5,K$6&gt;=$D$115),1,0),
IF(AND(K32=J$5,K$6&gt;=$D$115),1,0),
IF(AND(L32=J$5,K$6&gt;=$D$115),1,0),
IF(J32&amp;M32=N$5,1,0),
IF(K32=J$5,2,0),
IF(L32=J$5,1,0),
IF(OR(J32&amp;K32&amp;L32=J$5&amp;K$5&amp;L$5,J32&amp;K32&amp;L32=J$5&amp;L$5&amp;K$5,J32&amp;K32&amp;L32=K$5&amp;J$5&amp;L$5,J32&amp;K32&amp;L32=K$5&amp;L$5&amp;J$5,J32&amp;K32&amp;L32=L$5&amp;J$5&amp;K$5,J32&amp;K32&amp;L32=L$5&amp;K$5&amp;J$5),2,0),IF(AND(J32=J$5,K$6&gt;=$D$129),1,0),IF(AND(K32=J$5,K$6&gt;=$D$129),1,0),IF(AND(L32=J$5,K$6&gt;=$D$129),1,0),IF(J32&amp;M32=M$5,4,0),IF(AND(J32=J$5,K$6&lt;=$D$104),-0.5,0),IF(AND(K32=J$5,K$6&lt;=$D$104),-0.5,0),IF(AND(L32=J$5,K$6&lt;=$D$104),-0.5,0))</f>
        <v/>
      </c>
      <c r="O32" s="416" t="n">
        <v>5</v>
      </c>
      <c r="P32" s="418" t="n">
        <v>1</v>
      </c>
      <c r="Q32" s="418" t="n">
        <v>3</v>
      </c>
      <c r="R32" s="418" t="inlineStr">
        <is>
          <t>F</t>
        </is>
      </c>
      <c r="S32" s="602">
        <f>SUM(IF(O32=O$5,4,0),IF(O32&amp;P32=O$5&amp;P$5,1,0),
IF(AND(O32=O$5,P$6&gt;=$D$115),1,0),
IF(AND(P32=O$5,P$6&gt;=$D$115),1,0),
IF(AND(Q32=O$5,P$6&gt;=$D$115),1,0),
IF(O32&amp;R32=S$5,1,0),
IF(P32=O$5,2,0),
IF(Q32=O$5,1,0),
IF(OR(O32&amp;P32&amp;Q32=O$5&amp;P$5&amp;Q$5,O32&amp;P32&amp;Q32=O$5&amp;Q$5&amp;P$5,O32&amp;P32&amp;Q32=P$5&amp;O$5&amp;Q$5,O32&amp;P32&amp;Q32=P$5&amp;Q$5&amp;O$5,O32&amp;P32&amp;Q32=Q$5&amp;O$5&amp;P$5,O32&amp;P32&amp;Q32=Q$5&amp;P$5&amp;O$5),2,0),IF(AND(O32=O$5,P$6&gt;=$D$129),1,0),IF(AND(P32=O$5,P$6&gt;=$D$129),1,0),IF(AND(Q32=O$5,P$6&gt;=$D$129),1,0),IF(O32&amp;R32=R$5,4,0),IF(AND(O32=O$5,P$6&lt;=$D$104),-0.5,0),IF(AND(P32=O$5,P$6&lt;=$D$104),-0.5,0),IF(AND(Q32=O$5,P$6&lt;=$D$104),-0.5,0))</f>
        <v/>
      </c>
      <c r="T32" s="416" t="n">
        <v>5</v>
      </c>
      <c r="U32" s="418" t="n">
        <v>1</v>
      </c>
      <c r="V32" s="418" t="n">
        <v>3</v>
      </c>
      <c r="W32" s="418" t="n"/>
      <c r="X32" s="602">
        <f>SUM(IF(T32=T$5,4,0),IF(T32&amp;U32=T$5&amp;U$5,1,0),
IF(AND(T32=T$5,U$6&gt;=$D$115),1,0),
IF(AND(U32=T$5,U$6&gt;=$D$115),1,0),
IF(AND(V32=T$5,U$6&gt;=$D$115),1,0),
IF(T32&amp;W32=X$5,1,0),
IF(U32=T$5,2,0),
IF(V32=T$5,1,0),
IF(OR(T32&amp;U32&amp;V32=T$5&amp;U$5&amp;V$5,T32&amp;U32&amp;V32=T$5&amp;V$5&amp;U$5,T32&amp;U32&amp;V32=U$5&amp;T$5&amp;V$5,T32&amp;U32&amp;V32=U$5&amp;V$5&amp;T$5,T32&amp;U32&amp;V32=V$5&amp;T$5&amp;U$5,T32&amp;U32&amp;V32=V$5&amp;U$5&amp;T$5),2,0),IF(AND(T32=T$5,U$6&gt;=$D$129),1,0),IF(AND(U32=T$5,U$6&gt;=$D$129),1,0),IF(AND(V32=T$5,U$6&gt;=$D$129),1,0),IF(T32&amp;W32=W$5,4,0),IF(AND(T32=T$5,U$6&lt;=$D$104),-0.5,0),IF(AND(U32=T$5,U$6&lt;=$D$104),-0.5,0),IF(AND(V32=T$5,U$6&lt;=$D$104),-0.5,0))</f>
        <v/>
      </c>
      <c r="Y32" s="416" t="n">
        <v>5</v>
      </c>
      <c r="Z32" s="418" t="n">
        <v>2</v>
      </c>
      <c r="AA32" s="418" t="n">
        <v>1</v>
      </c>
      <c r="AB32" s="418" t="n"/>
      <c r="AC32" s="602">
        <f>SUM(IF(Y32=Y$5,4,0),IF(Y32&amp;Z32=Y$5&amp;Z$5,1,0),
IF(AND(Y32=Y$5,Z$6&gt;=$D$115),1,0),
IF(AND(Z32=Y$5,Z$6&gt;=$D$115),1,0),
IF(AND(AA32=Y$5,Z$6&gt;=$D$115),1,0),
IF(Y32&amp;AB32=AC$5,1,0),
IF(Z32=Y$5,2,0),
IF(AA32=Y$5,1,0),
IF(OR(Y32&amp;Z32&amp;AA32=Y$5&amp;Z$5&amp;AA$5,Y32&amp;Z32&amp;AA32=Y$5&amp;AA$5&amp;Z$5,Y32&amp;Z32&amp;AA32=Z$5&amp;Y$5&amp;AA$5,Y32&amp;Z32&amp;AA32=Z$5&amp;AA$5&amp;Y$5,Y32&amp;Z32&amp;AA32=AA$5&amp;Y$5&amp;Z$5,Y32&amp;Z32&amp;AA32=AA$5&amp;Z$5&amp;Y$5),2,0),IF(AND(Y32=Y$5,Z$6&gt;=$D$129),1,0),IF(AND(Z32=Y$5,Z$6&gt;=$D$129),1,0),IF(AND(AA32=Y$5,Z$6&gt;=$D$129),1,0),IF(Y32&amp;AB32=AB$5,4,0),IF(AND(Y32=Y$5,Z$6&lt;=$D$104),-0.5,0),IF(AND(Z32=Y$5,Z$6&lt;=$D$104),-0.5,0),IF(AND(AA32=Y$5,Z$6&lt;=$D$104),-0.5,0))</f>
        <v/>
      </c>
      <c r="AD32" s="416" t="n">
        <v>5</v>
      </c>
      <c r="AE32" s="418" t="n">
        <v>8</v>
      </c>
      <c r="AF32" s="418" t="n">
        <v>10</v>
      </c>
      <c r="AG32" s="418" t="n"/>
      <c r="AH32" s="602">
        <f>SUM(IF(AD32=AD$5,4,0),IF(AD32&amp;AE32=AD$5&amp;AE$5,1,0),
IF(AND(AD32=AD$5,AE$6&gt;=$D$115),1,0),
IF(AND(AE32=AD$5,AE$6&gt;=$D$115),1,0),
IF(AND(AF32=AD$5,AE$6&gt;=$D$115),1,0),
IF(AD32&amp;AG32=AH$5,1,0),
IF(AE32=AD$5,2,0),
IF(AF32=AD$5,1,0),
IF(OR(AD32&amp;AE32&amp;AF32=AD$5&amp;AE$5&amp;AF$5,AD32&amp;AE32&amp;AF32=AD$5&amp;AF$5&amp;AE$5,AD32&amp;AE32&amp;AF32=AE$5&amp;AD$5&amp;AF$5,AD32&amp;AE32&amp;AF32=AE$5&amp;AF$5&amp;AD$5,AD32&amp;AE32&amp;AF32=AF$5&amp;AD$5&amp;AE$5,AD32&amp;AE32&amp;AF32=AF$5&amp;AE$5&amp;AD$5),2,0),IF(AND(AD32=AD$5,AE$6&gt;=$D$129),1,0),IF(AND(AE32=AD$5,AE$6&gt;=$D$129),1,0),IF(AND(AF32=AD$5,AE$6&gt;=$D$129),1,0),IF(AD32&amp;AG32=AG$5,4,0),IF(AND(AD32=AD$5,AE$6&lt;=$D$104),-0.5,0),IF(AND(AE32=AD$5,AE$6&lt;=$D$104),-0.5,0),IF(AND(AF32=AD$5,AE$6&lt;=$D$104),-0.5,0))</f>
        <v/>
      </c>
      <c r="AI32" s="416" t="n">
        <v>2</v>
      </c>
      <c r="AJ32" s="418" t="n">
        <v>6</v>
      </c>
      <c r="AK32" s="418" t="n">
        <v>7</v>
      </c>
      <c r="AL32" s="418" t="n"/>
      <c r="AM32" s="602">
        <f>SUM(IF(AI32=AI$5,4,0),IF(AI32&amp;AJ32=AI$5&amp;AJ$5,1,0),
IF(AND(AI32=AI$5,AJ$6&gt;=$D$115),1,0),
IF(AND(AJ32=AI$5,AJ$6&gt;=$D$115),1,0),
IF(AND(AK32=AI$5,AJ$6&gt;=$D$115),1,0),
IF(AI32&amp;AL32=AM$5,1,0),
IF(AJ32=AI$5,2,0),
IF(AK32=AI$5,1,0),
IF(OR(AI32&amp;AJ32&amp;AK32=AI$5&amp;AJ$5&amp;AK$5,AI32&amp;AJ32&amp;AK32=AI$5&amp;AK$5&amp;AJ$5,AI32&amp;AJ32&amp;AK32=AJ$5&amp;AI$5&amp;AK$5,AI32&amp;AJ32&amp;AK32=AJ$5&amp;AK$5&amp;AI$5,AI32&amp;AJ32&amp;AK32=AK$5&amp;AI$5&amp;AJ$5,AI32&amp;AJ32&amp;AK32=AK$5&amp;AJ$5&amp;AI$5),2,0),IF(AND(AI32=AI$5,AJ$6&gt;=$D$129),1,0),IF(AND(AJ32=AI$5,AJ$6&gt;=$D$129),1,0),IF(AND(AK32=AI$5,AJ$6&gt;=$D$129),1,0),IF(AI32&amp;AL32=AL$5,4,0),IF(AND(AI32=AI$5,AJ$6&lt;=$D$104),-0.5,0),IF(AND(AJ32=AI$5,AJ$6&lt;=$D$104),-0.5,0),IF(AND(AK32=AI$5,AJ$6&lt;=$D$104),-0.5,0))</f>
        <v/>
      </c>
      <c r="AN32" s="416" t="n">
        <v>8</v>
      </c>
      <c r="AO32" s="418" t="n">
        <v>1</v>
      </c>
      <c r="AP32" s="418" t="n">
        <v>4</v>
      </c>
      <c r="AQ32" s="418" t="n"/>
      <c r="AR32" s="602">
        <f>SUM(IF(AN32=AN$5,4,0),IF(AN32&amp;AO32=AN$5&amp;AO$5,1,0),
IF(AND(AN32=AN$5,AO$6&gt;=$D$115),1,0),
IF(AND(AO32=AN$5,AO$6&gt;=$D$115),1,0),
IF(AND(AP32=AN$5,AO$6&gt;=$D$115),1,0),
IF(AN32&amp;AQ32=AR$5,1,0),
IF(AO32=AN$5,2,0),
IF(AP32=AN$5,1,0),
IF(OR(AN32&amp;AO32&amp;AP32=AN$5&amp;AO$5&amp;AP$5,AN32&amp;AO32&amp;AP32=AN$5&amp;AP$5&amp;AO$5,AN32&amp;AO32&amp;AP32=AO$5&amp;AN$5&amp;AP$5,AN32&amp;AO32&amp;AP32=AO$5&amp;AP$5&amp;AN$5,AN32&amp;AO32&amp;AP32=AP$5&amp;AN$5&amp;AO$5,AN32&amp;AO32&amp;AP32=AP$5&amp;AO$5&amp;AN$5),2,0),IF(AND(AN32=AN$5,AO$6&gt;=$D$129),1,0),IF(AND(AO32=AN$5,AO$6&gt;=$D$129),1,0),IF(AND(AP32=AN$5,AO$6&gt;=$D$129),1,0),IF(AN32&amp;AQ32=AQ$5,4,0),IF(AND(AN32=AN$5,AO$6&lt;=$D$104),-0.5,0),IF(AND(AO32=AN$5,AO$6&lt;=$D$104),-0.5,0),IF(AND(AP32=AN$5,AO$6&lt;=$D$104),-0.5,0))</f>
        <v/>
      </c>
      <c r="AS32" s="416" t="n">
        <v>1</v>
      </c>
      <c r="AT32" s="418" t="n">
        <v>2</v>
      </c>
      <c r="AU32" s="418" t="n">
        <v>11</v>
      </c>
      <c r="AV32" s="418" t="n"/>
      <c r="AW32" s="602">
        <f>SUM(IF(AS32=AS$5,4,0),IF(AS32&amp;AT32=AS$5&amp;AT$5,1,0),
IF(AND(AS32=AS$5,AT$6&gt;=$D$115),1,0),
IF(AND(AT32=AS$5,AT$6&gt;=$D$115),1,0),
IF(AND(AU32=AS$5,AT$6&gt;=$D$115),1,0),
IF(AS32&amp;AV32=AW$5,1,0),
IF(AT32=AS$5,2,0),
IF(AU32=AS$5,1,0),
IF(OR(AS32&amp;AT32&amp;AU32=AS$5&amp;AT$5&amp;AU$5,AS32&amp;AT32&amp;AU32=AS$5&amp;AU$5&amp;AT$5,AS32&amp;AT32&amp;AU32=AT$5&amp;AS$5&amp;AU$5,AS32&amp;AT32&amp;AU32=AT$5&amp;AU$5&amp;AS$5,AS32&amp;AT32&amp;AU32=AU$5&amp;AS$5&amp;AT$5,AS32&amp;AT32&amp;AU32=AU$5&amp;AT$5&amp;AS$5),2,0),IF(AND(AS32=AS$5,AT$6&gt;=$D$129),1,0),IF(AND(AT32=AS$5,AT$6&gt;=$D$129),1,0),IF(AND(AU32=AS$5,AT$6&gt;=$D$129),1,0),IF(AS32&amp;AV32=AV$5,4,0),IF(AND(AS32=AS$5,AT$6&lt;=$D$104),-0.5,0),IF(AND(AT32=AS$5,AT$6&lt;=$D$104),-0.5,0),IF(AND(AU32=AS$5,AT$6&lt;=$D$104),-0.5,0))</f>
        <v/>
      </c>
      <c r="AX32" s="416" t="n">
        <v>1</v>
      </c>
      <c r="AY32" s="418" t="n">
        <v>10</v>
      </c>
      <c r="AZ32" s="418" t="n">
        <v>2</v>
      </c>
      <c r="BA32" s="418" t="n"/>
      <c r="BB32" s="602">
        <f>SUM(IF(AX32=AX$5,4,0),IF(AX32&amp;AY32=AX$5&amp;AY$5,1,0),
IF(AND(AX32=AX$5,AY$6&gt;=$D$115),1,0),
IF(AND(AY32=AX$5,AY$6&gt;=$D$115),1,0),
IF(AND(AZ32=AX$5,AY$6&gt;=$D$115),1,0),
IF(AX32&amp;BA32=BB$5,1,0),
IF(AY32=AX$5,2,0),
IF(AZ32=AX$5,1,0),
IF(OR(AX32&amp;AY32&amp;AZ32=AX$5&amp;AY$5&amp;AZ$5,AX32&amp;AY32&amp;AZ32=AX$5&amp;AZ$5&amp;AY$5,AX32&amp;AY32&amp;AZ32=AY$5&amp;AX$5&amp;AZ$5,AX32&amp;AY32&amp;AZ32=AY$5&amp;AZ$5&amp;AX$5,AX32&amp;AY32&amp;AZ32=AZ$5&amp;AX$5&amp;AY$5,AX32&amp;AY32&amp;AZ32=AZ$5&amp;AY$5&amp;AX$5),2,0),IF(AND(AX32=AX$5,AY$6&gt;=$D$129),1,0),IF(AND(AY32=AX$5,AY$6&gt;=$D$129),1,0),IF(AND(AZ32=AX$5,AY$6&gt;=$D$129),1,0),IF(AX32&amp;BA32=BA$5,4,0),IF(AND(AX32=AX$5,AY$6&lt;=$D$104),-0.5,0),IF(AND(AY32=AX$5,AY$6&lt;=$D$104),-0.5,0),IF(AND(AZ32=AX$5,AY$6&lt;=$D$104),-0.5,0))</f>
        <v/>
      </c>
      <c r="BC32" s="416" t="n">
        <v>7</v>
      </c>
      <c r="BD32" s="418" t="n">
        <v>5</v>
      </c>
      <c r="BE32" s="418" t="n">
        <v>6</v>
      </c>
      <c r="BF32" s="418" t="inlineStr">
        <is>
          <t>F</t>
        </is>
      </c>
      <c r="BG32" s="602">
        <f>SUM(IF(BC32=BC$5,4,0),IF(BC32&amp;BD32=BC$5&amp;BD$5,1,0),
IF(AND(BC32=BC$5,BD$6&gt;=$D$115),1,0),
IF(AND(BD32=BC$5,BD$6&gt;=$D$115),1,0),
IF(AND(BE32=BC$5,BD$6&gt;=$D$115),1,0),
IF(BC32&amp;BF32=BG$5,1,0),
IF(BD32=BC$5,2,0),
IF(BE32=BC$5,1,0),
IF(OR(BC32&amp;BD32&amp;BE32=BC$5&amp;BD$5&amp;BE$5,BC32&amp;BD32&amp;BE32=BC$5&amp;BE$5&amp;BD$5,BC32&amp;BD32&amp;BE32=BD$5&amp;BC$5&amp;BE$5,BC32&amp;BD32&amp;BE32=BD$5&amp;BE$5&amp;BC$5,BC32&amp;BD32&amp;BE32=BE$5&amp;BC$5&amp;BD$5,BC32&amp;BD32&amp;BE32=BE$5&amp;BD$5&amp;BC$5),2,0),IF(AND(BC32=BC$5,BD$6&gt;=$D$129),1,0),IF(AND(BD32=BC$5,BD$6&gt;=$D$129),1,0),IF(AND(BE32=BC$5,BD$6&gt;=$D$129),1,0),IF(BC32&amp;BF32=BF$5,4,0),IF(AND(BC32=BC$5,BD$6&lt;=$D$104),-0.5,0),IF(AND(BD32=BC$5,BD$6&lt;=$D$104),-0.5,0),IF(AND(BE32=BC$5,BD$6&lt;=$D$104),-0.5,0))</f>
        <v/>
      </c>
      <c r="BH32" s="416" t="n">
        <v>6</v>
      </c>
      <c r="BI32" s="418" t="n">
        <v>1</v>
      </c>
      <c r="BJ32" s="418" t="n">
        <v>3</v>
      </c>
      <c r="BK32" s="418" t="n"/>
      <c r="BL32" s="602">
        <f>SUM(IF(BH32=BH$5,4,0),IF(BH32&amp;BI32=BH$5&amp;BI$5,1,0),
IF(AND(BH32=BH$5,BI$6&gt;=$D$115),1,0),
IF(AND(BI32=BH$5,BI$6&gt;=$D$115),1,0),
IF(AND(BJ32=BH$5,BI$6&gt;=$D$115),1,0),
IF(BH32&amp;BK32=BL$5,1,0),
IF(BI32=BH$5,2,0),
IF(BJ32=BH$5,1,0),
IF(OR(BH32&amp;BI32&amp;BJ32=BH$5&amp;BI$5&amp;BJ$5,BH32&amp;BI32&amp;BJ32=BH$5&amp;BJ$5&amp;BI$5,BH32&amp;BI32&amp;BJ32=BI$5&amp;BH$5&amp;BJ$5,BH32&amp;BI32&amp;BJ32=BI$5&amp;BJ$5&amp;BH$5,BH32&amp;BI32&amp;BJ32=BJ$5&amp;BH$5&amp;BI$5,BH32&amp;BI32&amp;BJ32=BJ$5&amp;BI$5&amp;BH$5),2,0),IF(AND(BH32=BH$5,BI$6&gt;=$D$129),1,0),IF(AND(BI32=BH$5,BI$6&gt;=$D$129),1,0),IF(AND(BJ32=BH$5,BI$6&gt;=$D$129),1,0),IF(BH32&amp;BK32=BK$5,4,0),IF(AND(BH32=BH$5,BI$6&lt;=$D$104),-0.5,0),IF(AND(BI32=BH$5,BI$6&lt;=$D$104),-0.5,0),IF(AND(BJ32=BH$5,BI$6&lt;=$D$104),-0.5,0))</f>
        <v/>
      </c>
      <c r="BM32" s="416" t="n">
        <v>1</v>
      </c>
      <c r="BN32" s="418" t="n">
        <v>4</v>
      </c>
      <c r="BO32" s="418" t="n">
        <v>9</v>
      </c>
      <c r="BP32" s="418" t="n"/>
      <c r="BQ32" s="602">
        <f>SUM(IF(BM32=BM$5,4,0),IF(BM32&amp;BN32=BM$5&amp;BN$5,1,0),
IF(AND(BM32=BM$5,BN$6&gt;=$D$115),1,0),
IF(AND(BN32=BM$5,BN$6&gt;=$D$115),1,0),
IF(AND(BO32=BM$5,BN$6&gt;=$D$115),1,0),
IF(BM32&amp;BP32=BQ$5,1,0),
IF(BN32=BM$5,2,0),
IF(BO32=BM$5,1,0),
IF(OR(BM32&amp;BN32&amp;BO32=BM$5&amp;BN$5&amp;BO$5,BM32&amp;BN32&amp;BO32=BM$5&amp;BO$5&amp;BN$5,BM32&amp;BN32&amp;BO32=BN$5&amp;BM$5&amp;BO$5,BM32&amp;BN32&amp;BO32=BN$5&amp;BO$5&amp;BM$5,BM32&amp;BN32&amp;BO32=BO$5&amp;BM$5&amp;BN$5,BM32&amp;BN32&amp;BO32=BO$5&amp;BN$5&amp;BM$5),2,0),IF(AND(BM32=BM$5,BN$6&gt;=$D$129),1,0),IF(AND(BN32=BM$5,BN$6&gt;=$D$129),1,0),IF(AND(BO32=BM$5,BN$6&gt;=$D$129),1,0),IF(BM32&amp;BP32=BP$5,4,0),IF(AND(BM32=BM$5,BN$6&lt;=$D$104),-0.5,0),IF(AND(BN32=BM$5,BN$6&lt;=$D$104),-0.5,0),IF(AND(BO32=BM$5,BN$6&lt;=$D$104),-0.5,0))</f>
        <v/>
      </c>
      <c r="BR32" s="416" t="n">
        <v>2</v>
      </c>
      <c r="BS32" s="418" t="n">
        <v>11</v>
      </c>
      <c r="BT32" s="418" t="n">
        <v>3</v>
      </c>
      <c r="BU32" s="418" t="n"/>
      <c r="BV32" s="602">
        <f>SUM(IF(BR32=BR$5,4,0),IF(BR32&amp;BS32=BR$5&amp;BS$5,1,0),
IF(AND(BR32=BR$5,BS$6&gt;=$D$115),1,0),
IF(AND(BS32=BR$5,BS$6&gt;=$D$115),1,0),
IF(AND(BT32=BR$5,BS$6&gt;=$D$115),1,0),
IF(BR32&amp;BU32=BV$5,1,0),
IF(BS32=BR$5,2,0),
IF(BT32=BR$5,1,0),
IF(OR(BR32&amp;BS32&amp;BT32=BR$5&amp;BS$5&amp;BT$5,BR32&amp;BS32&amp;BT32=BR$5&amp;BT$5&amp;BS$5,BR32&amp;BS32&amp;BT32=BS$5&amp;BR$5&amp;BT$5,BR32&amp;BS32&amp;BT32=BS$5&amp;BT$5&amp;BR$5,BR32&amp;BS32&amp;BT32=BT$5&amp;BR$5&amp;BS$5,BR32&amp;BS32&amp;BT32=BT$5&amp;BS$5&amp;BR$5),2,0),IF(AND(BR32=BR$5,BS$6&gt;=$D$129),1,0),IF(AND(BS32=BR$5,BS$6&gt;=$D$129),1,0),IF(AND(BT32=BR$5,BS$6&gt;=$D$129),1,0),IF(BR32&amp;BU32=BU$5,4,0),IF(AND(BR32=BR$5,BS$6&lt;=$D$104),-0.5,0),IF(AND(BS32=BR$5,BS$6&lt;=$D$104),-0.5,0),IF(AND(BT32=BR$5,BS$6&lt;=$D$104),-0.5,0))</f>
        <v/>
      </c>
      <c r="BW32" s="416" t="n"/>
      <c r="BX32" s="418" t="n"/>
      <c r="BY32" s="418" t="n"/>
      <c r="BZ32" s="418" t="n"/>
      <c r="CA32" s="602">
        <f>SUM(IF(BW32=BW$5,4,0),IF(BW32&amp;BX32=BW$5&amp;BX$5,1,0),
IF(AND(BW32=BW$5,BX$6&gt;=$D$115),1,0),
IF(AND(BX32=BW$5,BX$6&gt;=$D$115),1,0),
IF(AND(BY32=BW$5,BX$6&gt;=$D$115),1,0),
IF(BW32&amp;BZ32=CA$5,1,0),
IF(BX32=BW$5,2,0),
IF(BY32=BW$5,1,0),
IF(OR(BW32&amp;BX32&amp;BY32=BW$5&amp;BX$5&amp;BY$5,BW32&amp;BX32&amp;BY32=BW$5&amp;BY$5&amp;BX$5,BW32&amp;BX32&amp;BY32=BX$5&amp;BW$5&amp;BY$5,BW32&amp;BX32&amp;BY32=BX$5&amp;BY$5&amp;BW$5,BW32&amp;BX32&amp;BY32=BY$5&amp;BW$5&amp;BX$5,BW32&amp;BX32&amp;BY32=BY$5&amp;BX$5&amp;BW$5),2,0),IF(AND(BW32=BW$5,BX$6&gt;=$D$129),1,0),IF(AND(BX32=BW$5,BX$6&gt;=$D$129),1,0),IF(AND(BY32=BW$5,BX$6&gt;=$D$129),1,0),IF(BW32&amp;BZ32=BZ$5,4,0),IF(AND(BW32=BW$5,BX$6&lt;=$D$104),-0.5,0),IF(AND(BX32=BW$5,BX$6&lt;=$D$104),-0.5,0),IF(AND(BY32=BW$5,BX$6&lt;=$D$104),-0.5,0))</f>
        <v/>
      </c>
      <c r="CB32" s="416" t="n"/>
      <c r="CC32" s="418" t="n"/>
      <c r="CD32" s="418" t="n"/>
      <c r="CE32" s="418" t="n"/>
      <c r="CF32" s="602">
        <f>SUM(IF(CB32=CB$5,4,0),IF(CB32&amp;CC32=CB$5&amp;CC$5,1,0),
IF(AND(CB32=CB$5,CC$6&gt;=$D$115),1,0),
IF(AND(CC32=CB$5,CC$6&gt;=$D$115),1,0),
IF(AND(CD32=CB$5,CC$6&gt;=$D$115),1,0),
IF(CB32&amp;CE32=CF$5,1,0),
IF(CC32=CB$5,2,0),
IF(CD32=CB$5,1,0),
IF(OR(CB32&amp;CC32&amp;CD32=CB$5&amp;CC$5&amp;CD$5,CB32&amp;CC32&amp;CD32=CB$5&amp;CD$5&amp;CC$5,CB32&amp;CC32&amp;CD32=CC$5&amp;CB$5&amp;CD$5,CB32&amp;CC32&amp;CD32=CC$5&amp;CD$5&amp;CB$5,CB32&amp;CC32&amp;CD32=CD$5&amp;CB$5&amp;CC$5,CB32&amp;CC32&amp;CD32=CD$5&amp;CC$5&amp;CB$5),2,0),IF(AND(CB32=CB$5,CC$6&gt;=$D$129),1,0),IF(AND(CC32=CB$5,CC$6&gt;=$D$129),1,0),IF(AND(CD32=CB$5,CC$6&gt;=$D$129),1,0),IF(CB32&amp;CE32=CE$5,4,0),IF(AND(CB32=CB$5,CC$6&lt;=$D$104),-0.5,0),IF(AND(CC32=CB$5,CC$6&lt;=$D$104),-0.5,0),IF(AND(CD32=CB$5,CC$6&lt;=$D$104),-0.5,0))</f>
        <v/>
      </c>
      <c r="CG32" s="164">
        <f>IF(SEMANA2[[#This Row],[1]]="",0,$B$4)</f>
        <v/>
      </c>
      <c r="CH32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2" s="166">
        <f>IF(SEMANA2[[#This Row],[Columna14]]=0,0,(CH32/CG32))</f>
        <v/>
      </c>
      <c r="CJ32" s="165">
        <f>IF(SEMANA2[[#This Row],[1]]="",0,$B$4)</f>
        <v/>
      </c>
      <c r="CK32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2" s="166">
        <f>IF(SEMANA2[[#This Row],[Columna14]]=0,0,(CK32/CJ32))</f>
        <v/>
      </c>
      <c r="CM32" s="164">
        <f>IF(SEMANA2[[#This Row],[1]]="",0,$B$4)</f>
        <v/>
      </c>
      <c r="CN32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2" s="166">
        <f>IF(SEMANA2[[#This Row],[Columna14]]=0,0,(CN32/CM32))</f>
        <v/>
      </c>
      <c r="CP32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2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Row],[Columna25]],$AX$5,BA32,"SF")+COUNTIFS(SEMANA2[[#This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2" s="166">
        <f>IFERROR(IF(SEMANA2[[#This Row],[Columna14]]=0,0,(CQ32/CP32)),0)</f>
        <v/>
      </c>
      <c r="CS32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2" s="95">
        <f>_xlfn.XLOOKUP(SEMANA2[[#This Row],[COD]],BASE01[COD],BASE01[Columna33])</f>
        <v/>
      </c>
      <c r="CU32" s="604">
        <f>SUM(CS32,CT32)</f>
        <v/>
      </c>
      <c r="CV32" s="450">
        <f>IF(SEMANA2[[#This Row],[TIPO]]="PREMIO",$O$3,"0,00")</f>
        <v/>
      </c>
      <c r="CW32" s="576" t="n"/>
      <c r="CY32" s="392">
        <f>IF(CZ32="","",$CZ$25)</f>
        <v/>
      </c>
      <c r="CZ32" s="392" t="inlineStr">
        <is>
          <t>COD 21</t>
        </is>
      </c>
      <c r="DA32" s="392">
        <f t="array" ref="DA32">IF(CZ32="", "", IF((INDEX(E$8:CE$57, MATCH(CZ32, C$8:C$57, 0), ($CZ$25-1)*5 + 1) &amp; "") = (INDEX(E$5:CE$5, 1, ($CZ$25-1)*5 + 1) &amp; ""), 1, IF((INDEX(E$8:CE$57, MATCH(CZ32, C$8:C$57, 0), ($CZ$25-1)*5 + 2) &amp; "") = (INDEX(E$5:CE$5, 1, ($CZ$25-1)*5 + 1) &amp; ""), 2, IF((INDEX(E$8:CE$57, MATCH(CZ32, C$8:C$57, 0), ($CZ$25-1)*5 + 3) &amp; "") = (INDEX(E$5:CE$5, 1, ($CZ$25-1)*5 + 1) &amp; ""), 3, ""))))</f>
        <v/>
      </c>
      <c r="DB32" s="605">
        <f>SEMANA2[[#This Row],[COD]]</f>
        <v/>
      </c>
      <c r="DC32" s="395">
        <f t="array" ref="DC32">IFERROR(IF(AND(INDEX($E$8:$CE$57, MATCH($C32, $C$8:$C$57, 0), (COLUMNS($DC32:DC32)-1)*5 + 1) = INDEX($E$5:$CE$5, 1, (COLUMNS($DC32:DC32)-1)*5 + 1), INDEX($E$8:$CE$57, MATCH($C32, $C$8:$C$57, 0), (COLUMNS($DC32:DC32)-1)*5 + 4) = "F"), INDEX($CZ$8:$CZ$23, COLUMNS($DC32:DC32)), "0"), "")</f>
        <v/>
      </c>
      <c r="DD32" s="395">
        <f t="array" ref="DD32">IFERROR(IF(AND(INDEX($E$8:$CE$57, MATCH($C32, $C$8:$C$57, 0), (COLUMNS($DC32:DD32)-1)*5 + 1) = INDEX($E$5:$CE$5, 1, (COLUMNS($DC32:DD32)-1)*5 + 1), INDEX($E$8:$CE$57, MATCH($C32, $C$8:$C$57, 0), (COLUMNS($DC32:DD32)-1)*5 + 4) = "F"), INDEX($CZ$8:$CZ$23, COLUMNS($DC32:DD32)), "0"), "")</f>
        <v/>
      </c>
      <c r="DE32" s="395">
        <f t="array" ref="DE32">IFERROR(IF(AND(INDEX($E$8:$CE$57, MATCH($C32, $C$8:$C$57, 0), (COLUMNS($DC32:DE32)-1)*5 + 1) = INDEX($E$5:$CE$5, 1, (COLUMNS($DC32:DE32)-1)*5 + 1), INDEX($E$8:$CE$57, MATCH($C32, $C$8:$C$57, 0), (COLUMNS($DC32:DE32)-1)*5 + 4) = "F"), INDEX($CZ$8:$CZ$23, COLUMNS($DC32:DE32)), "0"), "")</f>
        <v/>
      </c>
      <c r="DF32" s="395">
        <f t="array" ref="DF32">IFERROR(IF(AND(INDEX($E$8:$CE$57, MATCH($C32, $C$8:$C$57, 0), (COLUMNS($DC32:DF32)-1)*5 + 1) = INDEX($E$5:$CE$5, 1, (COLUMNS($DC32:DF32)-1)*5 + 1), INDEX($E$8:$CE$57, MATCH($C32, $C$8:$C$57, 0), (COLUMNS($DC32:DF32)-1)*5 + 4) = "F"), INDEX($CZ$8:$CZ$23, COLUMNS($DC32:DF32)), "0"), "")</f>
        <v/>
      </c>
      <c r="DG32" s="395">
        <f t="array" ref="DG32">IFERROR(IF(AND(INDEX($E$8:$CE$57, MATCH($C32, $C$8:$C$57, 0), (COLUMNS($DC32:DG32)-1)*5 + 1) = INDEX($E$5:$CE$5, 1, (COLUMNS($DC32:DG32)-1)*5 + 1), INDEX($E$8:$CE$57, MATCH($C32, $C$8:$C$57, 0), (COLUMNS($DC32:DG32)-1)*5 + 4) = "F"), INDEX($CZ$8:$CZ$23, COLUMNS($DC32:DG32)), "0"), "")</f>
        <v/>
      </c>
      <c r="DH32" s="395">
        <f t="array" ref="DH32">IFERROR(IF(AND(INDEX($E$8:$CE$57, MATCH($C32, $C$8:$C$57, 0), (COLUMNS($DC32:DH32)-1)*5 + 1) = INDEX($E$5:$CE$5, 1, (COLUMNS($DC32:DH32)-1)*5 + 1), INDEX($E$8:$CE$57, MATCH($C32, $C$8:$C$57, 0), (COLUMNS($DC32:DH32)-1)*5 + 4) = "F"), INDEX($CZ$8:$CZ$23, COLUMNS($DC32:DH32)), "0"), "")</f>
        <v/>
      </c>
      <c r="DI32" s="395">
        <f t="array" ref="DI32">IFERROR(IF(AND(INDEX($E$8:$CE$57, MATCH($C32, $C$8:$C$57, 0), (COLUMNS($DC32:DI32)-1)*5 + 1) = INDEX($E$5:$CE$5, 1, (COLUMNS($DC32:DI32)-1)*5 + 1), INDEX($E$8:$CE$57, MATCH($C32, $C$8:$C$57, 0), (COLUMNS($DC32:DI32)-1)*5 + 4) = "F"), INDEX($CZ$8:$CZ$23, COLUMNS($DC32:DI32)), "0"), "")</f>
        <v/>
      </c>
      <c r="DJ32" s="395">
        <f t="array" ref="DJ32">IFERROR(IF(AND(INDEX($E$8:$CE$57, MATCH($C32, $C$8:$C$57, 0), (COLUMNS($DC32:DJ32)-1)*5 + 1) = INDEX($E$5:$CE$5, 1, (COLUMNS($DC32:DJ32)-1)*5 + 1), INDEX($E$8:$CE$57, MATCH($C32, $C$8:$C$57, 0), (COLUMNS($DC32:DJ32)-1)*5 + 4) = "F"), INDEX($CZ$8:$CZ$23, COLUMNS($DC32:DJ32)), "0"), "")</f>
        <v/>
      </c>
      <c r="DK32" s="395">
        <f t="array" ref="DK32">IFERROR(IF(AND(INDEX($E$8:$CE$57, MATCH($C32, $C$8:$C$57, 0), (COLUMNS($DC32:DK32)-1)*5 + 1) = INDEX($E$5:$CE$5, 1, (COLUMNS($DC32:DK32)-1)*5 + 1), INDEX($E$8:$CE$57, MATCH($C32, $C$8:$C$57, 0), (COLUMNS($DC32:DK32)-1)*5 + 4) = "F"), INDEX($CZ$8:$CZ$23, COLUMNS($DC32:DK32)), "0"), "")</f>
        <v/>
      </c>
      <c r="DL32" s="395">
        <f t="array" ref="DL32">IFERROR(IF(AND(INDEX($E$8:$CE$57, MATCH($C32, $C$8:$C$57, 0), (COLUMNS($DC32:DL32)-1)*5 + 1) = INDEX($E$5:$CE$5, 1, (COLUMNS($DC32:DL32)-1)*5 + 1), INDEX($E$8:$CE$57, MATCH($C32, $C$8:$C$57, 0), (COLUMNS($DC32:DL32)-1)*5 + 4) = "F"), INDEX($CZ$8:$CZ$23, COLUMNS($DC32:DL32)), "0"), "")</f>
        <v/>
      </c>
      <c r="DM32" s="395">
        <f t="array" ref="DM32">IFERROR(IF(AND(INDEX($E$8:$CE$57, MATCH($C32, $C$8:$C$57, 0), (COLUMNS($DC32:DM32)-1)*5 + 1) = INDEX($E$5:$CE$5, 1, (COLUMNS($DC32:DM32)-1)*5 + 1), INDEX($E$8:$CE$57, MATCH($C32, $C$8:$C$57, 0), (COLUMNS($DC32:DM32)-1)*5 + 4) = "F"), INDEX($CZ$8:$CZ$23, COLUMNS($DC32:DM32)), "0"), "")</f>
        <v/>
      </c>
      <c r="DN32" s="395">
        <f t="array" ref="DN32">IFERROR(IF(AND(INDEX($E$8:$CE$57, MATCH($C32, $C$8:$C$57, 0), (COLUMNS($DC32:DN32)-1)*5 + 1) = INDEX($E$5:$CE$5, 1, (COLUMNS($DC32:DN32)-1)*5 + 1), INDEX($E$8:$CE$57, MATCH($C32, $C$8:$C$57, 0), (COLUMNS($DC32:DN32)-1)*5 + 4) = "F"), INDEX($CZ$8:$CZ$23, COLUMNS($DC32:DN32)), "0"), "")</f>
        <v/>
      </c>
      <c r="DO32" s="395">
        <f t="array" ref="DO32">IFERROR(IF(AND(INDEX($E$8:$CE$57, MATCH($C32, $C$8:$C$57, 0), (COLUMNS($DC32:DO32)-1)*5 + 1) = INDEX($E$5:$CE$5, 1, (COLUMNS($DC32:DO32)-1)*5 + 1), INDEX($E$8:$CE$57, MATCH($C32, $C$8:$C$57, 0), (COLUMNS($DC32:DO32)-1)*5 + 4) = "F"), INDEX($CZ$8:$CZ$23, COLUMNS($DC32:DO32)), "0"), "")</f>
        <v/>
      </c>
      <c r="DP32" s="395">
        <f t="array" ref="DP32">IFERROR(IF(AND(INDEX($E$8:$CE$57, MATCH($C32, $C$8:$C$57, 0), (COLUMNS($DC32:DP32)-1)*5 + 1) = INDEX($E$5:$CE$5, 1, (COLUMNS($DC32:DP32)-1)*5 + 1), INDEX($E$8:$CE$57, MATCH($C32, $C$8:$C$57, 0), (COLUMNS($DC32:DP32)-1)*5 + 4) = "F"), INDEX($CZ$8:$CZ$23, COLUMNS($DC32:DP32)), "0"), "")</f>
        <v/>
      </c>
      <c r="DQ32" s="395">
        <f t="array" ref="DQ32">IFERROR(IF(AND(INDEX($E$8:$CE$57, MATCH($C32, $C$8:$C$57, 0), (COLUMNS($DC32:DQ32)-1)*5 + 1) = INDEX($E$5:$CE$5, 1, (COLUMNS($DC32:DQ32)-1)*5 + 1), INDEX($E$8:$CE$57, MATCH($C32, $C$8:$C$57, 0), (COLUMNS($DC32:DQ32)-1)*5 + 4) = "F"), INDEX($CZ$8:$CZ$23, COLUMNS($DC32:DQ32)), "0"), "")</f>
        <v/>
      </c>
      <c r="DR32" s="395">
        <f t="array" ref="DR32">IFERROR(IF(AND(INDEX($E$8:$CE$57, MATCH($C32, $C$8:$C$57, 0), (COLUMNS($DC32:DR32)-1)*5 + 1) = INDEX($E$5:$CE$5, 1, (COLUMNS($DC32:DR32)-1)*5 + 1), INDEX($E$8:$CE$57, MATCH($C32, $C$8:$C$57, 0), (COLUMNS($DC32:DR32)-1)*5 + 4) = "F"), INDEX($CZ$8:$CZ$23, COLUMNS($DC32:DR32)), "0"), "")</f>
        <v/>
      </c>
      <c r="DT32" s="605">
        <f>SEMANA2[[#This Row],[COD]]</f>
        <v/>
      </c>
      <c r="DU32" s="395">
        <f t="array" ref="DU32">IFERROR(IF(AND(INDEX($E$8:$CE$57, MATCH($C32, $C$8:$C$57, 0), (COLUMNS($DU32:DU32)-1)*5 + 1) = INDEX($E$5:$CE$5, 1, (COLUMNS($DU32:DU32)-1)*5 + 1), INDEX($E$8:$CE$57, MATCH($C32, $C$8:$C$57, 0), (COLUMNS($DU32:DU32)-1)*5 + 4) = "SF"), INDEX($CZ$8:$CZ$23, COLUMNS($DU32:DU32)), "0"), "")</f>
        <v/>
      </c>
      <c r="DV32" s="395">
        <f t="array" ref="DV32">IFERROR(IF(AND(INDEX($E$8:$CE$57, MATCH($C32, $C$8:$C$57, 0), (COLUMNS($DU32:DV32)-1)*5 + 1) = INDEX($E$5:$CE$5, 1, (COLUMNS($DU32:DV32)-1)*5 + 1), INDEX($E$8:$CE$57, MATCH($C32, $C$8:$C$57, 0), (COLUMNS($DU32:DV32)-1)*5 + 4) = "SF"), INDEX($CZ$8:$CZ$23, COLUMNS($DU32:DV32)), "0"), "")</f>
        <v/>
      </c>
      <c r="DW32" s="395">
        <f t="array" ref="DW32">IFERROR(IF(AND(INDEX($E$8:$CE$57, MATCH($C32, $C$8:$C$57, 0), (COLUMNS($DU32:DW32)-1)*5 + 1) = INDEX($E$5:$CE$5, 1, (COLUMNS($DU32:DW32)-1)*5 + 1), INDEX($E$8:$CE$57, MATCH($C32, $C$8:$C$57, 0), (COLUMNS($DU32:DW32)-1)*5 + 4) = "SF"), INDEX($CZ$8:$CZ$23, COLUMNS($DU32:DW32)), "0"), "")</f>
        <v/>
      </c>
      <c r="DX32" s="395">
        <f t="array" ref="DX32">IFERROR(IF(AND(INDEX($E$8:$CE$57, MATCH($C32, $C$8:$C$57, 0), (COLUMNS($DU32:DX32)-1)*5 + 1) = INDEX($E$5:$CE$5, 1, (COLUMNS($DU32:DX32)-1)*5 + 1), INDEX($E$8:$CE$57, MATCH($C32, $C$8:$C$57, 0), (COLUMNS($DU32:DX32)-1)*5 + 4) = "SF"), INDEX($CZ$8:$CZ$23, COLUMNS($DU32:DX32)), "0"), "")</f>
        <v/>
      </c>
      <c r="DY32" s="395">
        <f t="array" ref="DY32">IFERROR(IF(AND(INDEX($E$8:$CE$57, MATCH($C32, $C$8:$C$57, 0), (COLUMNS($DU32:DY32)-1)*5 + 1) = INDEX($E$5:$CE$5, 1, (COLUMNS($DU32:DY32)-1)*5 + 1), INDEX($E$8:$CE$57, MATCH($C32, $C$8:$C$57, 0), (COLUMNS($DU32:DY32)-1)*5 + 4) = "SF"), INDEX($CZ$8:$CZ$23, COLUMNS($DU32:DY32)), "0"), "")</f>
        <v/>
      </c>
      <c r="DZ32" s="395">
        <f t="array" ref="DZ32">IFERROR(IF(AND(INDEX($E$8:$CE$57, MATCH($C32, $C$8:$C$57, 0), (COLUMNS($DU32:DZ32)-1)*5 + 1) = INDEX($E$5:$CE$5, 1, (COLUMNS($DU32:DZ32)-1)*5 + 1), INDEX($E$8:$CE$57, MATCH($C32, $C$8:$C$57, 0), (COLUMNS($DU32:DZ32)-1)*5 + 4) = "SF"), INDEX($CZ$8:$CZ$23, COLUMNS($DU32:DZ32)), "0"), "")</f>
        <v/>
      </c>
      <c r="EA32" s="395">
        <f t="array" ref="EA32">IFERROR(IF(AND(INDEX($E$8:$CE$57, MATCH($C32, $C$8:$C$57, 0), (COLUMNS($DU32:EA32)-1)*5 + 1) = INDEX($E$5:$CE$5, 1, (COLUMNS($DU32:EA32)-1)*5 + 1), INDEX($E$8:$CE$57, MATCH($C32, $C$8:$C$57, 0), (COLUMNS($DU32:EA32)-1)*5 + 4) = "SF"), INDEX($CZ$8:$CZ$23, COLUMNS($DU32:EA32)), "0"), "")</f>
        <v/>
      </c>
      <c r="EB32" s="395">
        <f t="array" ref="EB32">IFERROR(IF(AND(INDEX($E$8:$CE$57, MATCH($C32, $C$8:$C$57, 0), (COLUMNS($DU32:EB32)-1)*5 + 1) = INDEX($E$5:$CE$5, 1, (COLUMNS($DU32:EB32)-1)*5 + 1), INDEX($E$8:$CE$57, MATCH($C32, $C$8:$C$57, 0), (COLUMNS($DU32:EB32)-1)*5 + 4) = "SF"), INDEX($CZ$8:$CZ$23, COLUMNS($DU32:EB32)), "0"), "")</f>
        <v/>
      </c>
      <c r="EC32" s="395">
        <f t="array" ref="EC32">IFERROR(IF(AND(INDEX($E$8:$CE$57, MATCH($C32, $C$8:$C$57, 0), (COLUMNS($DU32:EC32)-1)*5 + 1) = INDEX($E$5:$CE$5, 1, (COLUMNS($DU32:EC32)-1)*5 + 1), INDEX($E$8:$CE$57, MATCH($C32, $C$8:$C$57, 0), (COLUMNS($DU32:EC32)-1)*5 + 4) = "SF"), INDEX($CZ$8:$CZ$23, COLUMNS($DU32:EC32)), "0"), "")</f>
        <v/>
      </c>
      <c r="ED32" s="395">
        <f t="array" ref="ED32">IFERROR(IF(AND(INDEX($E$8:$CE$57, MATCH($C32, $C$8:$C$57, 0), (COLUMNS($DU32:ED32)-1)*5 + 1) = INDEX($E$5:$CE$5, 1, (COLUMNS($DU32:ED32)-1)*5 + 1), INDEX($E$8:$CE$57, MATCH($C32, $C$8:$C$57, 0), (COLUMNS($DU32:ED32)-1)*5 + 4) = "SF"), INDEX($CZ$8:$CZ$23, COLUMNS($DU32:ED32)), "0"), "")</f>
        <v/>
      </c>
      <c r="EE32" s="395">
        <f t="array" ref="EE32">IFERROR(IF(AND(INDEX($E$8:$CE$57, MATCH($C32, $C$8:$C$57, 0), (COLUMNS($DU32:EE32)-1)*5 + 1) = INDEX($E$5:$CE$5, 1, (COLUMNS($DU32:EE32)-1)*5 + 1), INDEX($E$8:$CE$57, MATCH($C32, $C$8:$C$57, 0), (COLUMNS($DU32:EE32)-1)*5 + 4) = "SF"), INDEX($CZ$8:$CZ$23, COLUMNS($DU32:EE32)), "0"), "")</f>
        <v/>
      </c>
      <c r="EF32" s="395">
        <f t="array" ref="EF32">IFERROR(IF(AND(INDEX($E$8:$CE$57, MATCH($C32, $C$8:$C$57, 0), (COLUMNS($DU32:EF32)-1)*5 + 1) = INDEX($E$5:$CE$5, 1, (COLUMNS($DU32:EF32)-1)*5 + 1), INDEX($E$8:$CE$57, MATCH($C32, $C$8:$C$57, 0), (COLUMNS($DU32:EF32)-1)*5 + 4) = "SF"), INDEX($CZ$8:$CZ$23, COLUMNS($DU32:EF32)), "0"), "")</f>
        <v/>
      </c>
      <c r="EG32" s="395">
        <f t="array" ref="EG32">IFERROR(IF(AND(INDEX($E$8:$CE$57, MATCH($C32, $C$8:$C$57, 0), (COLUMNS($DU32:EG32)-1)*5 + 1) = INDEX($E$5:$CE$5, 1, (COLUMNS($DU32:EG32)-1)*5 + 1), INDEX($E$8:$CE$57, MATCH($C32, $C$8:$C$57, 0), (COLUMNS($DU32:EG32)-1)*5 + 4) = "SF"), INDEX($CZ$8:$CZ$23, COLUMNS($DU32:EG32)), "0"), "")</f>
        <v/>
      </c>
      <c r="EH32" s="395">
        <f t="array" ref="EH32">IFERROR(IF(AND(INDEX($E$8:$CE$57, MATCH($C32, $C$8:$C$57, 0), (COLUMNS($DU32:EH32)-1)*5 + 1) = INDEX($E$5:$CE$5, 1, (COLUMNS($DU32:EH32)-1)*5 + 1), INDEX($E$8:$CE$57, MATCH($C32, $C$8:$C$57, 0), (COLUMNS($DU32:EH32)-1)*5 + 4) = "SF"), INDEX($CZ$8:$CZ$23, COLUMNS($DU32:EH32)), "0"), "")</f>
        <v/>
      </c>
      <c r="EI32" s="395">
        <f t="array" ref="EI32">IFERROR(IF(AND(INDEX($E$8:$CE$57, MATCH($C32, $C$8:$C$57, 0), (COLUMNS($DU32:EI32)-1)*5 + 1) = INDEX($E$5:$CE$5, 1, (COLUMNS($DU32:EI32)-1)*5 + 1), INDEX($E$8:$CE$57, MATCH($C32, $C$8:$C$57, 0), (COLUMNS($DU32:EI32)-1)*5 + 4) = "SF"), INDEX($CZ$8:$CZ$23, COLUMNS($DU32:EI32)), "0"), "")</f>
        <v/>
      </c>
      <c r="EJ32" s="395">
        <f t="array" ref="EJ32">IFERROR(IF(AND(INDEX($E$8:$CE$57, MATCH($C32, $C$8:$C$57, 0), (COLUMNS($DU32:EJ32)-1)*5 + 1) = INDEX($E$5:$CE$5, 1, (COLUMNS($DU32:EJ32)-1)*5 + 1), INDEX($E$8:$CE$57, MATCH($C32, $C$8:$C$57, 0), (COLUMNS($DU32:EJ32)-1)*5 + 4) = "SF"), INDEX($CZ$8:$CZ$23, COLUMNS($DU32:EJ32)), "0"), "")</f>
        <v/>
      </c>
    </row>
    <row r="33" ht="19.5" customHeight="1" s="568">
      <c r="A33" s="576" t="n"/>
      <c r="B33" s="449">
        <f>IF(SEMANA2[[#This Row],[COD]]&lt;&gt;"",B32+1,"")</f>
        <v/>
      </c>
      <c r="C33" s="622" t="inlineStr">
        <is>
          <t>COD 26</t>
        </is>
      </c>
      <c r="D33" s="415">
        <f t="array" ref="D33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3" s="416" t="n">
        <v>2</v>
      </c>
      <c r="F33" s="417" t="n"/>
      <c r="G33" s="417" t="n"/>
      <c r="H33" s="417" t="inlineStr">
        <is>
          <t>SF</t>
        </is>
      </c>
      <c r="I33" s="602">
        <f>SUM(IF(E33=E$5,4,0),IF(E33&amp;F33=E$5&amp;F$5,1,0),
IF(AND(E33=E$5,F$6&gt;=$D$115),1,0),
IF(AND(F33=E$5,F$6&gt;=$D$115),1,0),
IF(AND(G33=E$5,F$6&gt;=$D$115),1,0),
IF(E33&amp;H33=I$5,1,0),
IF(F33=E$5,2,0),
IF(G33=E$5,1,0),
IF(OR(E33&amp;F33&amp;G33=E$5&amp;F$5&amp;G$5,E33&amp;F33&amp;G33=E$5&amp;G$5&amp;F$5,E33&amp;F33&amp;G33=F$5&amp;E$5&amp;G$5,E33&amp;F33&amp;G33=F$5&amp;G$5&amp;E$5,E33&amp;F33&amp;G33=G$5&amp;E$5&amp;F$5,E33&amp;F33&amp;G33=G$5&amp;F$5&amp;E$5),2,0),IF(AND(E33=E$5,F$6&gt;=$D$129),1,0),IF(AND(F33=E$5,F$6&gt;=$D$129),1,0),IF(AND(G33=E$5,F$6&gt;=$D$129),1,0),IF(E33&amp;H33=H$5,4,0),IF(AND(E33=E$5,F$6&lt;=$D$104),-0.5,0),IF(AND(F33=E$5,F$6&lt;=$D$104),-0.5,0),IF(AND(G33=E$5,F$6&lt;=$D$104),-0.5,0))</f>
        <v/>
      </c>
      <c r="J33" s="416" t="n">
        <v>7</v>
      </c>
      <c r="K33" s="417" t="n">
        <v>1</v>
      </c>
      <c r="L33" s="417" t="n">
        <v>2</v>
      </c>
      <c r="M33" s="417" t="n"/>
      <c r="N33" s="602">
        <f>SUM(IF(J33=J$5,4,0),IF(J33&amp;K33=J$5&amp;K$5,1,0),
IF(AND(J33=J$5,K$6&gt;=$D$115),1,0),
IF(AND(K33=J$5,K$6&gt;=$D$115),1,0),
IF(AND(L33=J$5,K$6&gt;=$D$115),1,0),
IF(J33&amp;M33=N$5,1,0),
IF(K33=J$5,2,0),
IF(L33=J$5,1,0),
IF(OR(J33&amp;K33&amp;L33=J$5&amp;K$5&amp;L$5,J33&amp;K33&amp;L33=J$5&amp;L$5&amp;K$5,J33&amp;K33&amp;L33=K$5&amp;J$5&amp;L$5,J33&amp;K33&amp;L33=K$5&amp;L$5&amp;J$5,J33&amp;K33&amp;L33=L$5&amp;J$5&amp;K$5,J33&amp;K33&amp;L33=L$5&amp;K$5&amp;J$5),2,0),IF(AND(J33=J$5,K$6&gt;=$D$129),1,0),IF(AND(K33=J$5,K$6&gt;=$D$129),1,0),IF(AND(L33=J$5,K$6&gt;=$D$129),1,0),IF(J33&amp;M33=M$5,4,0),IF(AND(J33=J$5,K$6&lt;=$D$104),-0.5,0),IF(AND(K33=J$5,K$6&lt;=$D$104),-0.5,0),IF(AND(L33=J$5,K$6&lt;=$D$104),-0.5,0))</f>
        <v/>
      </c>
      <c r="O33" s="416" t="n">
        <v>3</v>
      </c>
      <c r="P33" s="417" t="n">
        <v>1</v>
      </c>
      <c r="Q33" s="417" t="n">
        <v>5</v>
      </c>
      <c r="R33" s="417" t="n"/>
      <c r="S33" s="602">
        <f>SUM(IF(O33=O$5,4,0),IF(O33&amp;P33=O$5&amp;P$5,1,0),
IF(AND(O33=O$5,P$6&gt;=$D$115),1,0),
IF(AND(P33=O$5,P$6&gt;=$D$115),1,0),
IF(AND(Q33=O$5,P$6&gt;=$D$115),1,0),
IF(O33&amp;R33=S$5,1,0),
IF(P33=O$5,2,0),
IF(Q33=O$5,1,0),
IF(OR(O33&amp;P33&amp;Q33=O$5&amp;P$5&amp;Q$5,O33&amp;P33&amp;Q33=O$5&amp;Q$5&amp;P$5,O33&amp;P33&amp;Q33=P$5&amp;O$5&amp;Q$5,O33&amp;P33&amp;Q33=P$5&amp;Q$5&amp;O$5,O33&amp;P33&amp;Q33=Q$5&amp;O$5&amp;P$5,O33&amp;P33&amp;Q33=Q$5&amp;P$5&amp;O$5),2,0),IF(AND(O33=O$5,P$6&gt;=$D$129),1,0),IF(AND(P33=O$5,P$6&gt;=$D$129),1,0),IF(AND(Q33=O$5,P$6&gt;=$D$129),1,0),IF(O33&amp;R33=R$5,4,0),IF(AND(O33=O$5,P$6&lt;=$D$104),-0.5,0),IF(AND(P33=O$5,P$6&lt;=$D$104),-0.5,0),IF(AND(Q33=O$5,P$6&lt;=$D$104),-0.5,0))</f>
        <v/>
      </c>
      <c r="T33" s="416" t="n">
        <v>3</v>
      </c>
      <c r="U33" s="417" t="n">
        <v>4</v>
      </c>
      <c r="V33" s="417" t="n">
        <v>5</v>
      </c>
      <c r="W33" s="417" t="n"/>
      <c r="X33" s="602">
        <f>SUM(IF(T33=T$5,4,0),IF(T33&amp;U33=T$5&amp;U$5,1,0),
IF(AND(T33=T$5,U$6&gt;=$D$115),1,0),
IF(AND(U33=T$5,U$6&gt;=$D$115),1,0),
IF(AND(V33=T$5,U$6&gt;=$D$115),1,0),
IF(T33&amp;W33=X$5,1,0),
IF(U33=T$5,2,0),
IF(V33=T$5,1,0),
IF(OR(T33&amp;U33&amp;V33=T$5&amp;U$5&amp;V$5,T33&amp;U33&amp;V33=T$5&amp;V$5&amp;U$5,T33&amp;U33&amp;V33=U$5&amp;T$5&amp;V$5,T33&amp;U33&amp;V33=U$5&amp;V$5&amp;T$5,T33&amp;U33&amp;V33=V$5&amp;T$5&amp;U$5,T33&amp;U33&amp;V33=V$5&amp;U$5&amp;T$5),2,0),IF(AND(T33=T$5,U$6&gt;=$D$129),1,0),IF(AND(U33=T$5,U$6&gt;=$D$129),1,0),IF(AND(V33=T$5,U$6&gt;=$D$129),1,0),IF(T33&amp;W33=W$5,4,0),IF(AND(T33=T$5,U$6&lt;=$D$104),-0.5,0),IF(AND(U33=T$5,U$6&lt;=$D$104),-0.5,0),IF(AND(V33=T$5,U$6&lt;=$D$104),-0.5,0))</f>
        <v/>
      </c>
      <c r="Y33" s="416" t="n">
        <v>1</v>
      </c>
      <c r="Z33" s="417" t="n">
        <v>2</v>
      </c>
      <c r="AA33" s="417" t="n">
        <v>4</v>
      </c>
      <c r="AB33" s="417" t="n"/>
      <c r="AC33" s="602">
        <f>SUM(IF(Y33=Y$5,4,0),IF(Y33&amp;Z33=Y$5&amp;Z$5,1,0),
IF(AND(Y33=Y$5,Z$6&gt;=$D$115),1,0),
IF(AND(Z33=Y$5,Z$6&gt;=$D$115),1,0),
IF(AND(AA33=Y$5,Z$6&gt;=$D$115),1,0),
IF(Y33&amp;AB33=AC$5,1,0),
IF(Z33=Y$5,2,0),
IF(AA33=Y$5,1,0),
IF(OR(Y33&amp;Z33&amp;AA33=Y$5&amp;Z$5&amp;AA$5,Y33&amp;Z33&amp;AA33=Y$5&amp;AA$5&amp;Z$5,Y33&amp;Z33&amp;AA33=Z$5&amp;Y$5&amp;AA$5,Y33&amp;Z33&amp;AA33=Z$5&amp;AA$5&amp;Y$5,Y33&amp;Z33&amp;AA33=AA$5&amp;Y$5&amp;Z$5,Y33&amp;Z33&amp;AA33=AA$5&amp;Z$5&amp;Y$5),2,0),IF(AND(Y33=Y$5,Z$6&gt;=$D$129),1,0),IF(AND(Z33=Y$5,Z$6&gt;=$D$129),1,0),IF(AND(AA33=Y$5,Z$6&gt;=$D$129),1,0),IF(Y33&amp;AB33=AB$5,4,0),IF(AND(Y33=Y$5,Z$6&lt;=$D$104),-0.5,0),IF(AND(Z33=Y$5,Z$6&lt;=$D$104),-0.5,0),IF(AND(AA33=Y$5,Z$6&lt;=$D$104),-0.5,0))</f>
        <v/>
      </c>
      <c r="AD33" s="416" t="n">
        <v>3</v>
      </c>
      <c r="AE33" s="417" t="n">
        <v>4</v>
      </c>
      <c r="AF33" s="417" t="n">
        <v>5</v>
      </c>
      <c r="AG33" s="417" t="n"/>
      <c r="AH33" s="602">
        <f>SUM(IF(AD33=AD$5,4,0),IF(AD33&amp;AE33=AD$5&amp;AE$5,1,0),
IF(AND(AD33=AD$5,AE$6&gt;=$D$115),1,0),
IF(AND(AE33=AD$5,AE$6&gt;=$D$115),1,0),
IF(AND(AF33=AD$5,AE$6&gt;=$D$115),1,0),
IF(AD33&amp;AG33=AH$5,1,0),
IF(AE33=AD$5,2,0),
IF(AF33=AD$5,1,0),
IF(OR(AD33&amp;AE33&amp;AF33=AD$5&amp;AE$5&amp;AF$5,AD33&amp;AE33&amp;AF33=AD$5&amp;AF$5&amp;AE$5,AD33&amp;AE33&amp;AF33=AE$5&amp;AD$5&amp;AF$5,AD33&amp;AE33&amp;AF33=AE$5&amp;AF$5&amp;AD$5,AD33&amp;AE33&amp;AF33=AF$5&amp;AD$5&amp;AE$5,AD33&amp;AE33&amp;AF33=AF$5&amp;AE$5&amp;AD$5),2,0),IF(AND(AD33=AD$5,AE$6&gt;=$D$129),1,0),IF(AND(AE33=AD$5,AE$6&gt;=$D$129),1,0),IF(AND(AF33=AD$5,AE$6&gt;=$D$129),1,0),IF(AD33&amp;AG33=AG$5,4,0),IF(AND(AD33=AD$5,AE$6&lt;=$D$104),-0.5,0),IF(AND(AE33=AD$5,AE$6&lt;=$D$104),-0.5,0),IF(AND(AF33=AD$5,AE$6&lt;=$D$104),-0.5,0))</f>
        <v/>
      </c>
      <c r="AI33" s="416" t="n">
        <v>7</v>
      </c>
      <c r="AJ33" s="417" t="n">
        <v>6</v>
      </c>
      <c r="AK33" s="417" t="n">
        <v>3</v>
      </c>
      <c r="AL33" s="417" t="n"/>
      <c r="AM33" s="602">
        <f>SUM(IF(AI33=AI$5,4,0),IF(AI33&amp;AJ33=AI$5&amp;AJ$5,1,0),
IF(AND(AI33=AI$5,AJ$6&gt;=$D$115),1,0),
IF(AND(AJ33=AI$5,AJ$6&gt;=$D$115),1,0),
IF(AND(AK33=AI$5,AJ$6&gt;=$D$115),1,0),
IF(AI33&amp;AL33=AM$5,1,0),
IF(AJ33=AI$5,2,0),
IF(AK33=AI$5,1,0),
IF(OR(AI33&amp;AJ33&amp;AK33=AI$5&amp;AJ$5&amp;AK$5,AI33&amp;AJ33&amp;AK33=AI$5&amp;AK$5&amp;AJ$5,AI33&amp;AJ33&amp;AK33=AJ$5&amp;AI$5&amp;AK$5,AI33&amp;AJ33&amp;AK33=AJ$5&amp;AK$5&amp;AI$5,AI33&amp;AJ33&amp;AK33=AK$5&amp;AI$5&amp;AJ$5,AI33&amp;AJ33&amp;AK33=AK$5&amp;AJ$5&amp;AI$5),2,0),IF(AND(AI33=AI$5,AJ$6&gt;=$D$129),1,0),IF(AND(AJ33=AI$5,AJ$6&gt;=$D$129),1,0),IF(AND(AK33=AI$5,AJ$6&gt;=$D$129),1,0),IF(AI33&amp;AL33=AL$5,4,0),IF(AND(AI33=AI$5,AJ$6&lt;=$D$104),-0.5,0),IF(AND(AJ33=AI$5,AJ$6&lt;=$D$104),-0.5,0),IF(AND(AK33=AI$5,AJ$6&lt;=$D$104),-0.5,0))</f>
        <v/>
      </c>
      <c r="AN33" s="416" t="n">
        <v>8</v>
      </c>
      <c r="AO33" s="417" t="n">
        <v>4</v>
      </c>
      <c r="AP33" s="417" t="n">
        <v>2</v>
      </c>
      <c r="AQ33" s="417" t="inlineStr">
        <is>
          <t>F</t>
        </is>
      </c>
      <c r="AR33" s="602">
        <f>SUM(IF(AN33=AN$5,4,0),IF(AN33&amp;AO33=AN$5&amp;AO$5,1,0),
IF(AND(AN33=AN$5,AO$6&gt;=$D$115),1,0),
IF(AND(AO33=AN$5,AO$6&gt;=$D$115),1,0),
IF(AND(AP33=AN$5,AO$6&gt;=$D$115),1,0),
IF(AN33&amp;AQ33=AR$5,1,0),
IF(AO33=AN$5,2,0),
IF(AP33=AN$5,1,0),
IF(OR(AN33&amp;AO33&amp;AP33=AN$5&amp;AO$5&amp;AP$5,AN33&amp;AO33&amp;AP33=AN$5&amp;AP$5&amp;AO$5,AN33&amp;AO33&amp;AP33=AO$5&amp;AN$5&amp;AP$5,AN33&amp;AO33&amp;AP33=AO$5&amp;AP$5&amp;AN$5,AN33&amp;AO33&amp;AP33=AP$5&amp;AN$5&amp;AO$5,AN33&amp;AO33&amp;AP33=AP$5&amp;AO$5&amp;AN$5),2,0),IF(AND(AN33=AN$5,AO$6&gt;=$D$129),1,0),IF(AND(AO33=AN$5,AO$6&gt;=$D$129),1,0),IF(AND(AP33=AN$5,AO$6&gt;=$D$129),1,0),IF(AN33&amp;AQ33=AQ$5,4,0),IF(AND(AN33=AN$5,AO$6&lt;=$D$104),-0.5,0),IF(AND(AO33=AN$5,AO$6&lt;=$D$104),-0.5,0),IF(AND(AP33=AN$5,AO$6&lt;=$D$104),-0.5,0))</f>
        <v/>
      </c>
      <c r="AS33" s="416" t="n">
        <v>2</v>
      </c>
      <c r="AT33" s="417" t="n">
        <v>1</v>
      </c>
      <c r="AU33" s="417" t="n">
        <v>9</v>
      </c>
      <c r="AV33" s="417" t="inlineStr">
        <is>
          <t>F</t>
        </is>
      </c>
      <c r="AW33" s="602">
        <f>SUM(IF(AS33=AS$5,4,0),IF(AS33&amp;AT33=AS$5&amp;AT$5,1,0),
IF(AND(AS33=AS$5,AT$6&gt;=$D$115),1,0),
IF(AND(AT33=AS$5,AT$6&gt;=$D$115),1,0),
IF(AND(AU33=AS$5,AT$6&gt;=$D$115),1,0),
IF(AS33&amp;AV33=AW$5,1,0),
IF(AT33=AS$5,2,0),
IF(AU33=AS$5,1,0),
IF(OR(AS33&amp;AT33&amp;AU33=AS$5&amp;AT$5&amp;AU$5,AS33&amp;AT33&amp;AU33=AS$5&amp;AU$5&amp;AT$5,AS33&amp;AT33&amp;AU33=AT$5&amp;AS$5&amp;AU$5,AS33&amp;AT33&amp;AU33=AT$5&amp;AU$5&amp;AS$5,AS33&amp;AT33&amp;AU33=AU$5&amp;AS$5&amp;AT$5,AS33&amp;AT33&amp;AU33=AU$5&amp;AT$5&amp;AS$5),2,0),IF(AND(AS33=AS$5,AT$6&gt;=$D$129),1,0),IF(AND(AT33=AS$5,AT$6&gt;=$D$129),1,0),IF(AND(AU33=AS$5,AT$6&gt;=$D$129),1,0),IF(AS33&amp;AV33=AV$5,4,0),IF(AND(AS33=AS$5,AT$6&lt;=$D$104),-0.5,0),IF(AND(AT33=AS$5,AT$6&lt;=$D$104),-0.5,0),IF(AND(AU33=AS$5,AT$6&lt;=$D$104),-0.5,0))</f>
        <v/>
      </c>
      <c r="AX33" s="416" t="n">
        <v>5</v>
      </c>
      <c r="AY33" s="417" t="n">
        <v>1</v>
      </c>
      <c r="AZ33" s="417" t="n">
        <v>9</v>
      </c>
      <c r="BA33" s="417" t="n"/>
      <c r="BB33" s="602">
        <f>SUM(IF(AX33=AX$5,4,0),IF(AX33&amp;AY33=AX$5&amp;AY$5,1,0),
IF(AND(AX33=AX$5,AY$6&gt;=$D$115),1,0),
IF(AND(AY33=AX$5,AY$6&gt;=$D$115),1,0),
IF(AND(AZ33=AX$5,AY$6&gt;=$D$115),1,0),
IF(AX33&amp;BA33=BB$5,1,0),
IF(AY33=AX$5,2,0),
IF(AZ33=AX$5,1,0),
IF(OR(AX33&amp;AY33&amp;AZ33=AX$5&amp;AY$5&amp;AZ$5,AX33&amp;AY33&amp;AZ33=AX$5&amp;AZ$5&amp;AY$5,AX33&amp;AY33&amp;AZ33=AY$5&amp;AX$5&amp;AZ$5,AX33&amp;AY33&amp;AZ33=AY$5&amp;AZ$5&amp;AX$5,AX33&amp;AY33&amp;AZ33=AZ$5&amp;AX$5&amp;AY$5,AX33&amp;AY33&amp;AZ33=AZ$5&amp;AY$5&amp;AX$5),2,0),IF(AND(AX33=AX$5,AY$6&gt;=$D$129),1,0),IF(AND(AY33=AX$5,AY$6&gt;=$D$129),1,0),IF(AND(AZ33=AX$5,AY$6&gt;=$D$129),1,0),IF(AX33&amp;BA33=BA$5,4,0),IF(AND(AX33=AX$5,AY$6&lt;=$D$104),-0.5,0),IF(AND(AY33=AX$5,AY$6&lt;=$D$104),-0.5,0),IF(AND(AZ33=AX$5,AY$6&lt;=$D$104),-0.5,0))</f>
        <v/>
      </c>
      <c r="BC33" s="416" t="n">
        <v>5</v>
      </c>
      <c r="BD33" s="417" t="n">
        <v>2</v>
      </c>
      <c r="BE33" s="417" t="n">
        <v>7</v>
      </c>
      <c r="BF33" s="417" t="n"/>
      <c r="BG33" s="602">
        <f>SUM(IF(BC33=BC$5,4,0),IF(BC33&amp;BD33=BC$5&amp;BD$5,1,0),
IF(AND(BC33=BC$5,BD$6&gt;=$D$115),1,0),
IF(AND(BD33=BC$5,BD$6&gt;=$D$115),1,0),
IF(AND(BE33=BC$5,BD$6&gt;=$D$115),1,0),
IF(BC33&amp;BF33=BG$5,1,0),
IF(BD33=BC$5,2,0),
IF(BE33=BC$5,1,0),
IF(OR(BC33&amp;BD33&amp;BE33=BC$5&amp;BD$5&amp;BE$5,BC33&amp;BD33&amp;BE33=BC$5&amp;BE$5&amp;BD$5,BC33&amp;BD33&amp;BE33=BD$5&amp;BC$5&amp;BE$5,BC33&amp;BD33&amp;BE33=BD$5&amp;BE$5&amp;BC$5,BC33&amp;BD33&amp;BE33=BE$5&amp;BC$5&amp;BD$5,BC33&amp;BD33&amp;BE33=BE$5&amp;BD$5&amp;BC$5),2,0),IF(AND(BC33=BC$5,BD$6&gt;=$D$129),1,0),IF(AND(BD33=BC$5,BD$6&gt;=$D$129),1,0),IF(AND(BE33=BC$5,BD$6&gt;=$D$129),1,0),IF(BC33&amp;BF33=BF$5,4,0),IF(AND(BC33=BC$5,BD$6&lt;=$D$104),-0.5,0),IF(AND(BD33=BC$5,BD$6&lt;=$D$104),-0.5,0),IF(AND(BE33=BC$5,BD$6&lt;=$D$104),-0.5,0))</f>
        <v/>
      </c>
      <c r="BH33" s="416" t="n">
        <v>6</v>
      </c>
      <c r="BI33" s="417" t="n">
        <v>5</v>
      </c>
      <c r="BJ33" s="417" t="n">
        <v>2</v>
      </c>
      <c r="BK33" s="417" t="n"/>
      <c r="BL33" s="602">
        <f>SUM(IF(BH33=BH$5,4,0),IF(BH33&amp;BI33=BH$5&amp;BI$5,1,0),
IF(AND(BH33=BH$5,BI$6&gt;=$D$115),1,0),
IF(AND(BI33=BH$5,BI$6&gt;=$D$115),1,0),
IF(AND(BJ33=BH$5,BI$6&gt;=$D$115),1,0),
IF(BH33&amp;BK33=BL$5,1,0),
IF(BI33=BH$5,2,0),
IF(BJ33=BH$5,1,0),
IF(OR(BH33&amp;BI33&amp;BJ33=BH$5&amp;BI$5&amp;BJ$5,BH33&amp;BI33&amp;BJ33=BH$5&amp;BJ$5&amp;BI$5,BH33&amp;BI33&amp;BJ33=BI$5&amp;BH$5&amp;BJ$5,BH33&amp;BI33&amp;BJ33=BI$5&amp;BJ$5&amp;BH$5,BH33&amp;BI33&amp;BJ33=BJ$5&amp;BH$5&amp;BI$5,BH33&amp;BI33&amp;BJ33=BJ$5&amp;BI$5&amp;BH$5),2,0),IF(AND(BH33=BH$5,BI$6&gt;=$D$129),1,0),IF(AND(BI33=BH$5,BI$6&gt;=$D$129),1,0),IF(AND(BJ33=BH$5,BI$6&gt;=$D$129),1,0),IF(BH33&amp;BK33=BK$5,4,0),IF(AND(BH33=BH$5,BI$6&lt;=$D$104),-0.5,0),IF(AND(BI33=BH$5,BI$6&lt;=$D$104),-0.5,0),IF(AND(BJ33=BH$5,BI$6&lt;=$D$104),-0.5,0))</f>
        <v/>
      </c>
      <c r="BM33" s="416" t="n">
        <v>3</v>
      </c>
      <c r="BN33" s="417" t="n">
        <v>9</v>
      </c>
      <c r="BO33" s="417" t="n">
        <v>5</v>
      </c>
      <c r="BP33" s="417" t="n"/>
      <c r="BQ33" s="602">
        <f>SUM(IF(BM33=BM$5,4,0),IF(BM33&amp;BN33=BM$5&amp;BN$5,1,0),
IF(AND(BM33=BM$5,BN$6&gt;=$D$115),1,0),
IF(AND(BN33=BM$5,BN$6&gt;=$D$115),1,0),
IF(AND(BO33=BM$5,BN$6&gt;=$D$115),1,0),
IF(BM33&amp;BP33=BQ$5,1,0),
IF(BN33=BM$5,2,0),
IF(BO33=BM$5,1,0),
IF(OR(BM33&amp;BN33&amp;BO33=BM$5&amp;BN$5&amp;BO$5,BM33&amp;BN33&amp;BO33=BM$5&amp;BO$5&amp;BN$5,BM33&amp;BN33&amp;BO33=BN$5&amp;BM$5&amp;BO$5,BM33&amp;BN33&amp;BO33=BN$5&amp;BO$5&amp;BM$5,BM33&amp;BN33&amp;BO33=BO$5&amp;BM$5&amp;BN$5,BM33&amp;BN33&amp;BO33=BO$5&amp;BN$5&amp;BM$5),2,0),IF(AND(BM33=BM$5,BN$6&gt;=$D$129),1,0),IF(AND(BN33=BM$5,BN$6&gt;=$D$129),1,0),IF(AND(BO33=BM$5,BN$6&gt;=$D$129),1,0),IF(BM33&amp;BP33=BP$5,4,0),IF(AND(BM33=BM$5,BN$6&lt;=$D$104),-0.5,0),IF(AND(BN33=BM$5,BN$6&lt;=$D$104),-0.5,0),IF(AND(BO33=BM$5,BN$6&lt;=$D$104),-0.5,0))</f>
        <v/>
      </c>
      <c r="BR33" s="416" t="n">
        <v>2</v>
      </c>
      <c r="BS33" s="417" t="n">
        <v>5</v>
      </c>
      <c r="BT33" s="417" t="n">
        <v>1</v>
      </c>
      <c r="BU33" s="417" t="n"/>
      <c r="BV33" s="602">
        <f>SUM(IF(BR33=BR$5,4,0),IF(BR33&amp;BS33=BR$5&amp;BS$5,1,0),
IF(AND(BR33=BR$5,BS$6&gt;=$D$115),1,0),
IF(AND(BS33=BR$5,BS$6&gt;=$D$115),1,0),
IF(AND(BT33=BR$5,BS$6&gt;=$D$115),1,0),
IF(BR33&amp;BU33=BV$5,1,0),
IF(BS33=BR$5,2,0),
IF(BT33=BR$5,1,0),
IF(OR(BR33&amp;BS33&amp;BT33=BR$5&amp;BS$5&amp;BT$5,BR33&amp;BS33&amp;BT33=BR$5&amp;BT$5&amp;BS$5,BR33&amp;BS33&amp;BT33=BS$5&amp;BR$5&amp;BT$5,BR33&amp;BS33&amp;BT33=BS$5&amp;BT$5&amp;BR$5,BR33&amp;BS33&amp;BT33=BT$5&amp;BR$5&amp;BS$5,BR33&amp;BS33&amp;BT33=BT$5&amp;BS$5&amp;BR$5),2,0),IF(AND(BR33=BR$5,BS$6&gt;=$D$129),1,0),IF(AND(BS33=BR$5,BS$6&gt;=$D$129),1,0),IF(AND(BT33=BR$5,BS$6&gt;=$D$129),1,0),IF(BR33&amp;BU33=BU$5,4,0),IF(AND(BR33=BR$5,BS$6&lt;=$D$104),-0.5,0),IF(AND(BS33=BR$5,BS$6&lt;=$D$104),-0.5,0),IF(AND(BT33=BR$5,BS$6&lt;=$D$104),-0.5,0))</f>
        <v/>
      </c>
      <c r="BW33" s="416" t="n"/>
      <c r="BX33" s="417" t="n"/>
      <c r="BY33" s="417" t="n"/>
      <c r="BZ33" s="417" t="n"/>
      <c r="CA33" s="602">
        <f>SUM(IF(BW33=BW$5,4,0),IF(BW33&amp;BX33=BW$5&amp;BX$5,1,0),
IF(AND(BW33=BW$5,BX$6&gt;=$D$115),1,0),
IF(AND(BX33=BW$5,BX$6&gt;=$D$115),1,0),
IF(AND(BY33=BW$5,BX$6&gt;=$D$115),1,0),
IF(BW33&amp;BZ33=CA$5,1,0),
IF(BX33=BW$5,2,0),
IF(BY33=BW$5,1,0),
IF(OR(BW33&amp;BX33&amp;BY33=BW$5&amp;BX$5&amp;BY$5,BW33&amp;BX33&amp;BY33=BW$5&amp;BY$5&amp;BX$5,BW33&amp;BX33&amp;BY33=BX$5&amp;BW$5&amp;BY$5,BW33&amp;BX33&amp;BY33=BX$5&amp;BY$5&amp;BW$5,BW33&amp;BX33&amp;BY33=BY$5&amp;BW$5&amp;BX$5,BW33&amp;BX33&amp;BY33=BY$5&amp;BX$5&amp;BW$5),2,0),IF(AND(BW33=BW$5,BX$6&gt;=$D$129),1,0),IF(AND(BX33=BW$5,BX$6&gt;=$D$129),1,0),IF(AND(BY33=BW$5,BX$6&gt;=$D$129),1,0),IF(BW33&amp;BZ33=BZ$5,4,0),IF(AND(BW33=BW$5,BX$6&lt;=$D$104),-0.5,0),IF(AND(BX33=BW$5,BX$6&lt;=$D$104),-0.5,0),IF(AND(BY33=BW$5,BX$6&lt;=$D$104),-0.5,0))</f>
        <v/>
      </c>
      <c r="CB33" s="416" t="n"/>
      <c r="CC33" s="417" t="n"/>
      <c r="CD33" s="417" t="n"/>
      <c r="CE33" s="417" t="n"/>
      <c r="CF33" s="602">
        <f>SUM(IF(CB33=CB$5,4,0),IF(CB33&amp;CC33=CB$5&amp;CC$5,1,0),
IF(AND(CB33=CB$5,CC$6&gt;=$D$115),1,0),
IF(AND(CC33=CB$5,CC$6&gt;=$D$115),1,0),
IF(AND(CD33=CB$5,CC$6&gt;=$D$115),1,0),
IF(CB33&amp;CE33=CF$5,1,0),
IF(CC33=CB$5,2,0),
IF(CD33=CB$5,1,0),
IF(OR(CB33&amp;CC33&amp;CD33=CB$5&amp;CC$5&amp;CD$5,CB33&amp;CC33&amp;CD33=CB$5&amp;CD$5&amp;CC$5,CB33&amp;CC33&amp;CD33=CC$5&amp;CB$5&amp;CD$5,CB33&amp;CC33&amp;CD33=CC$5&amp;CD$5&amp;CB$5,CB33&amp;CC33&amp;CD33=CD$5&amp;CB$5&amp;CC$5,CB33&amp;CC33&amp;CD33=CD$5&amp;CC$5&amp;CB$5),2,0),IF(AND(CB33=CB$5,CC$6&gt;=$D$129),1,0),IF(AND(CC33=CB$5,CC$6&gt;=$D$129),1,0),IF(AND(CD33=CB$5,CC$6&gt;=$D$129),1,0),IF(CB33&amp;CE33=CE$5,4,0),IF(AND(CB33=CB$5,CC$6&lt;=$D$104),-0.5,0),IF(AND(CC33=CB$5,CC$6&lt;=$D$104),-0.5,0),IF(AND(CD33=CB$5,CC$6&lt;=$D$104),-0.5,0))</f>
        <v/>
      </c>
      <c r="CG33" s="164">
        <f>IF(SEMANA2[[#This Row],[1]]="",0,$B$4)</f>
        <v/>
      </c>
      <c r="CH33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3" s="166">
        <f>IF(SEMANA2[[#This Row],[Columna14]]=0,0,(CH33/CG33))</f>
        <v/>
      </c>
      <c r="CJ33" s="165">
        <f>IF(SEMANA2[[#This Row],[1]]="",0,$B$4)</f>
        <v/>
      </c>
      <c r="CK33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3" s="166">
        <f>IF(SEMANA2[[#This Row],[Columna14]]=0,0,(CK33/CJ33))</f>
        <v/>
      </c>
      <c r="CM33" s="164">
        <f>IF(SEMANA2[[#This Row],[1]]="",0,$B$4)</f>
        <v/>
      </c>
      <c r="CN33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3" s="166">
        <f>IF(SEMANA2[[#This Row],[Columna14]]=0,0,(CN33/CM33))</f>
        <v/>
      </c>
      <c r="CP33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3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Row],[Columna25]],$AX$5,BA33,"SF")+COUNTIFS(SEMANA2[[#This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3" s="166">
        <f>IFERROR(IF(SEMANA2[[#This Row],[Columna14]]=0,0,(CQ33/CP33)),0)</f>
        <v/>
      </c>
      <c r="CS33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3" s="95">
        <f>_xlfn.XLOOKUP(SEMANA2[[#This Row],[COD]],BASE01[COD],BASE01[Columna33])</f>
        <v/>
      </c>
      <c r="CU33" s="604">
        <f>SUM(CS33,CT33)</f>
        <v/>
      </c>
      <c r="CV33" s="450">
        <f>IF(SEMANA2[[#This Row],[TIPO]]="PREMIO",$O$3,"0,00")</f>
        <v/>
      </c>
      <c r="CW33" s="576" t="n"/>
      <c r="CY33" s="392">
        <f>IF(CZ33="","",$CZ$25)</f>
        <v/>
      </c>
      <c r="CZ33" s="392" t="inlineStr">
        <is>
          <t>COD 24</t>
        </is>
      </c>
      <c r="DA33" s="392">
        <f t="array" ref="DA33">IF(CZ33="", "", IF((INDEX(E$8:CE$57, MATCH(CZ33, C$8:C$57, 0), ($CZ$25-1)*5 + 1) &amp; "") = (INDEX(E$5:CE$5, 1, ($CZ$25-1)*5 + 1) &amp; ""), 1, IF((INDEX(E$8:CE$57, MATCH(CZ33, C$8:C$57, 0), ($CZ$25-1)*5 + 2) &amp; "") = (INDEX(E$5:CE$5, 1, ($CZ$25-1)*5 + 1) &amp; ""), 2, IF((INDEX(E$8:CE$57, MATCH(CZ33, C$8:C$57, 0), ($CZ$25-1)*5 + 3) &amp; "") = (INDEX(E$5:CE$5, 1, ($CZ$25-1)*5 + 1) &amp; ""), 3, ""))))</f>
        <v/>
      </c>
      <c r="DB33" s="605">
        <f>SEMANA2[[#This Row],[COD]]</f>
        <v/>
      </c>
      <c r="DC33" s="395">
        <f t="array" ref="DC33">IFERROR(IF(AND(INDEX($E$8:$CE$57, MATCH($C33, $C$8:$C$57, 0), (COLUMNS($DC33:DC33)-1)*5 + 1) = INDEX($E$5:$CE$5, 1, (COLUMNS($DC33:DC33)-1)*5 + 1), INDEX($E$8:$CE$57, MATCH($C33, $C$8:$C$57, 0), (COLUMNS($DC33:DC33)-1)*5 + 4) = "F"), INDEX($CZ$8:$CZ$23, COLUMNS($DC33:DC33)), "0"), "")</f>
        <v/>
      </c>
      <c r="DD33" s="395">
        <f t="array" ref="DD33">IFERROR(IF(AND(INDEX($E$8:$CE$57, MATCH($C33, $C$8:$C$57, 0), (COLUMNS($DC33:DD33)-1)*5 + 1) = INDEX($E$5:$CE$5, 1, (COLUMNS($DC33:DD33)-1)*5 + 1), INDEX($E$8:$CE$57, MATCH($C33, $C$8:$C$57, 0), (COLUMNS($DC33:DD33)-1)*5 + 4) = "F"), INDEX($CZ$8:$CZ$23, COLUMNS($DC33:DD33)), "0"), "")</f>
        <v/>
      </c>
      <c r="DE33" s="395">
        <f t="array" ref="DE33">IFERROR(IF(AND(INDEX($E$8:$CE$57, MATCH($C33, $C$8:$C$57, 0), (COLUMNS($DC33:DE33)-1)*5 + 1) = INDEX($E$5:$CE$5, 1, (COLUMNS($DC33:DE33)-1)*5 + 1), INDEX($E$8:$CE$57, MATCH($C33, $C$8:$C$57, 0), (COLUMNS($DC33:DE33)-1)*5 + 4) = "F"), INDEX($CZ$8:$CZ$23, COLUMNS($DC33:DE33)), "0"), "")</f>
        <v/>
      </c>
      <c r="DF33" s="395">
        <f t="array" ref="DF33">IFERROR(IF(AND(INDEX($E$8:$CE$57, MATCH($C33, $C$8:$C$57, 0), (COLUMNS($DC33:DF33)-1)*5 + 1) = INDEX($E$5:$CE$5, 1, (COLUMNS($DC33:DF33)-1)*5 + 1), INDEX($E$8:$CE$57, MATCH($C33, $C$8:$C$57, 0), (COLUMNS($DC33:DF33)-1)*5 + 4) = "F"), INDEX($CZ$8:$CZ$23, COLUMNS($DC33:DF33)), "0"), "")</f>
        <v/>
      </c>
      <c r="DG33" s="395">
        <f t="array" ref="DG33">IFERROR(IF(AND(INDEX($E$8:$CE$57, MATCH($C33, $C$8:$C$57, 0), (COLUMNS($DC33:DG33)-1)*5 + 1) = INDEX($E$5:$CE$5, 1, (COLUMNS($DC33:DG33)-1)*5 + 1), INDEX($E$8:$CE$57, MATCH($C33, $C$8:$C$57, 0), (COLUMNS($DC33:DG33)-1)*5 + 4) = "F"), INDEX($CZ$8:$CZ$23, COLUMNS($DC33:DG33)), "0"), "")</f>
        <v/>
      </c>
      <c r="DH33" s="395">
        <f t="array" ref="DH33">IFERROR(IF(AND(INDEX($E$8:$CE$57, MATCH($C33, $C$8:$C$57, 0), (COLUMNS($DC33:DH33)-1)*5 + 1) = INDEX($E$5:$CE$5, 1, (COLUMNS($DC33:DH33)-1)*5 + 1), INDEX($E$8:$CE$57, MATCH($C33, $C$8:$C$57, 0), (COLUMNS($DC33:DH33)-1)*5 + 4) = "F"), INDEX($CZ$8:$CZ$23, COLUMNS($DC33:DH33)), "0"), "")</f>
        <v/>
      </c>
      <c r="DI33" s="395">
        <f t="array" ref="DI33">IFERROR(IF(AND(INDEX($E$8:$CE$57, MATCH($C33, $C$8:$C$57, 0), (COLUMNS($DC33:DI33)-1)*5 + 1) = INDEX($E$5:$CE$5, 1, (COLUMNS($DC33:DI33)-1)*5 + 1), INDEX($E$8:$CE$57, MATCH($C33, $C$8:$C$57, 0), (COLUMNS($DC33:DI33)-1)*5 + 4) = "F"), INDEX($CZ$8:$CZ$23, COLUMNS($DC33:DI33)), "0"), "")</f>
        <v/>
      </c>
      <c r="DJ33" s="395">
        <f t="array" ref="DJ33">IFERROR(IF(AND(INDEX($E$8:$CE$57, MATCH($C33, $C$8:$C$57, 0), (COLUMNS($DC33:DJ33)-1)*5 + 1) = INDEX($E$5:$CE$5, 1, (COLUMNS($DC33:DJ33)-1)*5 + 1), INDEX($E$8:$CE$57, MATCH($C33, $C$8:$C$57, 0), (COLUMNS($DC33:DJ33)-1)*5 + 4) = "F"), INDEX($CZ$8:$CZ$23, COLUMNS($DC33:DJ33)), "0"), "")</f>
        <v/>
      </c>
      <c r="DK33" s="395">
        <f t="array" ref="DK33">IFERROR(IF(AND(INDEX($E$8:$CE$57, MATCH($C33, $C$8:$C$57, 0), (COLUMNS($DC33:DK33)-1)*5 + 1) = INDEX($E$5:$CE$5, 1, (COLUMNS($DC33:DK33)-1)*5 + 1), INDEX($E$8:$CE$57, MATCH($C33, $C$8:$C$57, 0), (COLUMNS($DC33:DK33)-1)*5 + 4) = "F"), INDEX($CZ$8:$CZ$23, COLUMNS($DC33:DK33)), "0"), "")</f>
        <v/>
      </c>
      <c r="DL33" s="395">
        <f t="array" ref="DL33">IFERROR(IF(AND(INDEX($E$8:$CE$57, MATCH($C33, $C$8:$C$57, 0), (COLUMNS($DC33:DL33)-1)*5 + 1) = INDEX($E$5:$CE$5, 1, (COLUMNS($DC33:DL33)-1)*5 + 1), INDEX($E$8:$CE$57, MATCH($C33, $C$8:$C$57, 0), (COLUMNS($DC33:DL33)-1)*5 + 4) = "F"), INDEX($CZ$8:$CZ$23, COLUMNS($DC33:DL33)), "0"), "")</f>
        <v/>
      </c>
      <c r="DM33" s="395">
        <f t="array" ref="DM33">IFERROR(IF(AND(INDEX($E$8:$CE$57, MATCH($C33, $C$8:$C$57, 0), (COLUMNS($DC33:DM33)-1)*5 + 1) = INDEX($E$5:$CE$5, 1, (COLUMNS($DC33:DM33)-1)*5 + 1), INDEX($E$8:$CE$57, MATCH($C33, $C$8:$C$57, 0), (COLUMNS($DC33:DM33)-1)*5 + 4) = "F"), INDEX($CZ$8:$CZ$23, COLUMNS($DC33:DM33)), "0"), "")</f>
        <v/>
      </c>
      <c r="DN33" s="395">
        <f t="array" ref="DN33">IFERROR(IF(AND(INDEX($E$8:$CE$57, MATCH($C33, $C$8:$C$57, 0), (COLUMNS($DC33:DN33)-1)*5 + 1) = INDEX($E$5:$CE$5, 1, (COLUMNS($DC33:DN33)-1)*5 + 1), INDEX($E$8:$CE$57, MATCH($C33, $C$8:$C$57, 0), (COLUMNS($DC33:DN33)-1)*5 + 4) = "F"), INDEX($CZ$8:$CZ$23, COLUMNS($DC33:DN33)), "0"), "")</f>
        <v/>
      </c>
      <c r="DO33" s="395">
        <f t="array" ref="DO33">IFERROR(IF(AND(INDEX($E$8:$CE$57, MATCH($C33, $C$8:$C$57, 0), (COLUMNS($DC33:DO33)-1)*5 + 1) = INDEX($E$5:$CE$5, 1, (COLUMNS($DC33:DO33)-1)*5 + 1), INDEX($E$8:$CE$57, MATCH($C33, $C$8:$C$57, 0), (COLUMNS($DC33:DO33)-1)*5 + 4) = "F"), INDEX($CZ$8:$CZ$23, COLUMNS($DC33:DO33)), "0"), "")</f>
        <v/>
      </c>
      <c r="DP33" s="395">
        <f t="array" ref="DP33">IFERROR(IF(AND(INDEX($E$8:$CE$57, MATCH($C33, $C$8:$C$57, 0), (COLUMNS($DC33:DP33)-1)*5 + 1) = INDEX($E$5:$CE$5, 1, (COLUMNS($DC33:DP33)-1)*5 + 1), INDEX($E$8:$CE$57, MATCH($C33, $C$8:$C$57, 0), (COLUMNS($DC33:DP33)-1)*5 + 4) = "F"), INDEX($CZ$8:$CZ$23, COLUMNS($DC33:DP33)), "0"), "")</f>
        <v/>
      </c>
      <c r="DQ33" s="395">
        <f t="array" ref="DQ33">IFERROR(IF(AND(INDEX($E$8:$CE$57, MATCH($C33, $C$8:$C$57, 0), (COLUMNS($DC33:DQ33)-1)*5 + 1) = INDEX($E$5:$CE$5, 1, (COLUMNS($DC33:DQ33)-1)*5 + 1), INDEX($E$8:$CE$57, MATCH($C33, $C$8:$C$57, 0), (COLUMNS($DC33:DQ33)-1)*5 + 4) = "F"), INDEX($CZ$8:$CZ$23, COLUMNS($DC33:DQ33)), "0"), "")</f>
        <v/>
      </c>
      <c r="DR33" s="395">
        <f t="array" ref="DR33">IFERROR(IF(AND(INDEX($E$8:$CE$57, MATCH($C33, $C$8:$C$57, 0), (COLUMNS($DC33:DR33)-1)*5 + 1) = INDEX($E$5:$CE$5, 1, (COLUMNS($DC33:DR33)-1)*5 + 1), INDEX($E$8:$CE$57, MATCH($C33, $C$8:$C$57, 0), (COLUMNS($DC33:DR33)-1)*5 + 4) = "F"), INDEX($CZ$8:$CZ$23, COLUMNS($DC33:DR33)), "0"), "")</f>
        <v/>
      </c>
      <c r="DT33" s="605">
        <f>SEMANA2[[#This Row],[COD]]</f>
        <v/>
      </c>
      <c r="DU33" s="395">
        <f t="array" ref="DU33">IFERROR(IF(AND(INDEX($E$8:$CE$57, MATCH($C33, $C$8:$C$57, 0), (COLUMNS($DU33:DU33)-1)*5 + 1) = INDEX($E$5:$CE$5, 1, (COLUMNS($DU33:DU33)-1)*5 + 1), INDEX($E$8:$CE$57, MATCH($C33, $C$8:$C$57, 0), (COLUMNS($DU33:DU33)-1)*5 + 4) = "SF"), INDEX($CZ$8:$CZ$23, COLUMNS($DU33:DU33)), "0"), "")</f>
        <v/>
      </c>
      <c r="DV33" s="395">
        <f t="array" ref="DV33">IFERROR(IF(AND(INDEX($E$8:$CE$57, MATCH($C33, $C$8:$C$57, 0), (COLUMNS($DU33:DV33)-1)*5 + 1) = INDEX($E$5:$CE$5, 1, (COLUMNS($DU33:DV33)-1)*5 + 1), INDEX($E$8:$CE$57, MATCH($C33, $C$8:$C$57, 0), (COLUMNS($DU33:DV33)-1)*5 + 4) = "SF"), INDEX($CZ$8:$CZ$23, COLUMNS($DU33:DV33)), "0"), "")</f>
        <v/>
      </c>
      <c r="DW33" s="395">
        <f t="array" ref="DW33">IFERROR(IF(AND(INDEX($E$8:$CE$57, MATCH($C33, $C$8:$C$57, 0), (COLUMNS($DU33:DW33)-1)*5 + 1) = INDEX($E$5:$CE$5, 1, (COLUMNS($DU33:DW33)-1)*5 + 1), INDEX($E$8:$CE$57, MATCH($C33, $C$8:$C$57, 0), (COLUMNS($DU33:DW33)-1)*5 + 4) = "SF"), INDEX($CZ$8:$CZ$23, COLUMNS($DU33:DW33)), "0"), "")</f>
        <v/>
      </c>
      <c r="DX33" s="395">
        <f t="array" ref="DX33">IFERROR(IF(AND(INDEX($E$8:$CE$57, MATCH($C33, $C$8:$C$57, 0), (COLUMNS($DU33:DX33)-1)*5 + 1) = INDEX($E$5:$CE$5, 1, (COLUMNS($DU33:DX33)-1)*5 + 1), INDEX($E$8:$CE$57, MATCH($C33, $C$8:$C$57, 0), (COLUMNS($DU33:DX33)-1)*5 + 4) = "SF"), INDEX($CZ$8:$CZ$23, COLUMNS($DU33:DX33)), "0"), "")</f>
        <v/>
      </c>
      <c r="DY33" s="395">
        <f t="array" ref="DY33">IFERROR(IF(AND(INDEX($E$8:$CE$57, MATCH($C33, $C$8:$C$57, 0), (COLUMNS($DU33:DY33)-1)*5 + 1) = INDEX($E$5:$CE$5, 1, (COLUMNS($DU33:DY33)-1)*5 + 1), INDEX($E$8:$CE$57, MATCH($C33, $C$8:$C$57, 0), (COLUMNS($DU33:DY33)-1)*5 + 4) = "SF"), INDEX($CZ$8:$CZ$23, COLUMNS($DU33:DY33)), "0"), "")</f>
        <v/>
      </c>
      <c r="DZ33" s="395">
        <f t="array" ref="DZ33">IFERROR(IF(AND(INDEX($E$8:$CE$57, MATCH($C33, $C$8:$C$57, 0), (COLUMNS($DU33:DZ33)-1)*5 + 1) = INDEX($E$5:$CE$5, 1, (COLUMNS($DU33:DZ33)-1)*5 + 1), INDEX($E$8:$CE$57, MATCH($C33, $C$8:$C$57, 0), (COLUMNS($DU33:DZ33)-1)*5 + 4) = "SF"), INDEX($CZ$8:$CZ$23, COLUMNS($DU33:DZ33)), "0"), "")</f>
        <v/>
      </c>
      <c r="EA33" s="395">
        <f t="array" ref="EA33">IFERROR(IF(AND(INDEX($E$8:$CE$57, MATCH($C33, $C$8:$C$57, 0), (COLUMNS($DU33:EA33)-1)*5 + 1) = INDEX($E$5:$CE$5, 1, (COLUMNS($DU33:EA33)-1)*5 + 1), INDEX($E$8:$CE$57, MATCH($C33, $C$8:$C$57, 0), (COLUMNS($DU33:EA33)-1)*5 + 4) = "SF"), INDEX($CZ$8:$CZ$23, COLUMNS($DU33:EA33)), "0"), "")</f>
        <v/>
      </c>
      <c r="EB33" s="395">
        <f t="array" ref="EB33">IFERROR(IF(AND(INDEX($E$8:$CE$57, MATCH($C33, $C$8:$C$57, 0), (COLUMNS($DU33:EB33)-1)*5 + 1) = INDEX($E$5:$CE$5, 1, (COLUMNS($DU33:EB33)-1)*5 + 1), INDEX($E$8:$CE$57, MATCH($C33, $C$8:$C$57, 0), (COLUMNS($DU33:EB33)-1)*5 + 4) = "SF"), INDEX($CZ$8:$CZ$23, COLUMNS($DU33:EB33)), "0"), "")</f>
        <v/>
      </c>
      <c r="EC33" s="395">
        <f t="array" ref="EC33">IFERROR(IF(AND(INDEX($E$8:$CE$57, MATCH($C33, $C$8:$C$57, 0), (COLUMNS($DU33:EC33)-1)*5 + 1) = INDEX($E$5:$CE$5, 1, (COLUMNS($DU33:EC33)-1)*5 + 1), INDEX($E$8:$CE$57, MATCH($C33, $C$8:$C$57, 0), (COLUMNS($DU33:EC33)-1)*5 + 4) = "SF"), INDEX($CZ$8:$CZ$23, COLUMNS($DU33:EC33)), "0"), "")</f>
        <v/>
      </c>
      <c r="ED33" s="395">
        <f t="array" ref="ED33">IFERROR(IF(AND(INDEX($E$8:$CE$57, MATCH($C33, $C$8:$C$57, 0), (COLUMNS($DU33:ED33)-1)*5 + 1) = INDEX($E$5:$CE$5, 1, (COLUMNS($DU33:ED33)-1)*5 + 1), INDEX($E$8:$CE$57, MATCH($C33, $C$8:$C$57, 0), (COLUMNS($DU33:ED33)-1)*5 + 4) = "SF"), INDEX($CZ$8:$CZ$23, COLUMNS($DU33:ED33)), "0"), "")</f>
        <v/>
      </c>
      <c r="EE33" s="395">
        <f t="array" ref="EE33">IFERROR(IF(AND(INDEX($E$8:$CE$57, MATCH($C33, $C$8:$C$57, 0), (COLUMNS($DU33:EE33)-1)*5 + 1) = INDEX($E$5:$CE$5, 1, (COLUMNS($DU33:EE33)-1)*5 + 1), INDEX($E$8:$CE$57, MATCH($C33, $C$8:$C$57, 0), (COLUMNS($DU33:EE33)-1)*5 + 4) = "SF"), INDEX($CZ$8:$CZ$23, COLUMNS($DU33:EE33)), "0"), "")</f>
        <v/>
      </c>
      <c r="EF33" s="395">
        <f t="array" ref="EF33">IFERROR(IF(AND(INDEX($E$8:$CE$57, MATCH($C33, $C$8:$C$57, 0), (COLUMNS($DU33:EF33)-1)*5 + 1) = INDEX($E$5:$CE$5, 1, (COLUMNS($DU33:EF33)-1)*5 + 1), INDEX($E$8:$CE$57, MATCH($C33, $C$8:$C$57, 0), (COLUMNS($DU33:EF33)-1)*5 + 4) = "SF"), INDEX($CZ$8:$CZ$23, COLUMNS($DU33:EF33)), "0"), "")</f>
        <v/>
      </c>
      <c r="EG33" s="395">
        <f t="array" ref="EG33">IFERROR(IF(AND(INDEX($E$8:$CE$57, MATCH($C33, $C$8:$C$57, 0), (COLUMNS($DU33:EG33)-1)*5 + 1) = INDEX($E$5:$CE$5, 1, (COLUMNS($DU33:EG33)-1)*5 + 1), INDEX($E$8:$CE$57, MATCH($C33, $C$8:$C$57, 0), (COLUMNS($DU33:EG33)-1)*5 + 4) = "SF"), INDEX($CZ$8:$CZ$23, COLUMNS($DU33:EG33)), "0"), "")</f>
        <v/>
      </c>
      <c r="EH33" s="395">
        <f t="array" ref="EH33">IFERROR(IF(AND(INDEX($E$8:$CE$57, MATCH($C33, $C$8:$C$57, 0), (COLUMNS($DU33:EH33)-1)*5 + 1) = INDEX($E$5:$CE$5, 1, (COLUMNS($DU33:EH33)-1)*5 + 1), INDEX($E$8:$CE$57, MATCH($C33, $C$8:$C$57, 0), (COLUMNS($DU33:EH33)-1)*5 + 4) = "SF"), INDEX($CZ$8:$CZ$23, COLUMNS($DU33:EH33)), "0"), "")</f>
        <v/>
      </c>
      <c r="EI33" s="395">
        <f t="array" ref="EI33">IFERROR(IF(AND(INDEX($E$8:$CE$57, MATCH($C33, $C$8:$C$57, 0), (COLUMNS($DU33:EI33)-1)*5 + 1) = INDEX($E$5:$CE$5, 1, (COLUMNS($DU33:EI33)-1)*5 + 1), INDEX($E$8:$CE$57, MATCH($C33, $C$8:$C$57, 0), (COLUMNS($DU33:EI33)-1)*5 + 4) = "SF"), INDEX($CZ$8:$CZ$23, COLUMNS($DU33:EI33)), "0"), "")</f>
        <v/>
      </c>
      <c r="EJ33" s="395">
        <f t="array" ref="EJ33">IFERROR(IF(AND(INDEX($E$8:$CE$57, MATCH($C33, $C$8:$C$57, 0), (COLUMNS($DU33:EJ33)-1)*5 + 1) = INDEX($E$5:$CE$5, 1, (COLUMNS($DU33:EJ33)-1)*5 + 1), INDEX($E$8:$CE$57, MATCH($C33, $C$8:$C$57, 0), (COLUMNS($DU33:EJ33)-1)*5 + 4) = "SF"), INDEX($CZ$8:$CZ$23, COLUMNS($DU33:EJ33)), "0"), "")</f>
        <v/>
      </c>
    </row>
    <row r="34" ht="19.5" customHeight="1" s="568">
      <c r="A34" s="576" t="n"/>
      <c r="B34" s="449">
        <f>IF(SEMANA2[[#This Row],[COD]]&lt;&gt;"",B33+1,"")</f>
        <v/>
      </c>
      <c r="C34" s="622" t="inlineStr">
        <is>
          <t>COD 27</t>
        </is>
      </c>
      <c r="D34" s="415">
        <f t="array" ref="D34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4" s="416" t="n">
        <v>9</v>
      </c>
      <c r="F34" s="422" t="n">
        <v>4</v>
      </c>
      <c r="G34" s="422" t="n">
        <v>5</v>
      </c>
      <c r="H34" s="422" t="n"/>
      <c r="I34" s="602">
        <f>SUM(IF(E34=E$5,4,0),IF(E34&amp;F34=E$5&amp;F$5,1,0),
IF(AND(E34=E$5,F$6&gt;=$D$115),1,0),
IF(AND(F34=E$5,F$6&gt;=$D$115),1,0),
IF(AND(G34=E$5,F$6&gt;=$D$115),1,0),
IF(E34&amp;H34=I$5,1,0),
IF(F34=E$5,2,0),
IF(G34=E$5,1,0),
IF(OR(E34&amp;F34&amp;G34=E$5&amp;F$5&amp;G$5,E34&amp;F34&amp;G34=E$5&amp;G$5&amp;F$5,E34&amp;F34&amp;G34=F$5&amp;E$5&amp;G$5,E34&amp;F34&amp;G34=F$5&amp;G$5&amp;E$5,E34&amp;F34&amp;G34=G$5&amp;E$5&amp;F$5,E34&amp;F34&amp;G34=G$5&amp;F$5&amp;E$5),2,0),IF(AND(E34=E$5,F$6&gt;=$D$129),1,0),IF(AND(F34=E$5,F$6&gt;=$D$129),1,0),IF(AND(G34=E$5,F$6&gt;=$D$129),1,0),IF(E34&amp;H34=H$5,4,0),IF(AND(E34=E$5,F$6&lt;=$D$104),-0.5,0),IF(AND(F34=E$5,F$6&lt;=$D$104),-0.5,0),IF(AND(G34=E$5,F$6&lt;=$D$104),-0.5,0))</f>
        <v/>
      </c>
      <c r="J34" s="416" t="n">
        <v>2</v>
      </c>
      <c r="K34" s="422" t="n">
        <v>1</v>
      </c>
      <c r="L34" s="422" t="n">
        <v>9</v>
      </c>
      <c r="M34" s="422" t="n"/>
      <c r="N34" s="602">
        <f>SUM(IF(J34=J$5,4,0),IF(J34&amp;K34=J$5&amp;K$5,1,0),
IF(AND(J34=J$5,K$6&gt;=$D$115),1,0),
IF(AND(K34=J$5,K$6&gt;=$D$115),1,0),
IF(AND(L34=J$5,K$6&gt;=$D$115),1,0),
IF(J34&amp;M34=N$5,1,0),
IF(K34=J$5,2,0),
IF(L34=J$5,1,0),
IF(OR(J34&amp;K34&amp;L34=J$5&amp;K$5&amp;L$5,J34&amp;K34&amp;L34=J$5&amp;L$5&amp;K$5,J34&amp;K34&amp;L34=K$5&amp;J$5&amp;L$5,J34&amp;K34&amp;L34=K$5&amp;L$5&amp;J$5,J34&amp;K34&amp;L34=L$5&amp;J$5&amp;K$5,J34&amp;K34&amp;L34=L$5&amp;K$5&amp;J$5),2,0),IF(AND(J34=J$5,K$6&gt;=$D$129),1,0),IF(AND(K34=J$5,K$6&gt;=$D$129),1,0),IF(AND(L34=J$5,K$6&gt;=$D$129),1,0),IF(J34&amp;M34=M$5,4,0),IF(AND(J34=J$5,K$6&lt;=$D$104),-0.5,0),IF(AND(K34=J$5,K$6&lt;=$D$104),-0.5,0),IF(AND(L34=J$5,K$6&lt;=$D$104),-0.5,0))</f>
        <v/>
      </c>
      <c r="O34" s="416" t="n">
        <v>1</v>
      </c>
      <c r="P34" s="422" t="n">
        <v>5</v>
      </c>
      <c r="Q34" s="422" t="n">
        <v>9</v>
      </c>
      <c r="R34" s="422" t="n"/>
      <c r="S34" s="602">
        <f>SUM(IF(O34=O$5,4,0),IF(O34&amp;P34=O$5&amp;P$5,1,0),
IF(AND(O34=O$5,P$6&gt;=$D$115),1,0),
IF(AND(P34=O$5,P$6&gt;=$D$115),1,0),
IF(AND(Q34=O$5,P$6&gt;=$D$115),1,0),
IF(O34&amp;R34=S$5,1,0),
IF(P34=O$5,2,0),
IF(Q34=O$5,1,0),
IF(OR(O34&amp;P34&amp;Q34=O$5&amp;P$5&amp;Q$5,O34&amp;P34&amp;Q34=O$5&amp;Q$5&amp;P$5,O34&amp;P34&amp;Q34=P$5&amp;O$5&amp;Q$5,O34&amp;P34&amp;Q34=P$5&amp;Q$5&amp;O$5,O34&amp;P34&amp;Q34=Q$5&amp;O$5&amp;P$5,O34&amp;P34&amp;Q34=Q$5&amp;P$5&amp;O$5),2,0),IF(AND(O34=O$5,P$6&gt;=$D$129),1,0),IF(AND(P34=O$5,P$6&gt;=$D$129),1,0),IF(AND(Q34=O$5,P$6&gt;=$D$129),1,0),IF(O34&amp;R34=R$5,4,0),IF(AND(O34=O$5,P$6&lt;=$D$104),-0.5,0),IF(AND(P34=O$5,P$6&lt;=$D$104),-0.5,0),IF(AND(Q34=O$5,P$6&lt;=$D$104),-0.5,0))</f>
        <v/>
      </c>
      <c r="T34" s="416" t="n">
        <v>5</v>
      </c>
      <c r="U34" s="422" t="n">
        <v>3</v>
      </c>
      <c r="V34" s="422" t="n">
        <v>4</v>
      </c>
      <c r="W34" s="422" t="n"/>
      <c r="X34" s="602">
        <f>SUM(IF(T34=T$5,4,0),IF(T34&amp;U34=T$5&amp;U$5,1,0),
IF(AND(T34=T$5,U$6&gt;=$D$115),1,0),
IF(AND(U34=T$5,U$6&gt;=$D$115),1,0),
IF(AND(V34=T$5,U$6&gt;=$D$115),1,0),
IF(T34&amp;W34=X$5,1,0),
IF(U34=T$5,2,0),
IF(V34=T$5,1,0),
IF(OR(T34&amp;U34&amp;V34=T$5&amp;U$5&amp;V$5,T34&amp;U34&amp;V34=T$5&amp;V$5&amp;U$5,T34&amp;U34&amp;V34=U$5&amp;T$5&amp;V$5,T34&amp;U34&amp;V34=U$5&amp;V$5&amp;T$5,T34&amp;U34&amp;V34=V$5&amp;T$5&amp;U$5,T34&amp;U34&amp;V34=V$5&amp;U$5&amp;T$5),2,0),IF(AND(T34=T$5,U$6&gt;=$D$129),1,0),IF(AND(U34=T$5,U$6&gt;=$D$129),1,0),IF(AND(V34=T$5,U$6&gt;=$D$129),1,0),IF(T34&amp;W34=W$5,4,0),IF(AND(T34=T$5,U$6&lt;=$D$104),-0.5,0),IF(AND(U34=T$5,U$6&lt;=$D$104),-0.5,0),IF(AND(V34=T$5,U$6&lt;=$D$104),-0.5,0))</f>
        <v/>
      </c>
      <c r="Y34" s="416" t="n">
        <v>1</v>
      </c>
      <c r="Z34" s="422" t="n">
        <v>4</v>
      </c>
      <c r="AA34" s="422" t="n">
        <v>7</v>
      </c>
      <c r="AB34" s="422" t="n"/>
      <c r="AC34" s="602">
        <f>SUM(IF(Y34=Y$5,4,0),IF(Y34&amp;Z34=Y$5&amp;Z$5,1,0),
IF(AND(Y34=Y$5,Z$6&gt;=$D$115),1,0),
IF(AND(Z34=Y$5,Z$6&gt;=$D$115),1,0),
IF(AND(AA34=Y$5,Z$6&gt;=$D$115),1,0),
IF(Y34&amp;AB34=AC$5,1,0),
IF(Z34=Y$5,2,0),
IF(AA34=Y$5,1,0),
IF(OR(Y34&amp;Z34&amp;AA34=Y$5&amp;Z$5&amp;AA$5,Y34&amp;Z34&amp;AA34=Y$5&amp;AA$5&amp;Z$5,Y34&amp;Z34&amp;AA34=Z$5&amp;Y$5&amp;AA$5,Y34&amp;Z34&amp;AA34=Z$5&amp;AA$5&amp;Y$5,Y34&amp;Z34&amp;AA34=AA$5&amp;Y$5&amp;Z$5,Y34&amp;Z34&amp;AA34=AA$5&amp;Z$5&amp;Y$5),2,0),IF(AND(Y34=Y$5,Z$6&gt;=$D$129),1,0),IF(AND(Z34=Y$5,Z$6&gt;=$D$129),1,0),IF(AND(AA34=Y$5,Z$6&gt;=$D$129),1,0),IF(Y34&amp;AB34=AB$5,4,0),IF(AND(Y34=Y$5,Z$6&lt;=$D$104),-0.5,0),IF(AND(Z34=Y$5,Z$6&lt;=$D$104),-0.5,0),IF(AND(AA34=Y$5,Z$6&lt;=$D$104),-0.5,0))</f>
        <v/>
      </c>
      <c r="AD34" s="416" t="n">
        <v>6</v>
      </c>
      <c r="AE34" s="422" t="n">
        <v>5</v>
      </c>
      <c r="AF34" s="422" t="n">
        <v>3</v>
      </c>
      <c r="AG34" s="422" t="n"/>
      <c r="AH34" s="602">
        <f>SUM(IF(AD34=AD$5,4,0),IF(AD34&amp;AE34=AD$5&amp;AE$5,1,0),
IF(AND(AD34=AD$5,AE$6&gt;=$D$115),1,0),
IF(AND(AE34=AD$5,AE$6&gt;=$D$115),1,0),
IF(AND(AF34=AD$5,AE$6&gt;=$D$115),1,0),
IF(AD34&amp;AG34=AH$5,1,0),
IF(AE34=AD$5,2,0),
IF(AF34=AD$5,1,0),
IF(OR(AD34&amp;AE34&amp;AF34=AD$5&amp;AE$5&amp;AF$5,AD34&amp;AE34&amp;AF34=AD$5&amp;AF$5&amp;AE$5,AD34&amp;AE34&amp;AF34=AE$5&amp;AD$5&amp;AF$5,AD34&amp;AE34&amp;AF34=AE$5&amp;AF$5&amp;AD$5,AD34&amp;AE34&amp;AF34=AF$5&amp;AD$5&amp;AE$5,AD34&amp;AE34&amp;AF34=AF$5&amp;AE$5&amp;AD$5),2,0),IF(AND(AD34=AD$5,AE$6&gt;=$D$129),1,0),IF(AND(AE34=AD$5,AE$6&gt;=$D$129),1,0),IF(AND(AF34=AD$5,AE$6&gt;=$D$129),1,0),IF(AD34&amp;AG34=AG$5,4,0),IF(AND(AD34=AD$5,AE$6&lt;=$D$104),-0.5,0),IF(AND(AE34=AD$5,AE$6&lt;=$D$104),-0.5,0),IF(AND(AF34=AD$5,AE$6&lt;=$D$104),-0.5,0))</f>
        <v/>
      </c>
      <c r="AI34" s="416" t="n">
        <v>7</v>
      </c>
      <c r="AJ34" s="422" t="n">
        <v>8</v>
      </c>
      <c r="AK34" s="422" t="n">
        <v>6</v>
      </c>
      <c r="AL34" s="422" t="n"/>
      <c r="AM34" s="602">
        <f>SUM(IF(AI34=AI$5,4,0),IF(AI34&amp;AJ34=AI$5&amp;AJ$5,1,0),
IF(AND(AI34=AI$5,AJ$6&gt;=$D$115),1,0),
IF(AND(AJ34=AI$5,AJ$6&gt;=$D$115),1,0),
IF(AND(AK34=AI$5,AJ$6&gt;=$D$115),1,0),
IF(AI34&amp;AL34=AM$5,1,0),
IF(AJ34=AI$5,2,0),
IF(AK34=AI$5,1,0),
IF(OR(AI34&amp;AJ34&amp;AK34=AI$5&amp;AJ$5&amp;AK$5,AI34&amp;AJ34&amp;AK34=AI$5&amp;AK$5&amp;AJ$5,AI34&amp;AJ34&amp;AK34=AJ$5&amp;AI$5&amp;AK$5,AI34&amp;AJ34&amp;AK34=AJ$5&amp;AK$5&amp;AI$5,AI34&amp;AJ34&amp;AK34=AK$5&amp;AI$5&amp;AJ$5,AI34&amp;AJ34&amp;AK34=AK$5&amp;AJ$5&amp;AI$5),2,0),IF(AND(AI34=AI$5,AJ$6&gt;=$D$129),1,0),IF(AND(AJ34=AI$5,AJ$6&gt;=$D$129),1,0),IF(AND(AK34=AI$5,AJ$6&gt;=$D$129),1,0),IF(AI34&amp;AL34=AL$5,4,0),IF(AND(AI34=AI$5,AJ$6&lt;=$D$104),-0.5,0),IF(AND(AJ34=AI$5,AJ$6&lt;=$D$104),-0.5,0),IF(AND(AK34=AI$5,AJ$6&lt;=$D$104),-0.5,0))</f>
        <v/>
      </c>
      <c r="AN34" s="416" t="n">
        <v>8</v>
      </c>
      <c r="AO34" s="422" t="n">
        <v>1</v>
      </c>
      <c r="AP34" s="422" t="n">
        <v>2</v>
      </c>
      <c r="AQ34" s="422" t="inlineStr">
        <is>
          <t>F</t>
        </is>
      </c>
      <c r="AR34" s="602">
        <f>SUM(IF(AN34=AN$5,4,0),IF(AN34&amp;AO34=AN$5&amp;AO$5,1,0),
IF(AND(AN34=AN$5,AO$6&gt;=$D$115),1,0),
IF(AND(AO34=AN$5,AO$6&gt;=$D$115),1,0),
IF(AND(AP34=AN$5,AO$6&gt;=$D$115),1,0),
IF(AN34&amp;AQ34=AR$5,1,0),
IF(AO34=AN$5,2,0),
IF(AP34=AN$5,1,0),
IF(OR(AN34&amp;AO34&amp;AP34=AN$5&amp;AO$5&amp;AP$5,AN34&amp;AO34&amp;AP34=AN$5&amp;AP$5&amp;AO$5,AN34&amp;AO34&amp;AP34=AO$5&amp;AN$5&amp;AP$5,AN34&amp;AO34&amp;AP34=AO$5&amp;AP$5&amp;AN$5,AN34&amp;AO34&amp;AP34=AP$5&amp;AN$5&amp;AO$5,AN34&amp;AO34&amp;AP34=AP$5&amp;AO$5&amp;AN$5),2,0),IF(AND(AN34=AN$5,AO$6&gt;=$D$129),1,0),IF(AND(AO34=AN$5,AO$6&gt;=$D$129),1,0),IF(AND(AP34=AN$5,AO$6&gt;=$D$129),1,0),IF(AN34&amp;AQ34=AQ$5,4,0),IF(AND(AN34=AN$5,AO$6&lt;=$D$104),-0.5,0),IF(AND(AO34=AN$5,AO$6&lt;=$D$104),-0.5,0),IF(AND(AP34=AN$5,AO$6&lt;=$D$104),-0.5,0))</f>
        <v/>
      </c>
      <c r="AS34" s="416" t="n">
        <v>2</v>
      </c>
      <c r="AT34" s="422" t="n">
        <v>9</v>
      </c>
      <c r="AU34" s="422" t="n">
        <v>10</v>
      </c>
      <c r="AV34" s="422" t="n"/>
      <c r="AW34" s="602">
        <f>SUM(IF(AS34=AS$5,4,0),IF(AS34&amp;AT34=AS$5&amp;AT$5,1,0),
IF(AND(AS34=AS$5,AT$6&gt;=$D$115),1,0),
IF(AND(AT34=AS$5,AT$6&gt;=$D$115),1,0),
IF(AND(AU34=AS$5,AT$6&gt;=$D$115),1,0),
IF(AS34&amp;AV34=AW$5,1,0),
IF(AT34=AS$5,2,0),
IF(AU34=AS$5,1,0),
IF(OR(AS34&amp;AT34&amp;AU34=AS$5&amp;AT$5&amp;AU$5,AS34&amp;AT34&amp;AU34=AS$5&amp;AU$5&amp;AT$5,AS34&amp;AT34&amp;AU34=AT$5&amp;AS$5&amp;AU$5,AS34&amp;AT34&amp;AU34=AT$5&amp;AU$5&amp;AS$5,AS34&amp;AT34&amp;AU34=AU$5&amp;AS$5&amp;AT$5,AS34&amp;AT34&amp;AU34=AU$5&amp;AT$5&amp;AS$5),2,0),IF(AND(AS34=AS$5,AT$6&gt;=$D$129),1,0),IF(AND(AT34=AS$5,AT$6&gt;=$D$129),1,0),IF(AND(AU34=AS$5,AT$6&gt;=$D$129),1,0),IF(AS34&amp;AV34=AV$5,4,0),IF(AND(AS34=AS$5,AT$6&lt;=$D$104),-0.5,0),IF(AND(AT34=AS$5,AT$6&lt;=$D$104),-0.5,0),IF(AND(AU34=AS$5,AT$6&lt;=$D$104),-0.5,0))</f>
        <v/>
      </c>
      <c r="AX34" s="416" t="n">
        <v>5</v>
      </c>
      <c r="AY34" s="422" t="n">
        <v>2</v>
      </c>
      <c r="AZ34" s="422" t="n">
        <v>10</v>
      </c>
      <c r="BA34" s="422" t="n"/>
      <c r="BB34" s="602">
        <f>SUM(IF(AX34=AX$5,4,0),IF(AX34&amp;AY34=AX$5&amp;AY$5,1,0),
IF(AND(AX34=AX$5,AY$6&gt;=$D$115),1,0),
IF(AND(AY34=AX$5,AY$6&gt;=$D$115),1,0),
IF(AND(AZ34=AX$5,AY$6&gt;=$D$115),1,0),
IF(AX34&amp;BA34=BB$5,1,0),
IF(AY34=AX$5,2,0),
IF(AZ34=AX$5,1,0),
IF(OR(AX34&amp;AY34&amp;AZ34=AX$5&amp;AY$5&amp;AZ$5,AX34&amp;AY34&amp;AZ34=AX$5&amp;AZ$5&amp;AY$5,AX34&amp;AY34&amp;AZ34=AY$5&amp;AX$5&amp;AZ$5,AX34&amp;AY34&amp;AZ34=AY$5&amp;AZ$5&amp;AX$5,AX34&amp;AY34&amp;AZ34=AZ$5&amp;AX$5&amp;AY$5,AX34&amp;AY34&amp;AZ34=AZ$5&amp;AY$5&amp;AX$5),2,0),IF(AND(AX34=AX$5,AY$6&gt;=$D$129),1,0),IF(AND(AY34=AX$5,AY$6&gt;=$D$129),1,0),IF(AND(AZ34=AX$5,AY$6&gt;=$D$129),1,0),IF(AX34&amp;BA34=BA$5,4,0),IF(AND(AX34=AX$5,AY$6&lt;=$D$104),-0.5,0),IF(AND(AY34=AX$5,AY$6&lt;=$D$104),-0.5,0),IF(AND(AZ34=AX$5,AY$6&lt;=$D$104),-0.5,0))</f>
        <v/>
      </c>
      <c r="BC34" s="416" t="n">
        <v>7</v>
      </c>
      <c r="BD34" s="422" t="n">
        <v>6</v>
      </c>
      <c r="BE34" s="422" t="n">
        <v>3</v>
      </c>
      <c r="BF34" s="422" t="inlineStr">
        <is>
          <t>F</t>
        </is>
      </c>
      <c r="BG34" s="602">
        <f>SUM(IF(BC34=BC$5,4,0),IF(BC34&amp;BD34=BC$5&amp;BD$5,1,0),
IF(AND(BC34=BC$5,BD$6&gt;=$D$115),1,0),
IF(AND(BD34=BC$5,BD$6&gt;=$D$115),1,0),
IF(AND(BE34=BC$5,BD$6&gt;=$D$115),1,0),
IF(BC34&amp;BF34=BG$5,1,0),
IF(BD34=BC$5,2,0),
IF(BE34=BC$5,1,0),
IF(OR(BC34&amp;BD34&amp;BE34=BC$5&amp;BD$5&amp;BE$5,BC34&amp;BD34&amp;BE34=BC$5&amp;BE$5&amp;BD$5,BC34&amp;BD34&amp;BE34=BD$5&amp;BC$5&amp;BE$5,BC34&amp;BD34&amp;BE34=BD$5&amp;BE$5&amp;BC$5,BC34&amp;BD34&amp;BE34=BE$5&amp;BC$5&amp;BD$5,BC34&amp;BD34&amp;BE34=BE$5&amp;BD$5&amp;BC$5),2,0),IF(AND(BC34=BC$5,BD$6&gt;=$D$129),1,0),IF(AND(BD34=BC$5,BD$6&gt;=$D$129),1,0),IF(AND(BE34=BC$5,BD$6&gt;=$D$129),1,0),IF(BC34&amp;BF34=BF$5,4,0),IF(AND(BC34=BC$5,BD$6&lt;=$D$104),-0.5,0),IF(AND(BD34=BC$5,BD$6&lt;=$D$104),-0.5,0),IF(AND(BE34=BC$5,BD$6&lt;=$D$104),-0.5,0))</f>
        <v/>
      </c>
      <c r="BH34" s="416" t="n">
        <v>6</v>
      </c>
      <c r="BI34" s="422" t="n">
        <v>1</v>
      </c>
      <c r="BJ34" s="422" t="n">
        <v>5</v>
      </c>
      <c r="BK34" s="422" t="n"/>
      <c r="BL34" s="602">
        <f>SUM(IF(BH34=BH$5,4,0),IF(BH34&amp;BI34=BH$5&amp;BI$5,1,0),
IF(AND(BH34=BH$5,BI$6&gt;=$D$115),1,0),
IF(AND(BI34=BH$5,BI$6&gt;=$D$115),1,0),
IF(AND(BJ34=BH$5,BI$6&gt;=$D$115),1,0),
IF(BH34&amp;BK34=BL$5,1,0),
IF(BI34=BH$5,2,0),
IF(BJ34=BH$5,1,0),
IF(OR(BH34&amp;BI34&amp;BJ34=BH$5&amp;BI$5&amp;BJ$5,BH34&amp;BI34&amp;BJ34=BH$5&amp;BJ$5&amp;BI$5,BH34&amp;BI34&amp;BJ34=BI$5&amp;BH$5&amp;BJ$5,BH34&amp;BI34&amp;BJ34=BI$5&amp;BJ$5&amp;BH$5,BH34&amp;BI34&amp;BJ34=BJ$5&amp;BH$5&amp;BI$5,BH34&amp;BI34&amp;BJ34=BJ$5&amp;BI$5&amp;BH$5),2,0),IF(AND(BH34=BH$5,BI$6&gt;=$D$129),1,0),IF(AND(BI34=BH$5,BI$6&gt;=$D$129),1,0),IF(AND(BJ34=BH$5,BI$6&gt;=$D$129),1,0),IF(BH34&amp;BK34=BK$5,4,0),IF(AND(BH34=BH$5,BI$6&lt;=$D$104),-0.5,0),IF(AND(BI34=BH$5,BI$6&lt;=$D$104),-0.5,0),IF(AND(BJ34=BH$5,BI$6&lt;=$D$104),-0.5,0))</f>
        <v/>
      </c>
      <c r="BM34" s="416" t="n">
        <v>4</v>
      </c>
      <c r="BN34" s="422" t="n">
        <v>1</v>
      </c>
      <c r="BO34" s="422" t="n">
        <v>8</v>
      </c>
      <c r="BP34" s="422" t="n"/>
      <c r="BQ34" s="602">
        <f>SUM(IF(BM34=BM$5,4,0),IF(BM34&amp;BN34=BM$5&amp;BN$5,1,0),
IF(AND(BM34=BM$5,BN$6&gt;=$D$115),1,0),
IF(AND(BN34=BM$5,BN$6&gt;=$D$115),1,0),
IF(AND(BO34=BM$5,BN$6&gt;=$D$115),1,0),
IF(BM34&amp;BP34=BQ$5,1,0),
IF(BN34=BM$5,2,0),
IF(BO34=BM$5,1,0),
IF(OR(BM34&amp;BN34&amp;BO34=BM$5&amp;BN$5&amp;BO$5,BM34&amp;BN34&amp;BO34=BM$5&amp;BO$5&amp;BN$5,BM34&amp;BN34&amp;BO34=BN$5&amp;BM$5&amp;BO$5,BM34&amp;BN34&amp;BO34=BN$5&amp;BO$5&amp;BM$5,BM34&amp;BN34&amp;BO34=BO$5&amp;BM$5&amp;BN$5,BM34&amp;BN34&amp;BO34=BO$5&amp;BN$5&amp;BM$5),2,0),IF(AND(BM34=BM$5,BN$6&gt;=$D$129),1,0),IF(AND(BN34=BM$5,BN$6&gt;=$D$129),1,0),IF(AND(BO34=BM$5,BN$6&gt;=$D$129),1,0),IF(BM34&amp;BP34=BP$5,4,0),IF(AND(BM34=BM$5,BN$6&lt;=$D$104),-0.5,0),IF(AND(BN34=BM$5,BN$6&lt;=$D$104),-0.5,0),IF(AND(BO34=BM$5,BN$6&lt;=$D$104),-0.5,0))</f>
        <v/>
      </c>
      <c r="BR34" s="416" t="n">
        <v>11</v>
      </c>
      <c r="BS34" s="422" t="n"/>
      <c r="BT34" s="422" t="n"/>
      <c r="BU34" s="422" t="inlineStr">
        <is>
          <t>SF</t>
        </is>
      </c>
      <c r="BV34" s="602">
        <f>SUM(IF(BR34=BR$5,4,0),IF(BR34&amp;BS34=BR$5&amp;BS$5,1,0),
IF(AND(BR34=BR$5,BS$6&gt;=$D$115),1,0),
IF(AND(BS34=BR$5,BS$6&gt;=$D$115),1,0),
IF(AND(BT34=BR$5,BS$6&gt;=$D$115),1,0),
IF(BR34&amp;BU34=BV$5,1,0),
IF(BS34=BR$5,2,0),
IF(BT34=BR$5,1,0),
IF(OR(BR34&amp;BS34&amp;BT34=BR$5&amp;BS$5&amp;BT$5,BR34&amp;BS34&amp;BT34=BR$5&amp;BT$5&amp;BS$5,BR34&amp;BS34&amp;BT34=BS$5&amp;BR$5&amp;BT$5,BR34&amp;BS34&amp;BT34=BS$5&amp;BT$5&amp;BR$5,BR34&amp;BS34&amp;BT34=BT$5&amp;BR$5&amp;BS$5,BR34&amp;BS34&amp;BT34=BT$5&amp;BS$5&amp;BR$5),2,0),IF(AND(BR34=BR$5,BS$6&gt;=$D$129),1,0),IF(AND(BS34=BR$5,BS$6&gt;=$D$129),1,0),IF(AND(BT34=BR$5,BS$6&gt;=$D$129),1,0),IF(BR34&amp;BU34=BU$5,4,0),IF(AND(BR34=BR$5,BS$6&lt;=$D$104),-0.5,0),IF(AND(BS34=BR$5,BS$6&lt;=$D$104),-0.5,0),IF(AND(BT34=BR$5,BS$6&lt;=$D$104),-0.5,0))</f>
        <v/>
      </c>
      <c r="BW34" s="416" t="n"/>
      <c r="BX34" s="422" t="n"/>
      <c r="BY34" s="422" t="n"/>
      <c r="BZ34" s="422" t="n"/>
      <c r="CA34" s="602">
        <f>SUM(IF(BW34=BW$5,4,0),IF(BW34&amp;BX34=BW$5&amp;BX$5,1,0),
IF(AND(BW34=BW$5,BX$6&gt;=$D$115),1,0),
IF(AND(BX34=BW$5,BX$6&gt;=$D$115),1,0),
IF(AND(BY34=BW$5,BX$6&gt;=$D$115),1,0),
IF(BW34&amp;BZ34=CA$5,1,0),
IF(BX34=BW$5,2,0),
IF(BY34=BW$5,1,0),
IF(OR(BW34&amp;BX34&amp;BY34=BW$5&amp;BX$5&amp;BY$5,BW34&amp;BX34&amp;BY34=BW$5&amp;BY$5&amp;BX$5,BW34&amp;BX34&amp;BY34=BX$5&amp;BW$5&amp;BY$5,BW34&amp;BX34&amp;BY34=BX$5&amp;BY$5&amp;BW$5,BW34&amp;BX34&amp;BY34=BY$5&amp;BW$5&amp;BX$5,BW34&amp;BX34&amp;BY34=BY$5&amp;BX$5&amp;BW$5),2,0),IF(AND(BW34=BW$5,BX$6&gt;=$D$129),1,0),IF(AND(BX34=BW$5,BX$6&gt;=$D$129),1,0),IF(AND(BY34=BW$5,BX$6&gt;=$D$129),1,0),IF(BW34&amp;BZ34=BZ$5,4,0),IF(AND(BW34=BW$5,BX$6&lt;=$D$104),-0.5,0),IF(AND(BX34=BW$5,BX$6&lt;=$D$104),-0.5,0),IF(AND(BY34=BW$5,BX$6&lt;=$D$104),-0.5,0))</f>
        <v/>
      </c>
      <c r="CB34" s="416" t="n"/>
      <c r="CC34" s="422" t="n"/>
      <c r="CD34" s="422" t="n"/>
      <c r="CE34" s="422" t="n"/>
      <c r="CF34" s="602">
        <f>SUM(IF(CB34=CB$5,4,0),IF(CB34&amp;CC34=CB$5&amp;CC$5,1,0),
IF(AND(CB34=CB$5,CC$6&gt;=$D$115),1,0),
IF(AND(CC34=CB$5,CC$6&gt;=$D$115),1,0),
IF(AND(CD34=CB$5,CC$6&gt;=$D$115),1,0),
IF(CB34&amp;CE34=CF$5,1,0),
IF(CC34=CB$5,2,0),
IF(CD34=CB$5,1,0),
IF(OR(CB34&amp;CC34&amp;CD34=CB$5&amp;CC$5&amp;CD$5,CB34&amp;CC34&amp;CD34=CB$5&amp;CD$5&amp;CC$5,CB34&amp;CC34&amp;CD34=CC$5&amp;CB$5&amp;CD$5,CB34&amp;CC34&amp;CD34=CC$5&amp;CD$5&amp;CB$5,CB34&amp;CC34&amp;CD34=CD$5&amp;CB$5&amp;CC$5,CB34&amp;CC34&amp;CD34=CD$5&amp;CC$5&amp;CB$5),2,0),IF(AND(CB34=CB$5,CC$6&gt;=$D$129),1,0),IF(AND(CC34=CB$5,CC$6&gt;=$D$129),1,0),IF(AND(CD34=CB$5,CC$6&gt;=$D$129),1,0),IF(CB34&amp;CE34=CE$5,4,0),IF(AND(CB34=CB$5,CC$6&lt;=$D$104),-0.5,0),IF(AND(CC34=CB$5,CC$6&lt;=$D$104),-0.5,0),IF(AND(CD34=CB$5,CC$6&lt;=$D$104),-0.5,0))</f>
        <v/>
      </c>
      <c r="CG34" s="164">
        <f>IF(SEMANA2[[#This Row],[1]]="",0,$B$4)</f>
        <v/>
      </c>
      <c r="CH34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4" s="166">
        <f>IF(SEMANA2[[#This Row],[Columna14]]=0,0,(CH34/CG34))</f>
        <v/>
      </c>
      <c r="CJ34" s="165">
        <f>IF(SEMANA2[[#This Row],[1]]="",0,$B$4)</f>
        <v/>
      </c>
      <c r="CK34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4" s="166">
        <f>IF(SEMANA2[[#This Row],[Columna14]]=0,0,(CK34/CJ34))</f>
        <v/>
      </c>
      <c r="CM34" s="164">
        <f>IF(SEMANA2[[#This Row],[1]]="",0,$B$4)</f>
        <v/>
      </c>
      <c r="CN34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4" s="166">
        <f>IF(SEMANA2[[#This Row],[Columna14]]=0,0,(CN34/CM34))</f>
        <v/>
      </c>
      <c r="CP34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4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Row],[Columna25]],$AX$5,BA34,"SF")+COUNTIFS(SEMANA2[[#This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4" s="166">
        <f>IFERROR(IF(SEMANA2[[#This Row],[Columna14]]=0,0,(CQ34/CP34)),0)</f>
        <v/>
      </c>
      <c r="CS34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4" s="95">
        <f>_xlfn.XLOOKUP(SEMANA2[[#This Row],[COD]],BASE01[COD],BASE01[Columna33])</f>
        <v/>
      </c>
      <c r="CU34" s="604">
        <f>SUM(CS34,CT34)</f>
        <v/>
      </c>
      <c r="CV34" s="450">
        <f>IF(SEMANA2[[#This Row],[TIPO]]="PREMIO",$O$3,"0,00")</f>
        <v/>
      </c>
      <c r="CW34" s="576" t="n"/>
      <c r="CY34" s="392">
        <f>IF(CZ34="","",$CZ$25)</f>
        <v/>
      </c>
      <c r="CZ34" s="392" t="inlineStr">
        <is>
          <t>COD 28</t>
        </is>
      </c>
      <c r="DA34" s="392">
        <f t="array" ref="DA34">IF(CZ34="", "", IF((INDEX(E$8:CE$57, MATCH(CZ34, C$8:C$57, 0), ($CZ$25-1)*5 + 1) &amp; "") = (INDEX(E$5:CE$5, 1, ($CZ$25-1)*5 + 1) &amp; ""), 1, IF((INDEX(E$8:CE$57, MATCH(CZ34, C$8:C$57, 0), ($CZ$25-1)*5 + 2) &amp; "") = (INDEX(E$5:CE$5, 1, ($CZ$25-1)*5 + 1) &amp; ""), 2, IF((INDEX(E$8:CE$57, MATCH(CZ34, C$8:C$57, 0), ($CZ$25-1)*5 + 3) &amp; "") = (INDEX(E$5:CE$5, 1, ($CZ$25-1)*5 + 1) &amp; ""), 3, ""))))</f>
        <v/>
      </c>
      <c r="DB34" s="605">
        <f>SEMANA2[[#This Row],[COD]]</f>
        <v/>
      </c>
      <c r="DC34" s="395">
        <f t="array" ref="DC34">IFERROR(IF(AND(INDEX($E$8:$CE$57, MATCH($C34, $C$8:$C$57, 0), (COLUMNS($DC34:DC34)-1)*5 + 1) = INDEX($E$5:$CE$5, 1, (COLUMNS($DC34:DC34)-1)*5 + 1), INDEX($E$8:$CE$57, MATCH($C34, $C$8:$C$57, 0), (COLUMNS($DC34:DC34)-1)*5 + 4) = "F"), INDEX($CZ$8:$CZ$23, COLUMNS($DC34:DC34)), "0"), "")</f>
        <v/>
      </c>
      <c r="DD34" s="395">
        <f t="array" ref="DD34">IFERROR(IF(AND(INDEX($E$8:$CE$57, MATCH($C34, $C$8:$C$57, 0), (COLUMNS($DC34:DD34)-1)*5 + 1) = INDEX($E$5:$CE$5, 1, (COLUMNS($DC34:DD34)-1)*5 + 1), INDEX($E$8:$CE$57, MATCH($C34, $C$8:$C$57, 0), (COLUMNS($DC34:DD34)-1)*5 + 4) = "F"), INDEX($CZ$8:$CZ$23, COLUMNS($DC34:DD34)), "0"), "")</f>
        <v/>
      </c>
      <c r="DE34" s="395">
        <f t="array" ref="DE34">IFERROR(IF(AND(INDEX($E$8:$CE$57, MATCH($C34, $C$8:$C$57, 0), (COLUMNS($DC34:DE34)-1)*5 + 1) = INDEX($E$5:$CE$5, 1, (COLUMNS($DC34:DE34)-1)*5 + 1), INDEX($E$8:$CE$57, MATCH($C34, $C$8:$C$57, 0), (COLUMNS($DC34:DE34)-1)*5 + 4) = "F"), INDEX($CZ$8:$CZ$23, COLUMNS($DC34:DE34)), "0"), "")</f>
        <v/>
      </c>
      <c r="DF34" s="395">
        <f t="array" ref="DF34">IFERROR(IF(AND(INDEX($E$8:$CE$57, MATCH($C34, $C$8:$C$57, 0), (COLUMNS($DC34:DF34)-1)*5 + 1) = INDEX($E$5:$CE$5, 1, (COLUMNS($DC34:DF34)-1)*5 + 1), INDEX($E$8:$CE$57, MATCH($C34, $C$8:$C$57, 0), (COLUMNS($DC34:DF34)-1)*5 + 4) = "F"), INDEX($CZ$8:$CZ$23, COLUMNS($DC34:DF34)), "0"), "")</f>
        <v/>
      </c>
      <c r="DG34" s="395">
        <f t="array" ref="DG34">IFERROR(IF(AND(INDEX($E$8:$CE$57, MATCH($C34, $C$8:$C$57, 0), (COLUMNS($DC34:DG34)-1)*5 + 1) = INDEX($E$5:$CE$5, 1, (COLUMNS($DC34:DG34)-1)*5 + 1), INDEX($E$8:$CE$57, MATCH($C34, $C$8:$C$57, 0), (COLUMNS($DC34:DG34)-1)*5 + 4) = "F"), INDEX($CZ$8:$CZ$23, COLUMNS($DC34:DG34)), "0"), "")</f>
        <v/>
      </c>
      <c r="DH34" s="395">
        <f t="array" ref="DH34">IFERROR(IF(AND(INDEX($E$8:$CE$57, MATCH($C34, $C$8:$C$57, 0), (COLUMNS($DC34:DH34)-1)*5 + 1) = INDEX($E$5:$CE$5, 1, (COLUMNS($DC34:DH34)-1)*5 + 1), INDEX($E$8:$CE$57, MATCH($C34, $C$8:$C$57, 0), (COLUMNS($DC34:DH34)-1)*5 + 4) = "F"), INDEX($CZ$8:$CZ$23, COLUMNS($DC34:DH34)), "0"), "")</f>
        <v/>
      </c>
      <c r="DI34" s="395">
        <f t="array" ref="DI34">IFERROR(IF(AND(INDEX($E$8:$CE$57, MATCH($C34, $C$8:$C$57, 0), (COLUMNS($DC34:DI34)-1)*5 + 1) = INDEX($E$5:$CE$5, 1, (COLUMNS($DC34:DI34)-1)*5 + 1), INDEX($E$8:$CE$57, MATCH($C34, $C$8:$C$57, 0), (COLUMNS($DC34:DI34)-1)*5 + 4) = "F"), INDEX($CZ$8:$CZ$23, COLUMNS($DC34:DI34)), "0"), "")</f>
        <v/>
      </c>
      <c r="DJ34" s="395">
        <f t="array" ref="DJ34">IFERROR(IF(AND(INDEX($E$8:$CE$57, MATCH($C34, $C$8:$C$57, 0), (COLUMNS($DC34:DJ34)-1)*5 + 1) = INDEX($E$5:$CE$5, 1, (COLUMNS($DC34:DJ34)-1)*5 + 1), INDEX($E$8:$CE$57, MATCH($C34, $C$8:$C$57, 0), (COLUMNS($DC34:DJ34)-1)*5 + 4) = "F"), INDEX($CZ$8:$CZ$23, COLUMNS($DC34:DJ34)), "0"), "")</f>
        <v/>
      </c>
      <c r="DK34" s="395">
        <f t="array" ref="DK34">IFERROR(IF(AND(INDEX($E$8:$CE$57, MATCH($C34, $C$8:$C$57, 0), (COLUMNS($DC34:DK34)-1)*5 + 1) = INDEX($E$5:$CE$5, 1, (COLUMNS($DC34:DK34)-1)*5 + 1), INDEX($E$8:$CE$57, MATCH($C34, $C$8:$C$57, 0), (COLUMNS($DC34:DK34)-1)*5 + 4) = "F"), INDEX($CZ$8:$CZ$23, COLUMNS($DC34:DK34)), "0"), "")</f>
        <v/>
      </c>
      <c r="DL34" s="395">
        <f t="array" ref="DL34">IFERROR(IF(AND(INDEX($E$8:$CE$57, MATCH($C34, $C$8:$C$57, 0), (COLUMNS($DC34:DL34)-1)*5 + 1) = INDEX($E$5:$CE$5, 1, (COLUMNS($DC34:DL34)-1)*5 + 1), INDEX($E$8:$CE$57, MATCH($C34, $C$8:$C$57, 0), (COLUMNS($DC34:DL34)-1)*5 + 4) = "F"), INDEX($CZ$8:$CZ$23, COLUMNS($DC34:DL34)), "0"), "")</f>
        <v/>
      </c>
      <c r="DM34" s="395">
        <f t="array" ref="DM34">IFERROR(IF(AND(INDEX($E$8:$CE$57, MATCH($C34, $C$8:$C$57, 0), (COLUMNS($DC34:DM34)-1)*5 + 1) = INDEX($E$5:$CE$5, 1, (COLUMNS($DC34:DM34)-1)*5 + 1), INDEX($E$8:$CE$57, MATCH($C34, $C$8:$C$57, 0), (COLUMNS($DC34:DM34)-1)*5 + 4) = "F"), INDEX($CZ$8:$CZ$23, COLUMNS($DC34:DM34)), "0"), "")</f>
        <v/>
      </c>
      <c r="DN34" s="395">
        <f t="array" ref="DN34">IFERROR(IF(AND(INDEX($E$8:$CE$57, MATCH($C34, $C$8:$C$57, 0), (COLUMNS($DC34:DN34)-1)*5 + 1) = INDEX($E$5:$CE$5, 1, (COLUMNS($DC34:DN34)-1)*5 + 1), INDEX($E$8:$CE$57, MATCH($C34, $C$8:$C$57, 0), (COLUMNS($DC34:DN34)-1)*5 + 4) = "F"), INDEX($CZ$8:$CZ$23, COLUMNS($DC34:DN34)), "0"), "")</f>
        <v/>
      </c>
      <c r="DO34" s="395">
        <f t="array" ref="DO34">IFERROR(IF(AND(INDEX($E$8:$CE$57, MATCH($C34, $C$8:$C$57, 0), (COLUMNS($DC34:DO34)-1)*5 + 1) = INDEX($E$5:$CE$5, 1, (COLUMNS($DC34:DO34)-1)*5 + 1), INDEX($E$8:$CE$57, MATCH($C34, $C$8:$C$57, 0), (COLUMNS($DC34:DO34)-1)*5 + 4) = "F"), INDEX($CZ$8:$CZ$23, COLUMNS($DC34:DO34)), "0"), "")</f>
        <v/>
      </c>
      <c r="DP34" s="395">
        <f t="array" ref="DP34">IFERROR(IF(AND(INDEX($E$8:$CE$57, MATCH($C34, $C$8:$C$57, 0), (COLUMNS($DC34:DP34)-1)*5 + 1) = INDEX($E$5:$CE$5, 1, (COLUMNS($DC34:DP34)-1)*5 + 1), INDEX($E$8:$CE$57, MATCH($C34, $C$8:$C$57, 0), (COLUMNS($DC34:DP34)-1)*5 + 4) = "F"), INDEX($CZ$8:$CZ$23, COLUMNS($DC34:DP34)), "0"), "")</f>
        <v/>
      </c>
      <c r="DQ34" s="395">
        <f t="array" ref="DQ34">IFERROR(IF(AND(INDEX($E$8:$CE$57, MATCH($C34, $C$8:$C$57, 0), (COLUMNS($DC34:DQ34)-1)*5 + 1) = INDEX($E$5:$CE$5, 1, (COLUMNS($DC34:DQ34)-1)*5 + 1), INDEX($E$8:$CE$57, MATCH($C34, $C$8:$C$57, 0), (COLUMNS($DC34:DQ34)-1)*5 + 4) = "F"), INDEX($CZ$8:$CZ$23, COLUMNS($DC34:DQ34)), "0"), "")</f>
        <v/>
      </c>
      <c r="DR34" s="395">
        <f t="array" ref="DR34">IFERROR(IF(AND(INDEX($E$8:$CE$57, MATCH($C34, $C$8:$C$57, 0), (COLUMNS($DC34:DR34)-1)*5 + 1) = INDEX($E$5:$CE$5, 1, (COLUMNS($DC34:DR34)-1)*5 + 1), INDEX($E$8:$CE$57, MATCH($C34, $C$8:$C$57, 0), (COLUMNS($DC34:DR34)-1)*5 + 4) = "F"), INDEX($CZ$8:$CZ$23, COLUMNS($DC34:DR34)), "0"), "")</f>
        <v/>
      </c>
      <c r="DT34" s="605">
        <f>SEMANA2[[#This Row],[COD]]</f>
        <v/>
      </c>
      <c r="DU34" s="395">
        <f t="array" ref="DU34">IFERROR(IF(AND(INDEX($E$8:$CE$57, MATCH($C34, $C$8:$C$57, 0), (COLUMNS($DU34:DU34)-1)*5 + 1) = INDEX($E$5:$CE$5, 1, (COLUMNS($DU34:DU34)-1)*5 + 1), INDEX($E$8:$CE$57, MATCH($C34, $C$8:$C$57, 0), (COLUMNS($DU34:DU34)-1)*5 + 4) = "SF"), INDEX($CZ$8:$CZ$23, COLUMNS($DU34:DU34)), "0"), "")</f>
        <v/>
      </c>
      <c r="DV34" s="395">
        <f t="array" ref="DV34">IFERROR(IF(AND(INDEX($E$8:$CE$57, MATCH($C34, $C$8:$C$57, 0), (COLUMNS($DU34:DV34)-1)*5 + 1) = INDEX($E$5:$CE$5, 1, (COLUMNS($DU34:DV34)-1)*5 + 1), INDEX($E$8:$CE$57, MATCH($C34, $C$8:$C$57, 0), (COLUMNS($DU34:DV34)-1)*5 + 4) = "SF"), INDEX($CZ$8:$CZ$23, COLUMNS($DU34:DV34)), "0"), "")</f>
        <v/>
      </c>
      <c r="DW34" s="395">
        <f t="array" ref="DW34">IFERROR(IF(AND(INDEX($E$8:$CE$57, MATCH($C34, $C$8:$C$57, 0), (COLUMNS($DU34:DW34)-1)*5 + 1) = INDEX($E$5:$CE$5, 1, (COLUMNS($DU34:DW34)-1)*5 + 1), INDEX($E$8:$CE$57, MATCH($C34, $C$8:$C$57, 0), (COLUMNS($DU34:DW34)-1)*5 + 4) = "SF"), INDEX($CZ$8:$CZ$23, COLUMNS($DU34:DW34)), "0"), "")</f>
        <v/>
      </c>
      <c r="DX34" s="395">
        <f t="array" ref="DX34">IFERROR(IF(AND(INDEX($E$8:$CE$57, MATCH($C34, $C$8:$C$57, 0), (COLUMNS($DU34:DX34)-1)*5 + 1) = INDEX($E$5:$CE$5, 1, (COLUMNS($DU34:DX34)-1)*5 + 1), INDEX($E$8:$CE$57, MATCH($C34, $C$8:$C$57, 0), (COLUMNS($DU34:DX34)-1)*5 + 4) = "SF"), INDEX($CZ$8:$CZ$23, COLUMNS($DU34:DX34)), "0"), "")</f>
        <v/>
      </c>
      <c r="DY34" s="395">
        <f t="array" ref="DY34">IFERROR(IF(AND(INDEX($E$8:$CE$57, MATCH($C34, $C$8:$C$57, 0), (COLUMNS($DU34:DY34)-1)*5 + 1) = INDEX($E$5:$CE$5, 1, (COLUMNS($DU34:DY34)-1)*5 + 1), INDEX($E$8:$CE$57, MATCH($C34, $C$8:$C$57, 0), (COLUMNS($DU34:DY34)-1)*5 + 4) = "SF"), INDEX($CZ$8:$CZ$23, COLUMNS($DU34:DY34)), "0"), "")</f>
        <v/>
      </c>
      <c r="DZ34" s="395">
        <f t="array" ref="DZ34">IFERROR(IF(AND(INDEX($E$8:$CE$57, MATCH($C34, $C$8:$C$57, 0), (COLUMNS($DU34:DZ34)-1)*5 + 1) = INDEX($E$5:$CE$5, 1, (COLUMNS($DU34:DZ34)-1)*5 + 1), INDEX($E$8:$CE$57, MATCH($C34, $C$8:$C$57, 0), (COLUMNS($DU34:DZ34)-1)*5 + 4) = "SF"), INDEX($CZ$8:$CZ$23, COLUMNS($DU34:DZ34)), "0"), "")</f>
        <v/>
      </c>
      <c r="EA34" s="395">
        <f t="array" ref="EA34">IFERROR(IF(AND(INDEX($E$8:$CE$57, MATCH($C34, $C$8:$C$57, 0), (COLUMNS($DU34:EA34)-1)*5 + 1) = INDEX($E$5:$CE$5, 1, (COLUMNS($DU34:EA34)-1)*5 + 1), INDEX($E$8:$CE$57, MATCH($C34, $C$8:$C$57, 0), (COLUMNS($DU34:EA34)-1)*5 + 4) = "SF"), INDEX($CZ$8:$CZ$23, COLUMNS($DU34:EA34)), "0"), "")</f>
        <v/>
      </c>
      <c r="EB34" s="395">
        <f t="array" ref="EB34">IFERROR(IF(AND(INDEX($E$8:$CE$57, MATCH($C34, $C$8:$C$57, 0), (COLUMNS($DU34:EB34)-1)*5 + 1) = INDEX($E$5:$CE$5, 1, (COLUMNS($DU34:EB34)-1)*5 + 1), INDEX($E$8:$CE$57, MATCH($C34, $C$8:$C$57, 0), (COLUMNS($DU34:EB34)-1)*5 + 4) = "SF"), INDEX($CZ$8:$CZ$23, COLUMNS($DU34:EB34)), "0"), "")</f>
        <v/>
      </c>
      <c r="EC34" s="395">
        <f t="array" ref="EC34">IFERROR(IF(AND(INDEX($E$8:$CE$57, MATCH($C34, $C$8:$C$57, 0), (COLUMNS($DU34:EC34)-1)*5 + 1) = INDEX($E$5:$CE$5, 1, (COLUMNS($DU34:EC34)-1)*5 + 1), INDEX($E$8:$CE$57, MATCH($C34, $C$8:$C$57, 0), (COLUMNS($DU34:EC34)-1)*5 + 4) = "SF"), INDEX($CZ$8:$CZ$23, COLUMNS($DU34:EC34)), "0"), "")</f>
        <v/>
      </c>
      <c r="ED34" s="395">
        <f t="array" ref="ED34">IFERROR(IF(AND(INDEX($E$8:$CE$57, MATCH($C34, $C$8:$C$57, 0), (COLUMNS($DU34:ED34)-1)*5 + 1) = INDEX($E$5:$CE$5, 1, (COLUMNS($DU34:ED34)-1)*5 + 1), INDEX($E$8:$CE$57, MATCH($C34, $C$8:$C$57, 0), (COLUMNS($DU34:ED34)-1)*5 + 4) = "SF"), INDEX($CZ$8:$CZ$23, COLUMNS($DU34:ED34)), "0"), "")</f>
        <v/>
      </c>
      <c r="EE34" s="395">
        <f t="array" ref="EE34">IFERROR(IF(AND(INDEX($E$8:$CE$57, MATCH($C34, $C$8:$C$57, 0), (COLUMNS($DU34:EE34)-1)*5 + 1) = INDEX($E$5:$CE$5, 1, (COLUMNS($DU34:EE34)-1)*5 + 1), INDEX($E$8:$CE$57, MATCH($C34, $C$8:$C$57, 0), (COLUMNS($DU34:EE34)-1)*5 + 4) = "SF"), INDEX($CZ$8:$CZ$23, COLUMNS($DU34:EE34)), "0"), "")</f>
        <v/>
      </c>
      <c r="EF34" s="395">
        <f t="array" ref="EF34">IFERROR(IF(AND(INDEX($E$8:$CE$57, MATCH($C34, $C$8:$C$57, 0), (COLUMNS($DU34:EF34)-1)*5 + 1) = INDEX($E$5:$CE$5, 1, (COLUMNS($DU34:EF34)-1)*5 + 1), INDEX($E$8:$CE$57, MATCH($C34, $C$8:$C$57, 0), (COLUMNS($DU34:EF34)-1)*5 + 4) = "SF"), INDEX($CZ$8:$CZ$23, COLUMNS($DU34:EF34)), "0"), "")</f>
        <v/>
      </c>
      <c r="EG34" s="395">
        <f t="array" ref="EG34">IFERROR(IF(AND(INDEX($E$8:$CE$57, MATCH($C34, $C$8:$C$57, 0), (COLUMNS($DU34:EG34)-1)*5 + 1) = INDEX($E$5:$CE$5, 1, (COLUMNS($DU34:EG34)-1)*5 + 1), INDEX($E$8:$CE$57, MATCH($C34, $C$8:$C$57, 0), (COLUMNS($DU34:EG34)-1)*5 + 4) = "SF"), INDEX($CZ$8:$CZ$23, COLUMNS($DU34:EG34)), "0"), "")</f>
        <v/>
      </c>
      <c r="EH34" s="395">
        <f t="array" ref="EH34">IFERROR(IF(AND(INDEX($E$8:$CE$57, MATCH($C34, $C$8:$C$57, 0), (COLUMNS($DU34:EH34)-1)*5 + 1) = INDEX($E$5:$CE$5, 1, (COLUMNS($DU34:EH34)-1)*5 + 1), INDEX($E$8:$CE$57, MATCH($C34, $C$8:$C$57, 0), (COLUMNS($DU34:EH34)-1)*5 + 4) = "SF"), INDEX($CZ$8:$CZ$23, COLUMNS($DU34:EH34)), "0"), "")</f>
        <v/>
      </c>
      <c r="EI34" s="395">
        <f t="array" ref="EI34">IFERROR(IF(AND(INDEX($E$8:$CE$57, MATCH($C34, $C$8:$C$57, 0), (COLUMNS($DU34:EI34)-1)*5 + 1) = INDEX($E$5:$CE$5, 1, (COLUMNS($DU34:EI34)-1)*5 + 1), INDEX($E$8:$CE$57, MATCH($C34, $C$8:$C$57, 0), (COLUMNS($DU34:EI34)-1)*5 + 4) = "SF"), INDEX($CZ$8:$CZ$23, COLUMNS($DU34:EI34)), "0"), "")</f>
        <v/>
      </c>
      <c r="EJ34" s="395">
        <f t="array" ref="EJ34">IFERROR(IF(AND(INDEX($E$8:$CE$57, MATCH($C34, $C$8:$C$57, 0), (COLUMNS($DU34:EJ34)-1)*5 + 1) = INDEX($E$5:$CE$5, 1, (COLUMNS($DU34:EJ34)-1)*5 + 1), INDEX($E$8:$CE$57, MATCH($C34, $C$8:$C$57, 0), (COLUMNS($DU34:EJ34)-1)*5 + 4) = "SF"), INDEX($CZ$8:$CZ$23, COLUMNS($DU34:EJ34)), "0"), "")</f>
        <v/>
      </c>
    </row>
    <row r="35" ht="19.5" customHeight="1" s="568">
      <c r="A35" s="576" t="n"/>
      <c r="B35" s="449">
        <f>IF(SEMANA2[[#This Row],[COD]]&lt;&gt;"",B34+1,"")</f>
        <v/>
      </c>
      <c r="C35" s="622" t="inlineStr">
        <is>
          <t>COD 28</t>
        </is>
      </c>
      <c r="D35" s="415">
        <f t="array" ref="D35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5" s="416" t="n">
        <v>2</v>
      </c>
      <c r="F35" s="416" t="n">
        <v>6</v>
      </c>
      <c r="G35" s="416" t="n">
        <v>4</v>
      </c>
      <c r="H35" s="416" t="n"/>
      <c r="I35" s="602">
        <f>SUM(IF(E35=E$5,4,0),IF(E35&amp;F35=E$5&amp;F$5,1,0),
IF(AND(E35=E$5,F$6&gt;=$D$115),1,0),
IF(AND(F35=E$5,F$6&gt;=$D$115),1,0),
IF(AND(G35=E$5,F$6&gt;=$D$115),1,0),
IF(E35&amp;H35=I$5,1,0),
IF(F35=E$5,2,0),
IF(G35=E$5,1,0),
IF(OR(E35&amp;F35&amp;G35=E$5&amp;F$5&amp;G$5,E35&amp;F35&amp;G35=E$5&amp;G$5&amp;F$5,E35&amp;F35&amp;G35=F$5&amp;E$5&amp;G$5,E35&amp;F35&amp;G35=F$5&amp;G$5&amp;E$5,E35&amp;F35&amp;G35=G$5&amp;E$5&amp;F$5,E35&amp;F35&amp;G35=G$5&amp;F$5&amp;E$5),2,0),IF(AND(E35=E$5,F$6&gt;=$D$129),1,0),IF(AND(F35=E$5,F$6&gt;=$D$129),1,0),IF(AND(G35=E$5,F$6&gt;=$D$129),1,0),IF(E35&amp;H35=H$5,4,0),IF(AND(E35=E$5,F$6&lt;=$D$104),-0.5,0),IF(AND(F35=E$5,F$6&lt;=$D$104),-0.5,0),IF(AND(G35=E$5,F$6&lt;=$D$104),-0.5,0))</f>
        <v/>
      </c>
      <c r="J35" s="416" t="n">
        <v>1</v>
      </c>
      <c r="K35" s="416" t="n"/>
      <c r="L35" s="416" t="n"/>
      <c r="M35" s="416" t="inlineStr">
        <is>
          <t>SF</t>
        </is>
      </c>
      <c r="N35" s="602">
        <f>SUM(IF(J35=J$5,4,0),IF(J35&amp;K35=J$5&amp;K$5,1,0),
IF(AND(J35=J$5,K$6&gt;=$D$115),1,0),
IF(AND(K35=J$5,K$6&gt;=$D$115),1,0),
IF(AND(L35=J$5,K$6&gt;=$D$115),1,0),
IF(J35&amp;M35=N$5,1,0),
IF(K35=J$5,2,0),
IF(L35=J$5,1,0),
IF(OR(J35&amp;K35&amp;L35=J$5&amp;K$5&amp;L$5,J35&amp;K35&amp;L35=J$5&amp;L$5&amp;K$5,J35&amp;K35&amp;L35=K$5&amp;J$5&amp;L$5,J35&amp;K35&amp;L35=K$5&amp;L$5&amp;J$5,J35&amp;K35&amp;L35=L$5&amp;J$5&amp;K$5,J35&amp;K35&amp;L35=L$5&amp;K$5&amp;J$5),2,0),IF(AND(J35=J$5,K$6&gt;=$D$129),1,0),IF(AND(K35=J$5,K$6&gt;=$D$129),1,0),IF(AND(L35=J$5,K$6&gt;=$D$129),1,0),IF(J35&amp;M35=M$5,4,0),IF(AND(J35=J$5,K$6&lt;=$D$104),-0.5,0),IF(AND(K35=J$5,K$6&lt;=$D$104),-0.5,0),IF(AND(L35=J$5,K$6&lt;=$D$104),-0.5,0))</f>
        <v/>
      </c>
      <c r="O35" s="416" t="n">
        <v>5</v>
      </c>
      <c r="P35" s="416" t="n">
        <v>3</v>
      </c>
      <c r="Q35" s="416" t="n">
        <v>1</v>
      </c>
      <c r="R35" s="416" t="n"/>
      <c r="S35" s="602">
        <f>SUM(IF(O35=O$5,4,0),IF(O35&amp;P35=O$5&amp;P$5,1,0),
IF(AND(O35=O$5,P$6&gt;=$D$115),1,0),
IF(AND(P35=O$5,P$6&gt;=$D$115),1,0),
IF(AND(Q35=O$5,P$6&gt;=$D$115),1,0),
IF(O35&amp;R35=S$5,1,0),
IF(P35=O$5,2,0),
IF(Q35=O$5,1,0),
IF(OR(O35&amp;P35&amp;Q35=O$5&amp;P$5&amp;Q$5,O35&amp;P35&amp;Q35=O$5&amp;Q$5&amp;P$5,O35&amp;P35&amp;Q35=P$5&amp;O$5&amp;Q$5,O35&amp;P35&amp;Q35=P$5&amp;Q$5&amp;O$5,O35&amp;P35&amp;Q35=Q$5&amp;O$5&amp;P$5,O35&amp;P35&amp;Q35=Q$5&amp;P$5&amp;O$5),2,0),IF(AND(O35=O$5,P$6&gt;=$D$129),1,0),IF(AND(P35=O$5,P$6&gt;=$D$129),1,0),IF(AND(Q35=O$5,P$6&gt;=$D$129),1,0),IF(O35&amp;R35=R$5,4,0),IF(AND(O35=O$5,P$6&lt;=$D$104),-0.5,0),IF(AND(P35=O$5,P$6&lt;=$D$104),-0.5,0),IF(AND(Q35=O$5,P$6&lt;=$D$104),-0.5,0))</f>
        <v/>
      </c>
      <c r="T35" s="416" t="n">
        <v>5</v>
      </c>
      <c r="U35" s="416" t="n">
        <v>4</v>
      </c>
      <c r="V35" s="416" t="n">
        <v>3</v>
      </c>
      <c r="W35" s="416" t="n"/>
      <c r="X35" s="602">
        <f>SUM(IF(T35=T$5,4,0),IF(T35&amp;U35=T$5&amp;U$5,1,0),
IF(AND(T35=T$5,U$6&gt;=$D$115),1,0),
IF(AND(U35=T$5,U$6&gt;=$D$115),1,0),
IF(AND(V35=T$5,U$6&gt;=$D$115),1,0),
IF(T35&amp;W35=X$5,1,0),
IF(U35=T$5,2,0),
IF(V35=T$5,1,0),
IF(OR(T35&amp;U35&amp;V35=T$5&amp;U$5&amp;V$5,T35&amp;U35&amp;V35=T$5&amp;V$5&amp;U$5,T35&amp;U35&amp;V35=U$5&amp;T$5&amp;V$5,T35&amp;U35&amp;V35=U$5&amp;V$5&amp;T$5,T35&amp;U35&amp;V35=V$5&amp;T$5&amp;U$5,T35&amp;U35&amp;V35=V$5&amp;U$5&amp;T$5),2,0),IF(AND(T35=T$5,U$6&gt;=$D$129),1,0),IF(AND(U35=T$5,U$6&gt;=$D$129),1,0),IF(AND(V35=T$5,U$6&gt;=$D$129),1,0),IF(T35&amp;W35=W$5,4,0),IF(AND(T35=T$5,U$6&lt;=$D$104),-0.5,0),IF(AND(U35=T$5,U$6&lt;=$D$104),-0.5,0),IF(AND(V35=T$5,U$6&lt;=$D$104),-0.5,0))</f>
        <v/>
      </c>
      <c r="Y35" s="416" t="n">
        <v>7</v>
      </c>
      <c r="Z35" s="416" t="n">
        <v>2</v>
      </c>
      <c r="AA35" s="416" t="n">
        <v>1</v>
      </c>
      <c r="AB35" s="416" t="n"/>
      <c r="AC35" s="602">
        <f>SUM(IF(Y35=Y$5,4,0),IF(Y35&amp;Z35=Y$5&amp;Z$5,1,0),
IF(AND(Y35=Y$5,Z$6&gt;=$D$115),1,0),
IF(AND(Z35=Y$5,Z$6&gt;=$D$115),1,0),
IF(AND(AA35=Y$5,Z$6&gt;=$D$115),1,0),
IF(Y35&amp;AB35=AC$5,1,0),
IF(Z35=Y$5,2,0),
IF(AA35=Y$5,1,0),
IF(OR(Y35&amp;Z35&amp;AA35=Y$5&amp;Z$5&amp;AA$5,Y35&amp;Z35&amp;AA35=Y$5&amp;AA$5&amp;Z$5,Y35&amp;Z35&amp;AA35=Z$5&amp;Y$5&amp;AA$5,Y35&amp;Z35&amp;AA35=Z$5&amp;AA$5&amp;Y$5,Y35&amp;Z35&amp;AA35=AA$5&amp;Y$5&amp;Z$5,Y35&amp;Z35&amp;AA35=AA$5&amp;Z$5&amp;Y$5),2,0),IF(AND(Y35=Y$5,Z$6&gt;=$D$129),1,0),IF(AND(Z35=Y$5,Z$6&gt;=$D$129),1,0),IF(AND(AA35=Y$5,Z$6&gt;=$D$129),1,0),IF(Y35&amp;AB35=AB$5,4,0),IF(AND(Y35=Y$5,Z$6&lt;=$D$104),-0.5,0),IF(AND(Z35=Y$5,Z$6&lt;=$D$104),-0.5,0),IF(AND(AA35=Y$5,Z$6&lt;=$D$104),-0.5,0))</f>
        <v/>
      </c>
      <c r="AD35" s="416" t="n">
        <v>5</v>
      </c>
      <c r="AE35" s="416" t="n">
        <v>4</v>
      </c>
      <c r="AF35" s="416" t="n">
        <v>7</v>
      </c>
      <c r="AG35" s="416" t="n"/>
      <c r="AH35" s="602">
        <f>SUM(IF(AD35=AD$5,4,0),IF(AD35&amp;AE35=AD$5&amp;AE$5,1,0),
IF(AND(AD35=AD$5,AE$6&gt;=$D$115),1,0),
IF(AND(AE35=AD$5,AE$6&gt;=$D$115),1,0),
IF(AND(AF35=AD$5,AE$6&gt;=$D$115),1,0),
IF(AD35&amp;AG35=AH$5,1,0),
IF(AE35=AD$5,2,0),
IF(AF35=AD$5,1,0),
IF(OR(AD35&amp;AE35&amp;AF35=AD$5&amp;AE$5&amp;AF$5,AD35&amp;AE35&amp;AF35=AD$5&amp;AF$5&amp;AE$5,AD35&amp;AE35&amp;AF35=AE$5&amp;AD$5&amp;AF$5,AD35&amp;AE35&amp;AF35=AE$5&amp;AF$5&amp;AD$5,AD35&amp;AE35&amp;AF35=AF$5&amp;AD$5&amp;AE$5,AD35&amp;AE35&amp;AF35=AF$5&amp;AE$5&amp;AD$5),2,0),IF(AND(AD35=AD$5,AE$6&gt;=$D$129),1,0),IF(AND(AE35=AD$5,AE$6&gt;=$D$129),1,0),IF(AND(AF35=AD$5,AE$6&gt;=$D$129),1,0),IF(AD35&amp;AG35=AG$5,4,0),IF(AND(AD35=AD$5,AE$6&lt;=$D$104),-0.5,0),IF(AND(AE35=AD$5,AE$6&lt;=$D$104),-0.5,0),IF(AND(AF35=AD$5,AE$6&lt;=$D$104),-0.5,0))</f>
        <v/>
      </c>
      <c r="AI35" s="416" t="n">
        <v>7</v>
      </c>
      <c r="AJ35" s="416" t="n">
        <v>6</v>
      </c>
      <c r="AK35" s="416" t="n">
        <v>9</v>
      </c>
      <c r="AL35" s="416" t="n"/>
      <c r="AM35" s="602">
        <f>SUM(IF(AI35=AI$5,4,0),IF(AI35&amp;AJ35=AI$5&amp;AJ$5,1,0),
IF(AND(AI35=AI$5,AJ$6&gt;=$D$115),1,0),
IF(AND(AJ35=AI$5,AJ$6&gt;=$D$115),1,0),
IF(AND(AK35=AI$5,AJ$6&gt;=$D$115),1,0),
IF(AI35&amp;AL35=AM$5,1,0),
IF(AJ35=AI$5,2,0),
IF(AK35=AI$5,1,0),
IF(OR(AI35&amp;AJ35&amp;AK35=AI$5&amp;AJ$5&amp;AK$5,AI35&amp;AJ35&amp;AK35=AI$5&amp;AK$5&amp;AJ$5,AI35&amp;AJ35&amp;AK35=AJ$5&amp;AI$5&amp;AK$5,AI35&amp;AJ35&amp;AK35=AJ$5&amp;AK$5&amp;AI$5,AI35&amp;AJ35&amp;AK35=AK$5&amp;AI$5&amp;AJ$5,AI35&amp;AJ35&amp;AK35=AK$5&amp;AJ$5&amp;AI$5),2,0),IF(AND(AI35=AI$5,AJ$6&gt;=$D$129),1,0),IF(AND(AJ35=AI$5,AJ$6&gt;=$D$129),1,0),IF(AND(AK35=AI$5,AJ$6&gt;=$D$129),1,0),IF(AI35&amp;AL35=AL$5,4,0),IF(AND(AI35=AI$5,AJ$6&lt;=$D$104),-0.5,0),IF(AND(AJ35=AI$5,AJ$6&lt;=$D$104),-0.5,0),IF(AND(AK35=AI$5,AJ$6&lt;=$D$104),-0.5,0))</f>
        <v/>
      </c>
      <c r="AN35" s="416" t="n">
        <v>8</v>
      </c>
      <c r="AO35" s="416" t="n">
        <v>1</v>
      </c>
      <c r="AP35" s="416" t="n">
        <v>3</v>
      </c>
      <c r="AQ35" s="416" t="inlineStr">
        <is>
          <t>F</t>
        </is>
      </c>
      <c r="AR35" s="602">
        <f>SUM(IF(AN35=AN$5,4,0),IF(AN35&amp;AO35=AN$5&amp;AO$5,1,0),
IF(AND(AN35=AN$5,AO$6&gt;=$D$115),1,0),
IF(AND(AO35=AN$5,AO$6&gt;=$D$115),1,0),
IF(AND(AP35=AN$5,AO$6&gt;=$D$115),1,0),
IF(AN35&amp;AQ35=AR$5,1,0),
IF(AO35=AN$5,2,0),
IF(AP35=AN$5,1,0),
IF(OR(AN35&amp;AO35&amp;AP35=AN$5&amp;AO$5&amp;AP$5,AN35&amp;AO35&amp;AP35=AN$5&amp;AP$5&amp;AO$5,AN35&amp;AO35&amp;AP35=AO$5&amp;AN$5&amp;AP$5,AN35&amp;AO35&amp;AP35=AO$5&amp;AP$5&amp;AN$5,AN35&amp;AO35&amp;AP35=AP$5&amp;AN$5&amp;AO$5,AN35&amp;AO35&amp;AP35=AP$5&amp;AO$5&amp;AN$5),2,0),IF(AND(AN35=AN$5,AO$6&gt;=$D$129),1,0),IF(AND(AO35=AN$5,AO$6&gt;=$D$129),1,0),IF(AND(AP35=AN$5,AO$6&gt;=$D$129),1,0),IF(AN35&amp;AQ35=AQ$5,4,0),IF(AND(AN35=AN$5,AO$6&lt;=$D$104),-0.5,0),IF(AND(AO35=AN$5,AO$6&lt;=$D$104),-0.5,0),IF(AND(AP35=AN$5,AO$6&lt;=$D$104),-0.5,0))</f>
        <v/>
      </c>
      <c r="AS35" s="416" t="n">
        <v>2</v>
      </c>
      <c r="AT35" s="416" t="n">
        <v>10</v>
      </c>
      <c r="AU35" s="416" t="n">
        <v>8</v>
      </c>
      <c r="AV35" s="416" t="n"/>
      <c r="AW35" s="602">
        <f>SUM(IF(AS35=AS$5,4,0),IF(AS35&amp;AT35=AS$5&amp;AT$5,1,0),
IF(AND(AS35=AS$5,AT$6&gt;=$D$115),1,0),
IF(AND(AT35=AS$5,AT$6&gt;=$D$115),1,0),
IF(AND(AU35=AS$5,AT$6&gt;=$D$115),1,0),
IF(AS35&amp;AV35=AW$5,1,0),
IF(AT35=AS$5,2,0),
IF(AU35=AS$5,1,0),
IF(OR(AS35&amp;AT35&amp;AU35=AS$5&amp;AT$5&amp;AU$5,AS35&amp;AT35&amp;AU35=AS$5&amp;AU$5&amp;AT$5,AS35&amp;AT35&amp;AU35=AT$5&amp;AS$5&amp;AU$5,AS35&amp;AT35&amp;AU35=AT$5&amp;AU$5&amp;AS$5,AS35&amp;AT35&amp;AU35=AU$5&amp;AS$5&amp;AT$5,AS35&amp;AT35&amp;AU35=AU$5&amp;AT$5&amp;AS$5),2,0),IF(AND(AS35=AS$5,AT$6&gt;=$D$129),1,0),IF(AND(AT35=AS$5,AT$6&gt;=$D$129),1,0),IF(AND(AU35=AS$5,AT$6&gt;=$D$129),1,0),IF(AS35&amp;AV35=AV$5,4,0),IF(AND(AS35=AS$5,AT$6&lt;=$D$104),-0.5,0),IF(AND(AT35=AS$5,AT$6&lt;=$D$104),-0.5,0),IF(AND(AU35=AS$5,AT$6&lt;=$D$104),-0.5,0))</f>
        <v/>
      </c>
      <c r="AX35" s="416" t="n">
        <v>4</v>
      </c>
      <c r="AY35" s="416" t="n">
        <v>1</v>
      </c>
      <c r="AZ35" s="416" t="n">
        <v>10</v>
      </c>
      <c r="BA35" s="416" t="inlineStr">
        <is>
          <t>F</t>
        </is>
      </c>
      <c r="BB35" s="602">
        <f>SUM(IF(AX35=AX$5,4,0),IF(AX35&amp;AY35=AX$5&amp;AY$5,1,0),
IF(AND(AX35=AX$5,AY$6&gt;=$D$115),1,0),
IF(AND(AY35=AX$5,AY$6&gt;=$D$115),1,0),
IF(AND(AZ35=AX$5,AY$6&gt;=$D$115),1,0),
IF(AX35&amp;BA35=BB$5,1,0),
IF(AY35=AX$5,2,0),
IF(AZ35=AX$5,1,0),
IF(OR(AX35&amp;AY35&amp;AZ35=AX$5&amp;AY$5&amp;AZ$5,AX35&amp;AY35&amp;AZ35=AX$5&amp;AZ$5&amp;AY$5,AX35&amp;AY35&amp;AZ35=AY$5&amp;AX$5&amp;AZ$5,AX35&amp;AY35&amp;AZ35=AY$5&amp;AZ$5&amp;AX$5,AX35&amp;AY35&amp;AZ35=AZ$5&amp;AX$5&amp;AY$5,AX35&amp;AY35&amp;AZ35=AZ$5&amp;AY$5&amp;AX$5),2,0),IF(AND(AX35=AX$5,AY$6&gt;=$D$129),1,0),IF(AND(AY35=AX$5,AY$6&gt;=$D$129),1,0),IF(AND(AZ35=AX$5,AY$6&gt;=$D$129),1,0),IF(AX35&amp;BA35=BA$5,4,0),IF(AND(AX35=AX$5,AY$6&lt;=$D$104),-0.5,0),IF(AND(AY35=AX$5,AY$6&lt;=$D$104),-0.5,0),IF(AND(AZ35=AX$5,AY$6&lt;=$D$104),-0.5,0))</f>
        <v/>
      </c>
      <c r="BC35" s="416" t="n">
        <v>7</v>
      </c>
      <c r="BD35" s="416" t="n">
        <v>2</v>
      </c>
      <c r="BE35" s="416" t="n">
        <v>5</v>
      </c>
      <c r="BF35" s="416" t="n"/>
      <c r="BG35" s="602">
        <f>SUM(IF(BC35=BC$5,4,0),IF(BC35&amp;BD35=BC$5&amp;BD$5,1,0),
IF(AND(BC35=BC$5,BD$6&gt;=$D$115),1,0),
IF(AND(BD35=BC$5,BD$6&gt;=$D$115),1,0),
IF(AND(BE35=BC$5,BD$6&gt;=$D$115),1,0),
IF(BC35&amp;BF35=BG$5,1,0),
IF(BD35=BC$5,2,0),
IF(BE35=BC$5,1,0),
IF(OR(BC35&amp;BD35&amp;BE35=BC$5&amp;BD$5&amp;BE$5,BC35&amp;BD35&amp;BE35=BC$5&amp;BE$5&amp;BD$5,BC35&amp;BD35&amp;BE35=BD$5&amp;BC$5&amp;BE$5,BC35&amp;BD35&amp;BE35=BD$5&amp;BE$5&amp;BC$5,BC35&amp;BD35&amp;BE35=BE$5&amp;BC$5&amp;BD$5,BC35&amp;BD35&amp;BE35=BE$5&amp;BD$5&amp;BC$5),2,0),IF(AND(BC35=BC$5,BD$6&gt;=$D$129),1,0),IF(AND(BD35=BC$5,BD$6&gt;=$D$129),1,0),IF(AND(BE35=BC$5,BD$6&gt;=$D$129),1,0),IF(BC35&amp;BF35=BF$5,4,0),IF(AND(BC35=BC$5,BD$6&lt;=$D$104),-0.5,0),IF(AND(BD35=BC$5,BD$6&lt;=$D$104),-0.5,0),IF(AND(BE35=BC$5,BD$6&lt;=$D$104),-0.5,0))</f>
        <v/>
      </c>
      <c r="BH35" s="416" t="n">
        <v>2</v>
      </c>
      <c r="BI35" s="416" t="n">
        <v>6</v>
      </c>
      <c r="BJ35" s="416" t="n">
        <v>1</v>
      </c>
      <c r="BK35" s="416" t="n"/>
      <c r="BL35" s="602">
        <f>SUM(IF(BH35=BH$5,4,0),IF(BH35&amp;BI35=BH$5&amp;BI$5,1,0),
IF(AND(BH35=BH$5,BI$6&gt;=$D$115),1,0),
IF(AND(BI35=BH$5,BI$6&gt;=$D$115),1,0),
IF(AND(BJ35=BH$5,BI$6&gt;=$D$115),1,0),
IF(BH35&amp;BK35=BL$5,1,0),
IF(BI35=BH$5,2,0),
IF(BJ35=BH$5,1,0),
IF(OR(BH35&amp;BI35&amp;BJ35=BH$5&amp;BI$5&amp;BJ$5,BH35&amp;BI35&amp;BJ35=BH$5&amp;BJ$5&amp;BI$5,BH35&amp;BI35&amp;BJ35=BI$5&amp;BH$5&amp;BJ$5,BH35&amp;BI35&amp;BJ35=BI$5&amp;BJ$5&amp;BH$5,BH35&amp;BI35&amp;BJ35=BJ$5&amp;BH$5&amp;BI$5,BH35&amp;BI35&amp;BJ35=BJ$5&amp;BI$5&amp;BH$5),2,0),IF(AND(BH35=BH$5,BI$6&gt;=$D$129),1,0),IF(AND(BI35=BH$5,BI$6&gt;=$D$129),1,0),IF(AND(BJ35=BH$5,BI$6&gt;=$D$129),1,0),IF(BH35&amp;BK35=BK$5,4,0),IF(AND(BH35=BH$5,BI$6&lt;=$D$104),-0.5,0),IF(AND(BI35=BH$5,BI$6&lt;=$D$104),-0.5,0),IF(AND(BJ35=BH$5,BI$6&lt;=$D$104),-0.5,0))</f>
        <v/>
      </c>
      <c r="BM35" s="416" t="n">
        <v>1</v>
      </c>
      <c r="BN35" s="416" t="n">
        <v>9</v>
      </c>
      <c r="BO35" s="416" t="n">
        <v>2</v>
      </c>
      <c r="BP35" s="416" t="n"/>
      <c r="BQ35" s="602">
        <f>SUM(IF(BM35=BM$5,4,0),IF(BM35&amp;BN35=BM$5&amp;BN$5,1,0),
IF(AND(BM35=BM$5,BN$6&gt;=$D$115),1,0),
IF(AND(BN35=BM$5,BN$6&gt;=$D$115),1,0),
IF(AND(BO35=BM$5,BN$6&gt;=$D$115),1,0),
IF(BM35&amp;BP35=BQ$5,1,0),
IF(BN35=BM$5,2,0),
IF(BO35=BM$5,1,0),
IF(OR(BM35&amp;BN35&amp;BO35=BM$5&amp;BN$5&amp;BO$5,BM35&amp;BN35&amp;BO35=BM$5&amp;BO$5&amp;BN$5,BM35&amp;BN35&amp;BO35=BN$5&amp;BM$5&amp;BO$5,BM35&amp;BN35&amp;BO35=BN$5&amp;BO$5&amp;BM$5,BM35&amp;BN35&amp;BO35=BO$5&amp;BM$5&amp;BN$5,BM35&amp;BN35&amp;BO35=BO$5&amp;BN$5&amp;BM$5),2,0),IF(AND(BM35=BM$5,BN$6&gt;=$D$129),1,0),IF(AND(BN35=BM$5,BN$6&gt;=$D$129),1,0),IF(AND(BO35=BM$5,BN$6&gt;=$D$129),1,0),IF(BM35&amp;BP35=BP$5,4,0),IF(AND(BM35=BM$5,BN$6&lt;=$D$104),-0.5,0),IF(AND(BN35=BM$5,BN$6&lt;=$D$104),-0.5,0),IF(AND(BO35=BM$5,BN$6&lt;=$D$104),-0.5,0))</f>
        <v/>
      </c>
      <c r="BR35" s="416" t="n">
        <v>11</v>
      </c>
      <c r="BS35" s="416" t="n">
        <v>9</v>
      </c>
      <c r="BT35" s="416" t="n">
        <v>2</v>
      </c>
      <c r="BU35" s="416" t="n"/>
      <c r="BV35" s="602">
        <f>SUM(IF(BR35=BR$5,4,0),IF(BR35&amp;BS35=BR$5&amp;BS$5,1,0),
IF(AND(BR35=BR$5,BS$6&gt;=$D$115),1,0),
IF(AND(BS35=BR$5,BS$6&gt;=$D$115),1,0),
IF(AND(BT35=BR$5,BS$6&gt;=$D$115),1,0),
IF(BR35&amp;BU35=BV$5,1,0),
IF(BS35=BR$5,2,0),
IF(BT35=BR$5,1,0),
IF(OR(BR35&amp;BS35&amp;BT35=BR$5&amp;BS$5&amp;BT$5,BR35&amp;BS35&amp;BT35=BR$5&amp;BT$5&amp;BS$5,BR35&amp;BS35&amp;BT35=BS$5&amp;BR$5&amp;BT$5,BR35&amp;BS35&amp;BT35=BS$5&amp;BT$5&amp;BR$5,BR35&amp;BS35&amp;BT35=BT$5&amp;BR$5&amp;BS$5,BR35&amp;BS35&amp;BT35=BT$5&amp;BS$5&amp;BR$5),2,0),IF(AND(BR35=BR$5,BS$6&gt;=$D$129),1,0),IF(AND(BS35=BR$5,BS$6&gt;=$D$129),1,0),IF(AND(BT35=BR$5,BS$6&gt;=$D$129),1,0),IF(BR35&amp;BU35=BU$5,4,0),IF(AND(BR35=BR$5,BS$6&lt;=$D$104),-0.5,0),IF(AND(BS35=BR$5,BS$6&lt;=$D$104),-0.5,0),IF(AND(BT35=BR$5,BS$6&lt;=$D$104),-0.5,0))</f>
        <v/>
      </c>
      <c r="BW35" s="416" t="n"/>
      <c r="BX35" s="416" t="n"/>
      <c r="BY35" s="416" t="n"/>
      <c r="BZ35" s="416" t="n"/>
      <c r="CA35" s="602">
        <f>SUM(IF(BW35=BW$5,4,0),IF(BW35&amp;BX35=BW$5&amp;BX$5,1,0),
IF(AND(BW35=BW$5,BX$6&gt;=$D$115),1,0),
IF(AND(BX35=BW$5,BX$6&gt;=$D$115),1,0),
IF(AND(BY35=BW$5,BX$6&gt;=$D$115),1,0),
IF(BW35&amp;BZ35=CA$5,1,0),
IF(BX35=BW$5,2,0),
IF(BY35=BW$5,1,0),
IF(OR(BW35&amp;BX35&amp;BY35=BW$5&amp;BX$5&amp;BY$5,BW35&amp;BX35&amp;BY35=BW$5&amp;BY$5&amp;BX$5,BW35&amp;BX35&amp;BY35=BX$5&amp;BW$5&amp;BY$5,BW35&amp;BX35&amp;BY35=BX$5&amp;BY$5&amp;BW$5,BW35&amp;BX35&amp;BY35=BY$5&amp;BW$5&amp;BX$5,BW35&amp;BX35&amp;BY35=BY$5&amp;BX$5&amp;BW$5),2,0),IF(AND(BW35=BW$5,BX$6&gt;=$D$129),1,0),IF(AND(BX35=BW$5,BX$6&gt;=$D$129),1,0),IF(AND(BY35=BW$5,BX$6&gt;=$D$129),1,0),IF(BW35&amp;BZ35=BZ$5,4,0),IF(AND(BW35=BW$5,BX$6&lt;=$D$104),-0.5,0),IF(AND(BX35=BW$5,BX$6&lt;=$D$104),-0.5,0),IF(AND(BY35=BW$5,BX$6&lt;=$D$104),-0.5,0))</f>
        <v/>
      </c>
      <c r="CB35" s="416" t="n"/>
      <c r="CC35" s="416" t="n"/>
      <c r="CD35" s="416" t="n"/>
      <c r="CE35" s="416" t="n"/>
      <c r="CF35" s="602">
        <f>SUM(IF(CB35=CB$5,4,0),IF(CB35&amp;CC35=CB$5&amp;CC$5,1,0),
IF(AND(CB35=CB$5,CC$6&gt;=$D$115),1,0),
IF(AND(CC35=CB$5,CC$6&gt;=$D$115),1,0),
IF(AND(CD35=CB$5,CC$6&gt;=$D$115),1,0),
IF(CB35&amp;CE35=CF$5,1,0),
IF(CC35=CB$5,2,0),
IF(CD35=CB$5,1,0),
IF(OR(CB35&amp;CC35&amp;CD35=CB$5&amp;CC$5&amp;CD$5,CB35&amp;CC35&amp;CD35=CB$5&amp;CD$5&amp;CC$5,CB35&amp;CC35&amp;CD35=CC$5&amp;CB$5&amp;CD$5,CB35&amp;CC35&amp;CD35=CC$5&amp;CD$5&amp;CB$5,CB35&amp;CC35&amp;CD35=CD$5&amp;CB$5&amp;CC$5,CB35&amp;CC35&amp;CD35=CD$5&amp;CC$5&amp;CB$5),2,0),IF(AND(CB35=CB$5,CC$6&gt;=$D$129),1,0),IF(AND(CC35=CB$5,CC$6&gt;=$D$129),1,0),IF(AND(CD35=CB$5,CC$6&gt;=$D$129),1,0),IF(CB35&amp;CE35=CE$5,4,0),IF(AND(CB35=CB$5,CC$6&lt;=$D$104),-0.5,0),IF(AND(CC35=CB$5,CC$6&lt;=$D$104),-0.5,0),IF(AND(CD35=CB$5,CC$6&lt;=$D$104),-0.5,0))</f>
        <v/>
      </c>
      <c r="CG35" s="164">
        <f>IF(SEMANA2[[#This Row],[1]]="",0,$B$4)</f>
        <v/>
      </c>
      <c r="CH35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5" s="166">
        <f>IF(SEMANA2[[#This Row],[Columna14]]=0,0,(CH35/CG35))</f>
        <v/>
      </c>
      <c r="CJ35" s="165">
        <f>IF(SEMANA2[[#This Row],[1]]="",0,$B$4)</f>
        <v/>
      </c>
      <c r="CK35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5" s="166">
        <f>IF(SEMANA2[[#This Row],[Columna14]]=0,0,(CK35/CJ35))</f>
        <v/>
      </c>
      <c r="CM35" s="164">
        <f>IF(SEMANA2[[#This Row],[1]]="",0,$B$4)</f>
        <v/>
      </c>
      <c r="CN35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5" s="166">
        <f>IF(SEMANA2[[#This Row],[Columna14]]=0,0,(CN35/CM35))</f>
        <v/>
      </c>
      <c r="CP35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5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Row],[Columna25]],$AX$5,BA35,"SF")+COUNTIFS(SEMANA2[[#This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5" s="166">
        <f>IFERROR(IF(SEMANA2[[#This Row],[Columna14]]=0,0,(CQ35/CP35)),0)</f>
        <v/>
      </c>
      <c r="CS35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5" s="95">
        <f>_xlfn.XLOOKUP(SEMANA2[[#This Row],[COD]],BASE01[COD],BASE01[Columna33])</f>
        <v/>
      </c>
      <c r="CU35" s="604">
        <f>SUM(CS35,CT35)</f>
        <v/>
      </c>
      <c r="CV35" s="450">
        <f>IF(SEMANA2[[#This Row],[TIPO]]="PREMIO",$O$3,"0,00")</f>
        <v/>
      </c>
      <c r="CW35" s="576" t="n"/>
      <c r="CY35" s="392">
        <f>IF(CZ35="","",$CZ$25)</f>
        <v/>
      </c>
      <c r="CZ35" s="392" t="inlineStr">
        <is>
          <t>COD 30</t>
        </is>
      </c>
      <c r="DA35" s="392">
        <f t="array" ref="DA35">IF(CZ35="", "", IF((INDEX(E$8:CE$57, MATCH(CZ35, C$8:C$57, 0), ($CZ$25-1)*5 + 1) &amp; "") = (INDEX(E$5:CE$5, 1, ($CZ$25-1)*5 + 1) &amp; ""), 1, IF((INDEX(E$8:CE$57, MATCH(CZ35, C$8:C$57, 0), ($CZ$25-1)*5 + 2) &amp; "") = (INDEX(E$5:CE$5, 1, ($CZ$25-1)*5 + 1) &amp; ""), 2, IF((INDEX(E$8:CE$57, MATCH(CZ35, C$8:C$57, 0), ($CZ$25-1)*5 + 3) &amp; "") = (INDEX(E$5:CE$5, 1, ($CZ$25-1)*5 + 1) &amp; ""), 3, ""))))</f>
        <v/>
      </c>
      <c r="DB35" s="605">
        <f>SEMANA2[[#This Row],[COD]]</f>
        <v/>
      </c>
      <c r="DC35" s="395">
        <f t="array" ref="DC35">IFERROR(IF(AND(INDEX($E$8:$CE$57, MATCH($C35, $C$8:$C$57, 0), (COLUMNS($DC35:DC35)-1)*5 + 1) = INDEX($E$5:$CE$5, 1, (COLUMNS($DC35:DC35)-1)*5 + 1), INDEX($E$8:$CE$57, MATCH($C35, $C$8:$C$57, 0), (COLUMNS($DC35:DC35)-1)*5 + 4) = "F"), INDEX($CZ$8:$CZ$23, COLUMNS($DC35:DC35)), "0"), "")</f>
        <v/>
      </c>
      <c r="DD35" s="395">
        <f t="array" ref="DD35">IFERROR(IF(AND(INDEX($E$8:$CE$57, MATCH($C35, $C$8:$C$57, 0), (COLUMNS($DC35:DD35)-1)*5 + 1) = INDEX($E$5:$CE$5, 1, (COLUMNS($DC35:DD35)-1)*5 + 1), INDEX($E$8:$CE$57, MATCH($C35, $C$8:$C$57, 0), (COLUMNS($DC35:DD35)-1)*5 + 4) = "F"), INDEX($CZ$8:$CZ$23, COLUMNS($DC35:DD35)), "0"), "")</f>
        <v/>
      </c>
      <c r="DE35" s="395">
        <f t="array" ref="DE35">IFERROR(IF(AND(INDEX($E$8:$CE$57, MATCH($C35, $C$8:$C$57, 0), (COLUMNS($DC35:DE35)-1)*5 + 1) = INDEX($E$5:$CE$5, 1, (COLUMNS($DC35:DE35)-1)*5 + 1), INDEX($E$8:$CE$57, MATCH($C35, $C$8:$C$57, 0), (COLUMNS($DC35:DE35)-1)*5 + 4) = "F"), INDEX($CZ$8:$CZ$23, COLUMNS($DC35:DE35)), "0"), "")</f>
        <v/>
      </c>
      <c r="DF35" s="395">
        <f t="array" ref="DF35">IFERROR(IF(AND(INDEX($E$8:$CE$57, MATCH($C35, $C$8:$C$57, 0), (COLUMNS($DC35:DF35)-1)*5 + 1) = INDEX($E$5:$CE$5, 1, (COLUMNS($DC35:DF35)-1)*5 + 1), INDEX($E$8:$CE$57, MATCH($C35, $C$8:$C$57, 0), (COLUMNS($DC35:DF35)-1)*5 + 4) = "F"), INDEX($CZ$8:$CZ$23, COLUMNS($DC35:DF35)), "0"), "")</f>
        <v/>
      </c>
      <c r="DG35" s="395">
        <f t="array" ref="DG35">IFERROR(IF(AND(INDEX($E$8:$CE$57, MATCH($C35, $C$8:$C$57, 0), (COLUMNS($DC35:DG35)-1)*5 + 1) = INDEX($E$5:$CE$5, 1, (COLUMNS($DC35:DG35)-1)*5 + 1), INDEX($E$8:$CE$57, MATCH($C35, $C$8:$C$57, 0), (COLUMNS($DC35:DG35)-1)*5 + 4) = "F"), INDEX($CZ$8:$CZ$23, COLUMNS($DC35:DG35)), "0"), "")</f>
        <v/>
      </c>
      <c r="DH35" s="395">
        <f t="array" ref="DH35">IFERROR(IF(AND(INDEX($E$8:$CE$57, MATCH($C35, $C$8:$C$57, 0), (COLUMNS($DC35:DH35)-1)*5 + 1) = INDEX($E$5:$CE$5, 1, (COLUMNS($DC35:DH35)-1)*5 + 1), INDEX($E$8:$CE$57, MATCH($C35, $C$8:$C$57, 0), (COLUMNS($DC35:DH35)-1)*5 + 4) = "F"), INDEX($CZ$8:$CZ$23, COLUMNS($DC35:DH35)), "0"), "")</f>
        <v/>
      </c>
      <c r="DI35" s="395">
        <f t="array" ref="DI35">IFERROR(IF(AND(INDEX($E$8:$CE$57, MATCH($C35, $C$8:$C$57, 0), (COLUMNS($DC35:DI35)-1)*5 + 1) = INDEX($E$5:$CE$5, 1, (COLUMNS($DC35:DI35)-1)*5 + 1), INDEX($E$8:$CE$57, MATCH($C35, $C$8:$C$57, 0), (COLUMNS($DC35:DI35)-1)*5 + 4) = "F"), INDEX($CZ$8:$CZ$23, COLUMNS($DC35:DI35)), "0"), "")</f>
        <v/>
      </c>
      <c r="DJ35" s="395">
        <f t="array" ref="DJ35">IFERROR(IF(AND(INDEX($E$8:$CE$57, MATCH($C35, $C$8:$C$57, 0), (COLUMNS($DC35:DJ35)-1)*5 + 1) = INDEX($E$5:$CE$5, 1, (COLUMNS($DC35:DJ35)-1)*5 + 1), INDEX($E$8:$CE$57, MATCH($C35, $C$8:$C$57, 0), (COLUMNS($DC35:DJ35)-1)*5 + 4) = "F"), INDEX($CZ$8:$CZ$23, COLUMNS($DC35:DJ35)), "0"), "")</f>
        <v/>
      </c>
      <c r="DK35" s="395">
        <f t="array" ref="DK35">IFERROR(IF(AND(INDEX($E$8:$CE$57, MATCH($C35, $C$8:$C$57, 0), (COLUMNS($DC35:DK35)-1)*5 + 1) = INDEX($E$5:$CE$5, 1, (COLUMNS($DC35:DK35)-1)*5 + 1), INDEX($E$8:$CE$57, MATCH($C35, $C$8:$C$57, 0), (COLUMNS($DC35:DK35)-1)*5 + 4) = "F"), INDEX($CZ$8:$CZ$23, COLUMNS($DC35:DK35)), "0"), "")</f>
        <v/>
      </c>
      <c r="DL35" s="395">
        <f t="array" ref="DL35">IFERROR(IF(AND(INDEX($E$8:$CE$57, MATCH($C35, $C$8:$C$57, 0), (COLUMNS($DC35:DL35)-1)*5 + 1) = INDEX($E$5:$CE$5, 1, (COLUMNS($DC35:DL35)-1)*5 + 1), INDEX($E$8:$CE$57, MATCH($C35, $C$8:$C$57, 0), (COLUMNS($DC35:DL35)-1)*5 + 4) = "F"), INDEX($CZ$8:$CZ$23, COLUMNS($DC35:DL35)), "0"), "")</f>
        <v/>
      </c>
      <c r="DM35" s="395">
        <f t="array" ref="DM35">IFERROR(IF(AND(INDEX($E$8:$CE$57, MATCH($C35, $C$8:$C$57, 0), (COLUMNS($DC35:DM35)-1)*5 + 1) = INDEX($E$5:$CE$5, 1, (COLUMNS($DC35:DM35)-1)*5 + 1), INDEX($E$8:$CE$57, MATCH($C35, $C$8:$C$57, 0), (COLUMNS($DC35:DM35)-1)*5 + 4) = "F"), INDEX($CZ$8:$CZ$23, COLUMNS($DC35:DM35)), "0"), "")</f>
        <v/>
      </c>
      <c r="DN35" s="395">
        <f t="array" ref="DN35">IFERROR(IF(AND(INDEX($E$8:$CE$57, MATCH($C35, $C$8:$C$57, 0), (COLUMNS($DC35:DN35)-1)*5 + 1) = INDEX($E$5:$CE$5, 1, (COLUMNS($DC35:DN35)-1)*5 + 1), INDEX($E$8:$CE$57, MATCH($C35, $C$8:$C$57, 0), (COLUMNS($DC35:DN35)-1)*5 + 4) = "F"), INDEX($CZ$8:$CZ$23, COLUMNS($DC35:DN35)), "0"), "")</f>
        <v/>
      </c>
      <c r="DO35" s="395">
        <f t="array" ref="DO35">IFERROR(IF(AND(INDEX($E$8:$CE$57, MATCH($C35, $C$8:$C$57, 0), (COLUMNS($DC35:DO35)-1)*5 + 1) = INDEX($E$5:$CE$5, 1, (COLUMNS($DC35:DO35)-1)*5 + 1), INDEX($E$8:$CE$57, MATCH($C35, $C$8:$C$57, 0), (COLUMNS($DC35:DO35)-1)*5 + 4) = "F"), INDEX($CZ$8:$CZ$23, COLUMNS($DC35:DO35)), "0"), "")</f>
        <v/>
      </c>
      <c r="DP35" s="395">
        <f t="array" ref="DP35">IFERROR(IF(AND(INDEX($E$8:$CE$57, MATCH($C35, $C$8:$C$57, 0), (COLUMNS($DC35:DP35)-1)*5 + 1) = INDEX($E$5:$CE$5, 1, (COLUMNS($DC35:DP35)-1)*5 + 1), INDEX($E$8:$CE$57, MATCH($C35, $C$8:$C$57, 0), (COLUMNS($DC35:DP35)-1)*5 + 4) = "F"), INDEX($CZ$8:$CZ$23, COLUMNS($DC35:DP35)), "0"), "")</f>
        <v/>
      </c>
      <c r="DQ35" s="395">
        <f t="array" ref="DQ35">IFERROR(IF(AND(INDEX($E$8:$CE$57, MATCH($C35, $C$8:$C$57, 0), (COLUMNS($DC35:DQ35)-1)*5 + 1) = INDEX($E$5:$CE$5, 1, (COLUMNS($DC35:DQ35)-1)*5 + 1), INDEX($E$8:$CE$57, MATCH($C35, $C$8:$C$57, 0), (COLUMNS($DC35:DQ35)-1)*5 + 4) = "F"), INDEX($CZ$8:$CZ$23, COLUMNS($DC35:DQ35)), "0"), "")</f>
        <v/>
      </c>
      <c r="DR35" s="395">
        <f t="array" ref="DR35">IFERROR(IF(AND(INDEX($E$8:$CE$57, MATCH($C35, $C$8:$C$57, 0), (COLUMNS($DC35:DR35)-1)*5 + 1) = INDEX($E$5:$CE$5, 1, (COLUMNS($DC35:DR35)-1)*5 + 1), INDEX($E$8:$CE$57, MATCH($C35, $C$8:$C$57, 0), (COLUMNS($DC35:DR35)-1)*5 + 4) = "F"), INDEX($CZ$8:$CZ$23, COLUMNS($DC35:DR35)), "0"), "")</f>
        <v/>
      </c>
      <c r="DT35" s="605">
        <f>SEMANA2[[#This Row],[COD]]</f>
        <v/>
      </c>
      <c r="DU35" s="395">
        <f t="array" ref="DU35">IFERROR(IF(AND(INDEX($E$8:$CE$57, MATCH($C35, $C$8:$C$57, 0), (COLUMNS($DU35:DU35)-1)*5 + 1) = INDEX($E$5:$CE$5, 1, (COLUMNS($DU35:DU35)-1)*5 + 1), INDEX($E$8:$CE$57, MATCH($C35, $C$8:$C$57, 0), (COLUMNS($DU35:DU35)-1)*5 + 4) = "SF"), INDEX($CZ$8:$CZ$23, COLUMNS($DU35:DU35)), "0"), "")</f>
        <v/>
      </c>
      <c r="DV35" s="395">
        <f t="array" ref="DV35">IFERROR(IF(AND(INDEX($E$8:$CE$57, MATCH($C35, $C$8:$C$57, 0), (COLUMNS($DU35:DV35)-1)*5 + 1) = INDEX($E$5:$CE$5, 1, (COLUMNS($DU35:DV35)-1)*5 + 1), INDEX($E$8:$CE$57, MATCH($C35, $C$8:$C$57, 0), (COLUMNS($DU35:DV35)-1)*5 + 4) = "SF"), INDEX($CZ$8:$CZ$23, COLUMNS($DU35:DV35)), "0"), "")</f>
        <v/>
      </c>
      <c r="DW35" s="395">
        <f t="array" ref="DW35">IFERROR(IF(AND(INDEX($E$8:$CE$57, MATCH($C35, $C$8:$C$57, 0), (COLUMNS($DU35:DW35)-1)*5 + 1) = INDEX($E$5:$CE$5, 1, (COLUMNS($DU35:DW35)-1)*5 + 1), INDEX($E$8:$CE$57, MATCH($C35, $C$8:$C$57, 0), (COLUMNS($DU35:DW35)-1)*5 + 4) = "SF"), INDEX($CZ$8:$CZ$23, COLUMNS($DU35:DW35)), "0"), "")</f>
        <v/>
      </c>
      <c r="DX35" s="395">
        <f t="array" ref="DX35">IFERROR(IF(AND(INDEX($E$8:$CE$57, MATCH($C35, $C$8:$C$57, 0), (COLUMNS($DU35:DX35)-1)*5 + 1) = INDEX($E$5:$CE$5, 1, (COLUMNS($DU35:DX35)-1)*5 + 1), INDEX($E$8:$CE$57, MATCH($C35, $C$8:$C$57, 0), (COLUMNS($DU35:DX35)-1)*5 + 4) = "SF"), INDEX($CZ$8:$CZ$23, COLUMNS($DU35:DX35)), "0"), "")</f>
        <v/>
      </c>
      <c r="DY35" s="395">
        <f t="array" ref="DY35">IFERROR(IF(AND(INDEX($E$8:$CE$57, MATCH($C35, $C$8:$C$57, 0), (COLUMNS($DU35:DY35)-1)*5 + 1) = INDEX($E$5:$CE$5, 1, (COLUMNS($DU35:DY35)-1)*5 + 1), INDEX($E$8:$CE$57, MATCH($C35, $C$8:$C$57, 0), (COLUMNS($DU35:DY35)-1)*5 + 4) = "SF"), INDEX($CZ$8:$CZ$23, COLUMNS($DU35:DY35)), "0"), "")</f>
        <v/>
      </c>
      <c r="DZ35" s="395">
        <f t="array" ref="DZ35">IFERROR(IF(AND(INDEX($E$8:$CE$57, MATCH($C35, $C$8:$C$57, 0), (COLUMNS($DU35:DZ35)-1)*5 + 1) = INDEX($E$5:$CE$5, 1, (COLUMNS($DU35:DZ35)-1)*5 + 1), INDEX($E$8:$CE$57, MATCH($C35, $C$8:$C$57, 0), (COLUMNS($DU35:DZ35)-1)*5 + 4) = "SF"), INDEX($CZ$8:$CZ$23, COLUMNS($DU35:DZ35)), "0"), "")</f>
        <v/>
      </c>
      <c r="EA35" s="395">
        <f t="array" ref="EA35">IFERROR(IF(AND(INDEX($E$8:$CE$57, MATCH($C35, $C$8:$C$57, 0), (COLUMNS($DU35:EA35)-1)*5 + 1) = INDEX($E$5:$CE$5, 1, (COLUMNS($DU35:EA35)-1)*5 + 1), INDEX($E$8:$CE$57, MATCH($C35, $C$8:$C$57, 0), (COLUMNS($DU35:EA35)-1)*5 + 4) = "SF"), INDEX($CZ$8:$CZ$23, COLUMNS($DU35:EA35)), "0"), "")</f>
        <v/>
      </c>
      <c r="EB35" s="395">
        <f t="array" ref="EB35">IFERROR(IF(AND(INDEX($E$8:$CE$57, MATCH($C35, $C$8:$C$57, 0), (COLUMNS($DU35:EB35)-1)*5 + 1) = INDEX($E$5:$CE$5, 1, (COLUMNS($DU35:EB35)-1)*5 + 1), INDEX($E$8:$CE$57, MATCH($C35, $C$8:$C$57, 0), (COLUMNS($DU35:EB35)-1)*5 + 4) = "SF"), INDEX($CZ$8:$CZ$23, COLUMNS($DU35:EB35)), "0"), "")</f>
        <v/>
      </c>
      <c r="EC35" s="395">
        <f t="array" ref="EC35">IFERROR(IF(AND(INDEX($E$8:$CE$57, MATCH($C35, $C$8:$C$57, 0), (COLUMNS($DU35:EC35)-1)*5 + 1) = INDEX($E$5:$CE$5, 1, (COLUMNS($DU35:EC35)-1)*5 + 1), INDEX($E$8:$CE$57, MATCH($C35, $C$8:$C$57, 0), (COLUMNS($DU35:EC35)-1)*5 + 4) = "SF"), INDEX($CZ$8:$CZ$23, COLUMNS($DU35:EC35)), "0"), "")</f>
        <v/>
      </c>
      <c r="ED35" s="395">
        <f t="array" ref="ED35">IFERROR(IF(AND(INDEX($E$8:$CE$57, MATCH($C35, $C$8:$C$57, 0), (COLUMNS($DU35:ED35)-1)*5 + 1) = INDEX($E$5:$CE$5, 1, (COLUMNS($DU35:ED35)-1)*5 + 1), INDEX($E$8:$CE$57, MATCH($C35, $C$8:$C$57, 0), (COLUMNS($DU35:ED35)-1)*5 + 4) = "SF"), INDEX($CZ$8:$CZ$23, COLUMNS($DU35:ED35)), "0"), "")</f>
        <v/>
      </c>
      <c r="EE35" s="395">
        <f t="array" ref="EE35">IFERROR(IF(AND(INDEX($E$8:$CE$57, MATCH($C35, $C$8:$C$57, 0), (COLUMNS($DU35:EE35)-1)*5 + 1) = INDEX($E$5:$CE$5, 1, (COLUMNS($DU35:EE35)-1)*5 + 1), INDEX($E$8:$CE$57, MATCH($C35, $C$8:$C$57, 0), (COLUMNS($DU35:EE35)-1)*5 + 4) = "SF"), INDEX($CZ$8:$CZ$23, COLUMNS($DU35:EE35)), "0"), "")</f>
        <v/>
      </c>
      <c r="EF35" s="395">
        <f t="array" ref="EF35">IFERROR(IF(AND(INDEX($E$8:$CE$57, MATCH($C35, $C$8:$C$57, 0), (COLUMNS($DU35:EF35)-1)*5 + 1) = INDEX($E$5:$CE$5, 1, (COLUMNS($DU35:EF35)-1)*5 + 1), INDEX($E$8:$CE$57, MATCH($C35, $C$8:$C$57, 0), (COLUMNS($DU35:EF35)-1)*5 + 4) = "SF"), INDEX($CZ$8:$CZ$23, COLUMNS($DU35:EF35)), "0"), "")</f>
        <v/>
      </c>
      <c r="EG35" s="395">
        <f t="array" ref="EG35">IFERROR(IF(AND(INDEX($E$8:$CE$57, MATCH($C35, $C$8:$C$57, 0), (COLUMNS($DU35:EG35)-1)*5 + 1) = INDEX($E$5:$CE$5, 1, (COLUMNS($DU35:EG35)-1)*5 + 1), INDEX($E$8:$CE$57, MATCH($C35, $C$8:$C$57, 0), (COLUMNS($DU35:EG35)-1)*5 + 4) = "SF"), INDEX($CZ$8:$CZ$23, COLUMNS($DU35:EG35)), "0"), "")</f>
        <v/>
      </c>
      <c r="EH35" s="395">
        <f t="array" ref="EH35">IFERROR(IF(AND(INDEX($E$8:$CE$57, MATCH($C35, $C$8:$C$57, 0), (COLUMNS($DU35:EH35)-1)*5 + 1) = INDEX($E$5:$CE$5, 1, (COLUMNS($DU35:EH35)-1)*5 + 1), INDEX($E$8:$CE$57, MATCH($C35, $C$8:$C$57, 0), (COLUMNS($DU35:EH35)-1)*5 + 4) = "SF"), INDEX($CZ$8:$CZ$23, COLUMNS($DU35:EH35)), "0"), "")</f>
        <v/>
      </c>
      <c r="EI35" s="395">
        <f t="array" ref="EI35">IFERROR(IF(AND(INDEX($E$8:$CE$57, MATCH($C35, $C$8:$C$57, 0), (COLUMNS($DU35:EI35)-1)*5 + 1) = INDEX($E$5:$CE$5, 1, (COLUMNS($DU35:EI35)-1)*5 + 1), INDEX($E$8:$CE$57, MATCH($C35, $C$8:$C$57, 0), (COLUMNS($DU35:EI35)-1)*5 + 4) = "SF"), INDEX($CZ$8:$CZ$23, COLUMNS($DU35:EI35)), "0"), "")</f>
        <v/>
      </c>
      <c r="EJ35" s="395">
        <f t="array" ref="EJ35">IFERROR(IF(AND(INDEX($E$8:$CE$57, MATCH($C35, $C$8:$C$57, 0), (COLUMNS($DU35:EJ35)-1)*5 + 1) = INDEX($E$5:$CE$5, 1, (COLUMNS($DU35:EJ35)-1)*5 + 1), INDEX($E$8:$CE$57, MATCH($C35, $C$8:$C$57, 0), (COLUMNS($DU35:EJ35)-1)*5 + 4) = "SF"), INDEX($CZ$8:$CZ$23, COLUMNS($DU35:EJ35)), "0"), "")</f>
        <v/>
      </c>
    </row>
    <row r="36" ht="19.5" customHeight="1" s="568">
      <c r="A36" s="576" t="n"/>
      <c r="B36" s="449">
        <f>IF(SEMANA2[[#This Row],[COD]]&lt;&gt;"",B35+1,"")</f>
        <v/>
      </c>
      <c r="C36" s="622" t="inlineStr">
        <is>
          <t>COD 29</t>
        </is>
      </c>
      <c r="D36" s="415">
        <f t="array" ref="D36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6" s="416" t="n">
        <v>9</v>
      </c>
      <c r="F36" s="418" t="n">
        <v>2</v>
      </c>
      <c r="G36" s="418" t="n">
        <v>6</v>
      </c>
      <c r="H36" s="418" t="n"/>
      <c r="I36" s="602">
        <f>SUM(IF(E36=E$5,4,0),IF(E36&amp;F36=E$5&amp;F$5,1,0),
IF(AND(E36=E$5,F$6&gt;=$D$115),1,0),
IF(AND(F36=E$5,F$6&gt;=$D$115),1,0),
IF(AND(G36=E$5,F$6&gt;=$D$115),1,0),
IF(E36&amp;H36=I$5,1,0),
IF(F36=E$5,2,0),
IF(G36=E$5,1,0),
IF(OR(E36&amp;F36&amp;G36=E$5&amp;F$5&amp;G$5,E36&amp;F36&amp;G36=E$5&amp;G$5&amp;F$5,E36&amp;F36&amp;G36=F$5&amp;E$5&amp;G$5,E36&amp;F36&amp;G36=F$5&amp;G$5&amp;E$5,E36&amp;F36&amp;G36=G$5&amp;E$5&amp;F$5,E36&amp;F36&amp;G36=G$5&amp;F$5&amp;E$5),2,0),IF(AND(E36=E$5,F$6&gt;=$D$129),1,0),IF(AND(F36=E$5,F$6&gt;=$D$129),1,0),IF(AND(G36=E$5,F$6&gt;=$D$129),1,0),IF(E36&amp;H36=H$5,4,0),IF(AND(E36=E$5,F$6&lt;=$D$104),-0.5,0),IF(AND(F36=E$5,F$6&lt;=$D$104),-0.5,0),IF(AND(G36=E$5,F$6&lt;=$D$104),-0.5,0))</f>
        <v/>
      </c>
      <c r="J36" s="416" t="n">
        <v>7</v>
      </c>
      <c r="K36" s="418" t="n">
        <v>1</v>
      </c>
      <c r="L36" s="418" t="n">
        <v>6</v>
      </c>
      <c r="M36" s="418" t="n"/>
      <c r="N36" s="602">
        <f>SUM(IF(J36=J$5,4,0),IF(J36&amp;K36=J$5&amp;K$5,1,0),
IF(AND(J36=J$5,K$6&gt;=$D$115),1,0),
IF(AND(K36=J$5,K$6&gt;=$D$115),1,0),
IF(AND(L36=J$5,K$6&gt;=$D$115),1,0),
IF(J36&amp;M36=N$5,1,0),
IF(K36=J$5,2,0),
IF(L36=J$5,1,0),
IF(OR(J36&amp;K36&amp;L36=J$5&amp;K$5&amp;L$5,J36&amp;K36&amp;L36=J$5&amp;L$5&amp;K$5,J36&amp;K36&amp;L36=K$5&amp;J$5&amp;L$5,J36&amp;K36&amp;L36=K$5&amp;L$5&amp;J$5,J36&amp;K36&amp;L36=L$5&amp;J$5&amp;K$5,J36&amp;K36&amp;L36=L$5&amp;K$5&amp;J$5),2,0),IF(AND(J36=J$5,K$6&gt;=$D$129),1,0),IF(AND(K36=J$5,K$6&gt;=$D$129),1,0),IF(AND(L36=J$5,K$6&gt;=$D$129),1,0),IF(J36&amp;M36=M$5,4,0),IF(AND(J36=J$5,K$6&lt;=$D$104),-0.5,0),IF(AND(K36=J$5,K$6&lt;=$D$104),-0.5,0),IF(AND(L36=J$5,K$6&lt;=$D$104),-0.5,0))</f>
        <v/>
      </c>
      <c r="O36" s="416" t="n">
        <v>5</v>
      </c>
      <c r="P36" s="418" t="n">
        <v>1</v>
      </c>
      <c r="Q36" s="418" t="n">
        <v>7</v>
      </c>
      <c r="R36" s="418" t="n"/>
      <c r="S36" s="602">
        <f>SUM(IF(O36=O$5,4,0),IF(O36&amp;P36=O$5&amp;P$5,1,0),
IF(AND(O36=O$5,P$6&gt;=$D$115),1,0),
IF(AND(P36=O$5,P$6&gt;=$D$115),1,0),
IF(AND(Q36=O$5,P$6&gt;=$D$115),1,0),
IF(O36&amp;R36=S$5,1,0),
IF(P36=O$5,2,0),
IF(Q36=O$5,1,0),
IF(OR(O36&amp;P36&amp;Q36=O$5&amp;P$5&amp;Q$5,O36&amp;P36&amp;Q36=O$5&amp;Q$5&amp;P$5,O36&amp;P36&amp;Q36=P$5&amp;O$5&amp;Q$5,O36&amp;P36&amp;Q36=P$5&amp;Q$5&amp;O$5,O36&amp;P36&amp;Q36=Q$5&amp;O$5&amp;P$5,O36&amp;P36&amp;Q36=Q$5&amp;P$5&amp;O$5),2,0),IF(AND(O36=O$5,P$6&gt;=$D$129),1,0),IF(AND(P36=O$5,P$6&gt;=$D$129),1,0),IF(AND(Q36=O$5,P$6&gt;=$D$129),1,0),IF(O36&amp;R36=R$5,4,0),IF(AND(O36=O$5,P$6&lt;=$D$104),-0.5,0),IF(AND(P36=O$5,P$6&lt;=$D$104),-0.5,0),IF(AND(Q36=O$5,P$6&lt;=$D$104),-0.5,0))</f>
        <v/>
      </c>
      <c r="T36" s="416" t="n">
        <v>3</v>
      </c>
      <c r="U36" s="418" t="n">
        <v>5</v>
      </c>
      <c r="V36" s="418" t="n">
        <v>4</v>
      </c>
      <c r="W36" s="418" t="n"/>
      <c r="X36" s="602">
        <f>SUM(IF(T36=T$5,4,0),IF(T36&amp;U36=T$5&amp;U$5,1,0),
IF(AND(T36=T$5,U$6&gt;=$D$115),1,0),
IF(AND(U36=T$5,U$6&gt;=$D$115),1,0),
IF(AND(V36=T$5,U$6&gt;=$D$115),1,0),
IF(T36&amp;W36=X$5,1,0),
IF(U36=T$5,2,0),
IF(V36=T$5,1,0),
IF(OR(T36&amp;U36&amp;V36=T$5&amp;U$5&amp;V$5,T36&amp;U36&amp;V36=T$5&amp;V$5&amp;U$5,T36&amp;U36&amp;V36=U$5&amp;T$5&amp;V$5,T36&amp;U36&amp;V36=U$5&amp;V$5&amp;T$5,T36&amp;U36&amp;V36=V$5&amp;T$5&amp;U$5,T36&amp;U36&amp;V36=V$5&amp;U$5&amp;T$5),2,0),IF(AND(T36=T$5,U$6&gt;=$D$129),1,0),IF(AND(U36=T$5,U$6&gt;=$D$129),1,0),IF(AND(V36=T$5,U$6&gt;=$D$129),1,0),IF(T36&amp;W36=W$5,4,0),IF(AND(T36=T$5,U$6&lt;=$D$104),-0.5,0),IF(AND(U36=T$5,U$6&lt;=$D$104),-0.5,0),IF(AND(V36=T$5,U$6&lt;=$D$104),-0.5,0))</f>
        <v/>
      </c>
      <c r="Y36" s="416" t="n">
        <v>1</v>
      </c>
      <c r="Z36" s="418" t="n">
        <v>2</v>
      </c>
      <c r="AA36" s="418" t="n">
        <v>5</v>
      </c>
      <c r="AB36" s="418" t="n"/>
      <c r="AC36" s="602">
        <f>SUM(IF(Y36=Y$5,4,0),IF(Y36&amp;Z36=Y$5&amp;Z$5,1,0),
IF(AND(Y36=Y$5,Z$6&gt;=$D$115),1,0),
IF(AND(Z36=Y$5,Z$6&gt;=$D$115),1,0),
IF(AND(AA36=Y$5,Z$6&gt;=$D$115),1,0),
IF(Y36&amp;AB36=AC$5,1,0),
IF(Z36=Y$5,2,0),
IF(AA36=Y$5,1,0),
IF(OR(Y36&amp;Z36&amp;AA36=Y$5&amp;Z$5&amp;AA$5,Y36&amp;Z36&amp;AA36=Y$5&amp;AA$5&amp;Z$5,Y36&amp;Z36&amp;AA36=Z$5&amp;Y$5&amp;AA$5,Y36&amp;Z36&amp;AA36=Z$5&amp;AA$5&amp;Y$5,Y36&amp;Z36&amp;AA36=AA$5&amp;Y$5&amp;Z$5,Y36&amp;Z36&amp;AA36=AA$5&amp;Z$5&amp;Y$5),2,0),IF(AND(Y36=Y$5,Z$6&gt;=$D$129),1,0),IF(AND(Z36=Y$5,Z$6&gt;=$D$129),1,0),IF(AND(AA36=Y$5,Z$6&gt;=$D$129),1,0),IF(Y36&amp;AB36=AB$5,4,0),IF(AND(Y36=Y$5,Z$6&lt;=$D$104),-0.5,0),IF(AND(Z36=Y$5,Z$6&lt;=$D$104),-0.5,0),IF(AND(AA36=Y$5,Z$6&lt;=$D$104),-0.5,0))</f>
        <v/>
      </c>
      <c r="AD36" s="416" t="n">
        <v>5</v>
      </c>
      <c r="AE36" s="418" t="n">
        <v>7</v>
      </c>
      <c r="AF36" s="418" t="n">
        <v>10</v>
      </c>
      <c r="AG36" s="418" t="n"/>
      <c r="AH36" s="602">
        <f>SUM(IF(AD36=AD$5,4,0),IF(AD36&amp;AE36=AD$5&amp;AE$5,1,0),
IF(AND(AD36=AD$5,AE$6&gt;=$D$115),1,0),
IF(AND(AE36=AD$5,AE$6&gt;=$D$115),1,0),
IF(AND(AF36=AD$5,AE$6&gt;=$D$115),1,0),
IF(AD36&amp;AG36=AH$5,1,0),
IF(AE36=AD$5,2,0),
IF(AF36=AD$5,1,0),
IF(OR(AD36&amp;AE36&amp;AF36=AD$5&amp;AE$5&amp;AF$5,AD36&amp;AE36&amp;AF36=AD$5&amp;AF$5&amp;AE$5,AD36&amp;AE36&amp;AF36=AE$5&amp;AD$5&amp;AF$5,AD36&amp;AE36&amp;AF36=AE$5&amp;AF$5&amp;AD$5,AD36&amp;AE36&amp;AF36=AF$5&amp;AD$5&amp;AE$5,AD36&amp;AE36&amp;AF36=AF$5&amp;AE$5&amp;AD$5),2,0),IF(AND(AD36=AD$5,AE$6&gt;=$D$129),1,0),IF(AND(AE36=AD$5,AE$6&gt;=$D$129),1,0),IF(AND(AF36=AD$5,AE$6&gt;=$D$129),1,0),IF(AD36&amp;AG36=AG$5,4,0),IF(AND(AD36=AD$5,AE$6&lt;=$D$104),-0.5,0),IF(AND(AE36=AD$5,AE$6&lt;=$D$104),-0.5,0),IF(AND(AF36=AD$5,AE$6&lt;=$D$104),-0.5,0))</f>
        <v/>
      </c>
      <c r="AI36" s="416" t="n">
        <v>7</v>
      </c>
      <c r="AJ36" s="418" t="n"/>
      <c r="AK36" s="418" t="n"/>
      <c r="AL36" s="418" t="inlineStr">
        <is>
          <t>SF</t>
        </is>
      </c>
      <c r="AM36" s="602">
        <f>SUM(IF(AI36=AI$5,4,0),IF(AI36&amp;AJ36=AI$5&amp;AJ$5,1,0),
IF(AND(AI36=AI$5,AJ$6&gt;=$D$115),1,0),
IF(AND(AJ36=AI$5,AJ$6&gt;=$D$115),1,0),
IF(AND(AK36=AI$5,AJ$6&gt;=$D$115),1,0),
IF(AI36&amp;AL36=AM$5,1,0),
IF(AJ36=AI$5,2,0),
IF(AK36=AI$5,1,0),
IF(OR(AI36&amp;AJ36&amp;AK36=AI$5&amp;AJ$5&amp;AK$5,AI36&amp;AJ36&amp;AK36=AI$5&amp;AK$5&amp;AJ$5,AI36&amp;AJ36&amp;AK36=AJ$5&amp;AI$5&amp;AK$5,AI36&amp;AJ36&amp;AK36=AJ$5&amp;AK$5&amp;AI$5,AI36&amp;AJ36&amp;AK36=AK$5&amp;AI$5&amp;AJ$5,AI36&amp;AJ36&amp;AK36=AK$5&amp;AJ$5&amp;AI$5),2,0),IF(AND(AI36=AI$5,AJ$6&gt;=$D$129),1,0),IF(AND(AJ36=AI$5,AJ$6&gt;=$D$129),1,0),IF(AND(AK36=AI$5,AJ$6&gt;=$D$129),1,0),IF(AI36&amp;AL36=AL$5,4,0),IF(AND(AI36=AI$5,AJ$6&lt;=$D$104),-0.5,0),IF(AND(AJ36=AI$5,AJ$6&lt;=$D$104),-0.5,0),IF(AND(AK36=AI$5,AJ$6&lt;=$D$104),-0.5,0))</f>
        <v/>
      </c>
      <c r="AN36" s="416" t="n">
        <v>8</v>
      </c>
      <c r="AO36" s="418" t="n">
        <v>1</v>
      </c>
      <c r="AP36" s="418" t="n">
        <v>6</v>
      </c>
      <c r="AQ36" s="418" t="inlineStr">
        <is>
          <t>F</t>
        </is>
      </c>
      <c r="AR36" s="602">
        <f>SUM(IF(AN36=AN$5,4,0),IF(AN36&amp;AO36=AN$5&amp;AO$5,1,0),
IF(AND(AN36=AN$5,AO$6&gt;=$D$115),1,0),
IF(AND(AO36=AN$5,AO$6&gt;=$D$115),1,0),
IF(AND(AP36=AN$5,AO$6&gt;=$D$115),1,0),
IF(AN36&amp;AQ36=AR$5,1,0),
IF(AO36=AN$5,2,0),
IF(AP36=AN$5,1,0),
IF(OR(AN36&amp;AO36&amp;AP36=AN$5&amp;AO$5&amp;AP$5,AN36&amp;AO36&amp;AP36=AN$5&amp;AP$5&amp;AO$5,AN36&amp;AO36&amp;AP36=AO$5&amp;AN$5&amp;AP$5,AN36&amp;AO36&amp;AP36=AO$5&amp;AP$5&amp;AN$5,AN36&amp;AO36&amp;AP36=AP$5&amp;AN$5&amp;AO$5,AN36&amp;AO36&amp;AP36=AP$5&amp;AO$5&amp;AN$5),2,0),IF(AND(AN36=AN$5,AO$6&gt;=$D$129),1,0),IF(AND(AO36=AN$5,AO$6&gt;=$D$129),1,0),IF(AND(AP36=AN$5,AO$6&gt;=$D$129),1,0),IF(AN36&amp;AQ36=AQ$5,4,0),IF(AND(AN36=AN$5,AO$6&lt;=$D$104),-0.5,0),IF(AND(AO36=AN$5,AO$6&lt;=$D$104),-0.5,0),IF(AND(AP36=AN$5,AO$6&lt;=$D$104),-0.5,0))</f>
        <v/>
      </c>
      <c r="AS36" s="416" t="n">
        <v>10</v>
      </c>
      <c r="AT36" s="418" t="n">
        <v>9</v>
      </c>
      <c r="AU36" s="418" t="n">
        <v>6</v>
      </c>
      <c r="AV36" s="418" t="n"/>
      <c r="AW36" s="602">
        <f>SUM(IF(AS36=AS$5,4,0),IF(AS36&amp;AT36=AS$5&amp;AT$5,1,0),
IF(AND(AS36=AS$5,AT$6&gt;=$D$115),1,0),
IF(AND(AT36=AS$5,AT$6&gt;=$D$115),1,0),
IF(AND(AU36=AS$5,AT$6&gt;=$D$115),1,0),
IF(AS36&amp;AV36=AW$5,1,0),
IF(AT36=AS$5,2,0),
IF(AU36=AS$5,1,0),
IF(OR(AS36&amp;AT36&amp;AU36=AS$5&amp;AT$5&amp;AU$5,AS36&amp;AT36&amp;AU36=AS$5&amp;AU$5&amp;AT$5,AS36&amp;AT36&amp;AU36=AT$5&amp;AS$5&amp;AU$5,AS36&amp;AT36&amp;AU36=AT$5&amp;AU$5&amp;AS$5,AS36&amp;AT36&amp;AU36=AU$5&amp;AS$5&amp;AT$5,AS36&amp;AT36&amp;AU36=AU$5&amp;AT$5&amp;AS$5),2,0),IF(AND(AS36=AS$5,AT$6&gt;=$D$129),1,0),IF(AND(AT36=AS$5,AT$6&gt;=$D$129),1,0),IF(AND(AU36=AS$5,AT$6&gt;=$D$129),1,0),IF(AS36&amp;AV36=AV$5,4,0),IF(AND(AS36=AS$5,AT$6&lt;=$D$104),-0.5,0),IF(AND(AT36=AS$5,AT$6&lt;=$D$104),-0.5,0),IF(AND(AU36=AS$5,AT$6&lt;=$D$104),-0.5,0))</f>
        <v/>
      </c>
      <c r="AX36" s="416" t="n">
        <v>10</v>
      </c>
      <c r="AY36" s="418" t="n">
        <v>6</v>
      </c>
      <c r="AZ36" s="418" t="n">
        <v>1</v>
      </c>
      <c r="BA36" s="418" t="n"/>
      <c r="BB36" s="602">
        <f>SUM(IF(AX36=AX$5,4,0),IF(AX36&amp;AY36=AX$5&amp;AY$5,1,0),
IF(AND(AX36=AX$5,AY$6&gt;=$D$115),1,0),
IF(AND(AY36=AX$5,AY$6&gt;=$D$115),1,0),
IF(AND(AZ36=AX$5,AY$6&gt;=$D$115),1,0),
IF(AX36&amp;BA36=BB$5,1,0),
IF(AY36=AX$5,2,0),
IF(AZ36=AX$5,1,0),
IF(OR(AX36&amp;AY36&amp;AZ36=AX$5&amp;AY$5&amp;AZ$5,AX36&amp;AY36&amp;AZ36=AX$5&amp;AZ$5&amp;AY$5,AX36&amp;AY36&amp;AZ36=AY$5&amp;AX$5&amp;AZ$5,AX36&amp;AY36&amp;AZ36=AY$5&amp;AZ$5&amp;AX$5,AX36&amp;AY36&amp;AZ36=AZ$5&amp;AX$5&amp;AY$5,AX36&amp;AY36&amp;AZ36=AZ$5&amp;AY$5&amp;AX$5),2,0),IF(AND(AX36=AX$5,AY$6&gt;=$D$129),1,0),IF(AND(AY36=AX$5,AY$6&gt;=$D$129),1,0),IF(AND(AZ36=AX$5,AY$6&gt;=$D$129),1,0),IF(AX36&amp;BA36=BA$5,4,0),IF(AND(AX36=AX$5,AY$6&lt;=$D$104),-0.5,0),IF(AND(AY36=AX$5,AY$6&lt;=$D$104),-0.5,0),IF(AND(AZ36=AX$5,AY$6&lt;=$D$104),-0.5,0))</f>
        <v/>
      </c>
      <c r="BC36" s="416" t="n">
        <v>7</v>
      </c>
      <c r="BD36" s="418" t="n">
        <v>5</v>
      </c>
      <c r="BE36" s="418" t="n">
        <v>4</v>
      </c>
      <c r="BF36" s="418" t="inlineStr">
        <is>
          <t>F</t>
        </is>
      </c>
      <c r="BG36" s="602">
        <f>SUM(IF(BC36=BC$5,4,0),IF(BC36&amp;BD36=BC$5&amp;BD$5,1,0),
IF(AND(BC36=BC$5,BD$6&gt;=$D$115),1,0),
IF(AND(BD36=BC$5,BD$6&gt;=$D$115),1,0),
IF(AND(BE36=BC$5,BD$6&gt;=$D$115),1,0),
IF(BC36&amp;BF36=BG$5,1,0),
IF(BD36=BC$5,2,0),
IF(BE36=BC$5,1,0),
IF(OR(BC36&amp;BD36&amp;BE36=BC$5&amp;BD$5&amp;BE$5,BC36&amp;BD36&amp;BE36=BC$5&amp;BE$5&amp;BD$5,BC36&amp;BD36&amp;BE36=BD$5&amp;BC$5&amp;BE$5,BC36&amp;BD36&amp;BE36=BD$5&amp;BE$5&amp;BC$5,BC36&amp;BD36&amp;BE36=BE$5&amp;BC$5&amp;BD$5,BC36&amp;BD36&amp;BE36=BE$5&amp;BD$5&amp;BC$5),2,0),IF(AND(BC36=BC$5,BD$6&gt;=$D$129),1,0),IF(AND(BD36=BC$5,BD$6&gt;=$D$129),1,0),IF(AND(BE36=BC$5,BD$6&gt;=$D$129),1,0),IF(BC36&amp;BF36=BF$5,4,0),IF(AND(BC36=BC$5,BD$6&lt;=$D$104),-0.5,0),IF(AND(BD36=BC$5,BD$6&lt;=$D$104),-0.5,0),IF(AND(BE36=BC$5,BD$6&lt;=$D$104),-0.5,0))</f>
        <v/>
      </c>
      <c r="BH36" s="416" t="n">
        <v>2</v>
      </c>
      <c r="BI36" s="418" t="n">
        <v>6</v>
      </c>
      <c r="BJ36" s="418" t="n">
        <v>1</v>
      </c>
      <c r="BK36" s="418" t="n"/>
      <c r="BL36" s="602">
        <f>SUM(IF(BH36=BH$5,4,0),IF(BH36&amp;BI36=BH$5&amp;BI$5,1,0),
IF(AND(BH36=BH$5,BI$6&gt;=$D$115),1,0),
IF(AND(BI36=BH$5,BI$6&gt;=$D$115),1,0),
IF(AND(BJ36=BH$5,BI$6&gt;=$D$115),1,0),
IF(BH36&amp;BK36=BL$5,1,0),
IF(BI36=BH$5,2,0),
IF(BJ36=BH$5,1,0),
IF(OR(BH36&amp;BI36&amp;BJ36=BH$5&amp;BI$5&amp;BJ$5,BH36&amp;BI36&amp;BJ36=BH$5&amp;BJ$5&amp;BI$5,BH36&amp;BI36&amp;BJ36=BI$5&amp;BH$5&amp;BJ$5,BH36&amp;BI36&amp;BJ36=BI$5&amp;BJ$5&amp;BH$5,BH36&amp;BI36&amp;BJ36=BJ$5&amp;BH$5&amp;BI$5,BH36&amp;BI36&amp;BJ36=BJ$5&amp;BI$5&amp;BH$5),2,0),IF(AND(BH36=BH$5,BI$6&gt;=$D$129),1,0),IF(AND(BI36=BH$5,BI$6&gt;=$D$129),1,0),IF(AND(BJ36=BH$5,BI$6&gt;=$D$129),1,0),IF(BH36&amp;BK36=BK$5,4,0),IF(AND(BH36=BH$5,BI$6&lt;=$D$104),-0.5,0),IF(AND(BI36=BH$5,BI$6&lt;=$D$104),-0.5,0),IF(AND(BJ36=BH$5,BI$6&lt;=$D$104),-0.5,0))</f>
        <v/>
      </c>
      <c r="BM36" s="416" t="n">
        <v>9</v>
      </c>
      <c r="BN36" s="418" t="n">
        <v>4</v>
      </c>
      <c r="BO36" s="418" t="n">
        <v>1</v>
      </c>
      <c r="BP36" s="418" t="n"/>
      <c r="BQ36" s="602">
        <f>SUM(IF(BM36=BM$5,4,0),IF(BM36&amp;BN36=BM$5&amp;BN$5,1,0),
IF(AND(BM36=BM$5,BN$6&gt;=$D$115),1,0),
IF(AND(BN36=BM$5,BN$6&gt;=$D$115),1,0),
IF(AND(BO36=BM$5,BN$6&gt;=$D$115),1,0),
IF(BM36&amp;BP36=BQ$5,1,0),
IF(BN36=BM$5,2,0),
IF(BO36=BM$5,1,0),
IF(OR(BM36&amp;BN36&amp;BO36=BM$5&amp;BN$5&amp;BO$5,BM36&amp;BN36&amp;BO36=BM$5&amp;BO$5&amp;BN$5,BM36&amp;BN36&amp;BO36=BN$5&amp;BM$5&amp;BO$5,BM36&amp;BN36&amp;BO36=BN$5&amp;BO$5&amp;BM$5,BM36&amp;BN36&amp;BO36=BO$5&amp;BM$5&amp;BN$5,BM36&amp;BN36&amp;BO36=BO$5&amp;BN$5&amp;BM$5),2,0),IF(AND(BM36=BM$5,BN$6&gt;=$D$129),1,0),IF(AND(BN36=BM$5,BN$6&gt;=$D$129),1,0),IF(AND(BO36=BM$5,BN$6&gt;=$D$129),1,0),IF(BM36&amp;BP36=BP$5,4,0),IF(AND(BM36=BM$5,BN$6&lt;=$D$104),-0.5,0),IF(AND(BN36=BM$5,BN$6&lt;=$D$104),-0.5,0),IF(AND(BO36=BM$5,BN$6&lt;=$D$104),-0.5,0))</f>
        <v/>
      </c>
      <c r="BR36" s="416" t="n">
        <v>11</v>
      </c>
      <c r="BS36" s="418" t="n">
        <v>1</v>
      </c>
      <c r="BT36" s="418" t="n">
        <v>2</v>
      </c>
      <c r="BU36" s="418" t="n"/>
      <c r="BV36" s="602">
        <f>SUM(IF(BR36=BR$5,4,0),IF(BR36&amp;BS36=BR$5&amp;BS$5,1,0),
IF(AND(BR36=BR$5,BS$6&gt;=$D$115),1,0),
IF(AND(BS36=BR$5,BS$6&gt;=$D$115),1,0),
IF(AND(BT36=BR$5,BS$6&gt;=$D$115),1,0),
IF(BR36&amp;BU36=BV$5,1,0),
IF(BS36=BR$5,2,0),
IF(BT36=BR$5,1,0),
IF(OR(BR36&amp;BS36&amp;BT36=BR$5&amp;BS$5&amp;BT$5,BR36&amp;BS36&amp;BT36=BR$5&amp;BT$5&amp;BS$5,BR36&amp;BS36&amp;BT36=BS$5&amp;BR$5&amp;BT$5,BR36&amp;BS36&amp;BT36=BS$5&amp;BT$5&amp;BR$5,BR36&amp;BS36&amp;BT36=BT$5&amp;BR$5&amp;BS$5,BR36&amp;BS36&amp;BT36=BT$5&amp;BS$5&amp;BR$5),2,0),IF(AND(BR36=BR$5,BS$6&gt;=$D$129),1,0),IF(AND(BS36=BR$5,BS$6&gt;=$D$129),1,0),IF(AND(BT36=BR$5,BS$6&gt;=$D$129),1,0),IF(BR36&amp;BU36=BU$5,4,0),IF(AND(BR36=BR$5,BS$6&lt;=$D$104),-0.5,0),IF(AND(BS36=BR$5,BS$6&lt;=$D$104),-0.5,0),IF(AND(BT36=BR$5,BS$6&lt;=$D$104),-0.5,0))</f>
        <v/>
      </c>
      <c r="BW36" s="416" t="n"/>
      <c r="BX36" s="418" t="n"/>
      <c r="BY36" s="418" t="n"/>
      <c r="BZ36" s="418" t="n"/>
      <c r="CA36" s="602">
        <f>SUM(IF(BW36=BW$5,4,0),IF(BW36&amp;BX36=BW$5&amp;BX$5,1,0),
IF(AND(BW36=BW$5,BX$6&gt;=$D$115),1,0),
IF(AND(BX36=BW$5,BX$6&gt;=$D$115),1,0),
IF(AND(BY36=BW$5,BX$6&gt;=$D$115),1,0),
IF(BW36&amp;BZ36=CA$5,1,0),
IF(BX36=BW$5,2,0),
IF(BY36=BW$5,1,0),
IF(OR(BW36&amp;BX36&amp;BY36=BW$5&amp;BX$5&amp;BY$5,BW36&amp;BX36&amp;BY36=BW$5&amp;BY$5&amp;BX$5,BW36&amp;BX36&amp;BY36=BX$5&amp;BW$5&amp;BY$5,BW36&amp;BX36&amp;BY36=BX$5&amp;BY$5&amp;BW$5,BW36&amp;BX36&amp;BY36=BY$5&amp;BW$5&amp;BX$5,BW36&amp;BX36&amp;BY36=BY$5&amp;BX$5&amp;BW$5),2,0),IF(AND(BW36=BW$5,BX$6&gt;=$D$129),1,0),IF(AND(BX36=BW$5,BX$6&gt;=$D$129),1,0),IF(AND(BY36=BW$5,BX$6&gt;=$D$129),1,0),IF(BW36&amp;BZ36=BZ$5,4,0),IF(AND(BW36=BW$5,BX$6&lt;=$D$104),-0.5,0),IF(AND(BX36=BW$5,BX$6&lt;=$D$104),-0.5,0),IF(AND(BY36=BW$5,BX$6&lt;=$D$104),-0.5,0))</f>
        <v/>
      </c>
      <c r="CB36" s="416" t="n"/>
      <c r="CC36" s="418" t="n"/>
      <c r="CD36" s="418" t="n"/>
      <c r="CE36" s="418" t="n"/>
      <c r="CF36" s="602">
        <f>SUM(IF(CB36=CB$5,4,0),IF(CB36&amp;CC36=CB$5&amp;CC$5,1,0),
IF(AND(CB36=CB$5,CC$6&gt;=$D$115),1,0),
IF(AND(CC36=CB$5,CC$6&gt;=$D$115),1,0),
IF(AND(CD36=CB$5,CC$6&gt;=$D$115),1,0),
IF(CB36&amp;CE36=CF$5,1,0),
IF(CC36=CB$5,2,0),
IF(CD36=CB$5,1,0),
IF(OR(CB36&amp;CC36&amp;CD36=CB$5&amp;CC$5&amp;CD$5,CB36&amp;CC36&amp;CD36=CB$5&amp;CD$5&amp;CC$5,CB36&amp;CC36&amp;CD36=CC$5&amp;CB$5&amp;CD$5,CB36&amp;CC36&amp;CD36=CC$5&amp;CD$5&amp;CB$5,CB36&amp;CC36&amp;CD36=CD$5&amp;CB$5&amp;CC$5,CB36&amp;CC36&amp;CD36=CD$5&amp;CC$5&amp;CB$5),2,0),IF(AND(CB36=CB$5,CC$6&gt;=$D$129),1,0),IF(AND(CC36=CB$5,CC$6&gt;=$D$129),1,0),IF(AND(CD36=CB$5,CC$6&gt;=$D$129),1,0),IF(CB36&amp;CE36=CE$5,4,0),IF(AND(CB36=CB$5,CC$6&lt;=$D$104),-0.5,0),IF(AND(CC36=CB$5,CC$6&lt;=$D$104),-0.5,0),IF(AND(CD36=CB$5,CC$6&lt;=$D$104),-0.5,0))</f>
        <v/>
      </c>
      <c r="CG36" s="164">
        <f>IF(SEMANA2[[#This Row],[1]]="",0,$B$4)</f>
        <v/>
      </c>
      <c r="CH36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6" s="166">
        <f>IF(SEMANA2[[#This Row],[Columna14]]=0,0,(CH36/CG36))</f>
        <v/>
      </c>
      <c r="CJ36" s="165">
        <f>IF(SEMANA2[[#This Row],[1]]="",0,$B$4)</f>
        <v/>
      </c>
      <c r="CK36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6" s="166">
        <f>IF(SEMANA2[[#This Row],[Columna14]]=0,0,(CK36/CJ36))</f>
        <v/>
      </c>
      <c r="CM36" s="164">
        <f>IF(SEMANA2[[#This Row],[1]]="",0,$B$4)</f>
        <v/>
      </c>
      <c r="CN36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6" s="166">
        <f>IF(SEMANA2[[#This Row],[Columna14]]=0,0,(CN36/CM36))</f>
        <v/>
      </c>
      <c r="CP36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6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Row],[Columna25]],$AX$5,BA36,"SF")+COUNTIFS(SEMANA2[[#This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6" s="166">
        <f>IFERROR(IF(SEMANA2[[#This Row],[Columna14]]=0,0,(CQ36/CP36)),0)</f>
        <v/>
      </c>
      <c r="CS36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6" s="95">
        <f>_xlfn.XLOOKUP(SEMANA2[[#This Row],[COD]],BASE01[COD],BASE01[Columna33])</f>
        <v/>
      </c>
      <c r="CU36" s="604">
        <f>SUM(CS36,CT36)</f>
        <v/>
      </c>
      <c r="CV36" s="450">
        <f>IF(SEMANA2[[#This Row],[TIPO]]="PREMIO",$O$3,"0,00")</f>
        <v/>
      </c>
      <c r="CW36" s="576" t="n"/>
      <c r="CY36" s="392">
        <f>IF(CZ36="","",$CZ$25)</f>
        <v/>
      </c>
      <c r="CZ36" s="392" t="inlineStr">
        <is>
          <t>COD 33</t>
        </is>
      </c>
      <c r="DA36" s="392">
        <f t="array" ref="DA36">IF(CZ36="", "", IF((INDEX(E$8:CE$57, MATCH(CZ36, C$8:C$57, 0), ($CZ$25-1)*5 + 1) &amp; "") = (INDEX(E$5:CE$5, 1, ($CZ$25-1)*5 + 1) &amp; ""), 1, IF((INDEX(E$8:CE$57, MATCH(CZ36, C$8:C$57, 0), ($CZ$25-1)*5 + 2) &amp; "") = (INDEX(E$5:CE$5, 1, ($CZ$25-1)*5 + 1) &amp; ""), 2, IF((INDEX(E$8:CE$57, MATCH(CZ36, C$8:C$57, 0), ($CZ$25-1)*5 + 3) &amp; "") = (INDEX(E$5:CE$5, 1, ($CZ$25-1)*5 + 1) &amp; ""), 3, ""))))</f>
        <v/>
      </c>
      <c r="DB36" s="605">
        <f>SEMANA2[[#This Row],[COD]]</f>
        <v/>
      </c>
      <c r="DC36" s="395">
        <f t="array" ref="DC36">IFERROR(IF(AND(INDEX($E$8:$CE$57, MATCH($C36, $C$8:$C$57, 0), (COLUMNS($DC36:DC36)-1)*5 + 1) = INDEX($E$5:$CE$5, 1, (COLUMNS($DC36:DC36)-1)*5 + 1), INDEX($E$8:$CE$57, MATCH($C36, $C$8:$C$57, 0), (COLUMNS($DC36:DC36)-1)*5 + 4) = "F"), INDEX($CZ$8:$CZ$23, COLUMNS($DC36:DC36)), "0"), "")</f>
        <v/>
      </c>
      <c r="DD36" s="395">
        <f t="array" ref="DD36">IFERROR(IF(AND(INDEX($E$8:$CE$57, MATCH($C36, $C$8:$C$57, 0), (COLUMNS($DC36:DD36)-1)*5 + 1) = INDEX($E$5:$CE$5, 1, (COLUMNS($DC36:DD36)-1)*5 + 1), INDEX($E$8:$CE$57, MATCH($C36, $C$8:$C$57, 0), (COLUMNS($DC36:DD36)-1)*5 + 4) = "F"), INDEX($CZ$8:$CZ$23, COLUMNS($DC36:DD36)), "0"), "")</f>
        <v/>
      </c>
      <c r="DE36" s="395">
        <f t="array" ref="DE36">IFERROR(IF(AND(INDEX($E$8:$CE$57, MATCH($C36, $C$8:$C$57, 0), (COLUMNS($DC36:DE36)-1)*5 + 1) = INDEX($E$5:$CE$5, 1, (COLUMNS($DC36:DE36)-1)*5 + 1), INDEX($E$8:$CE$57, MATCH($C36, $C$8:$C$57, 0), (COLUMNS($DC36:DE36)-1)*5 + 4) = "F"), INDEX($CZ$8:$CZ$23, COLUMNS($DC36:DE36)), "0"), "")</f>
        <v/>
      </c>
      <c r="DF36" s="395">
        <f t="array" ref="DF36">IFERROR(IF(AND(INDEX($E$8:$CE$57, MATCH($C36, $C$8:$C$57, 0), (COLUMNS($DC36:DF36)-1)*5 + 1) = INDEX($E$5:$CE$5, 1, (COLUMNS($DC36:DF36)-1)*5 + 1), INDEX($E$8:$CE$57, MATCH($C36, $C$8:$C$57, 0), (COLUMNS($DC36:DF36)-1)*5 + 4) = "F"), INDEX($CZ$8:$CZ$23, COLUMNS($DC36:DF36)), "0"), "")</f>
        <v/>
      </c>
      <c r="DG36" s="395">
        <f t="array" ref="DG36">IFERROR(IF(AND(INDEX($E$8:$CE$57, MATCH($C36, $C$8:$C$57, 0), (COLUMNS($DC36:DG36)-1)*5 + 1) = INDEX($E$5:$CE$5, 1, (COLUMNS($DC36:DG36)-1)*5 + 1), INDEX($E$8:$CE$57, MATCH($C36, $C$8:$C$57, 0), (COLUMNS($DC36:DG36)-1)*5 + 4) = "F"), INDEX($CZ$8:$CZ$23, COLUMNS($DC36:DG36)), "0"), "")</f>
        <v/>
      </c>
      <c r="DH36" s="395">
        <f t="array" ref="DH36">IFERROR(IF(AND(INDEX($E$8:$CE$57, MATCH($C36, $C$8:$C$57, 0), (COLUMNS($DC36:DH36)-1)*5 + 1) = INDEX($E$5:$CE$5, 1, (COLUMNS($DC36:DH36)-1)*5 + 1), INDEX($E$8:$CE$57, MATCH($C36, $C$8:$C$57, 0), (COLUMNS($DC36:DH36)-1)*5 + 4) = "F"), INDEX($CZ$8:$CZ$23, COLUMNS($DC36:DH36)), "0"), "")</f>
        <v/>
      </c>
      <c r="DI36" s="395">
        <f t="array" ref="DI36">IFERROR(IF(AND(INDEX($E$8:$CE$57, MATCH($C36, $C$8:$C$57, 0), (COLUMNS($DC36:DI36)-1)*5 + 1) = INDEX($E$5:$CE$5, 1, (COLUMNS($DC36:DI36)-1)*5 + 1), INDEX($E$8:$CE$57, MATCH($C36, $C$8:$C$57, 0), (COLUMNS($DC36:DI36)-1)*5 + 4) = "F"), INDEX($CZ$8:$CZ$23, COLUMNS($DC36:DI36)), "0"), "")</f>
        <v/>
      </c>
      <c r="DJ36" s="395">
        <f t="array" ref="DJ36">IFERROR(IF(AND(INDEX($E$8:$CE$57, MATCH($C36, $C$8:$C$57, 0), (COLUMNS($DC36:DJ36)-1)*5 + 1) = INDEX($E$5:$CE$5, 1, (COLUMNS($DC36:DJ36)-1)*5 + 1), INDEX($E$8:$CE$57, MATCH($C36, $C$8:$C$57, 0), (COLUMNS($DC36:DJ36)-1)*5 + 4) = "F"), INDEX($CZ$8:$CZ$23, COLUMNS($DC36:DJ36)), "0"), "")</f>
        <v/>
      </c>
      <c r="DK36" s="395">
        <f t="array" ref="DK36">IFERROR(IF(AND(INDEX($E$8:$CE$57, MATCH($C36, $C$8:$C$57, 0), (COLUMNS($DC36:DK36)-1)*5 + 1) = INDEX($E$5:$CE$5, 1, (COLUMNS($DC36:DK36)-1)*5 + 1), INDEX($E$8:$CE$57, MATCH($C36, $C$8:$C$57, 0), (COLUMNS($DC36:DK36)-1)*5 + 4) = "F"), INDEX($CZ$8:$CZ$23, COLUMNS($DC36:DK36)), "0"), "")</f>
        <v/>
      </c>
      <c r="DL36" s="395">
        <f t="array" ref="DL36">IFERROR(IF(AND(INDEX($E$8:$CE$57, MATCH($C36, $C$8:$C$57, 0), (COLUMNS($DC36:DL36)-1)*5 + 1) = INDEX($E$5:$CE$5, 1, (COLUMNS($DC36:DL36)-1)*5 + 1), INDEX($E$8:$CE$57, MATCH($C36, $C$8:$C$57, 0), (COLUMNS($DC36:DL36)-1)*5 + 4) = "F"), INDEX($CZ$8:$CZ$23, COLUMNS($DC36:DL36)), "0"), "")</f>
        <v/>
      </c>
      <c r="DM36" s="395">
        <f t="array" ref="DM36">IFERROR(IF(AND(INDEX($E$8:$CE$57, MATCH($C36, $C$8:$C$57, 0), (COLUMNS($DC36:DM36)-1)*5 + 1) = INDEX($E$5:$CE$5, 1, (COLUMNS($DC36:DM36)-1)*5 + 1), INDEX($E$8:$CE$57, MATCH($C36, $C$8:$C$57, 0), (COLUMNS($DC36:DM36)-1)*5 + 4) = "F"), INDEX($CZ$8:$CZ$23, COLUMNS($DC36:DM36)), "0"), "")</f>
        <v/>
      </c>
      <c r="DN36" s="395">
        <f t="array" ref="DN36">IFERROR(IF(AND(INDEX($E$8:$CE$57, MATCH($C36, $C$8:$C$57, 0), (COLUMNS($DC36:DN36)-1)*5 + 1) = INDEX($E$5:$CE$5, 1, (COLUMNS($DC36:DN36)-1)*5 + 1), INDEX($E$8:$CE$57, MATCH($C36, $C$8:$C$57, 0), (COLUMNS($DC36:DN36)-1)*5 + 4) = "F"), INDEX($CZ$8:$CZ$23, COLUMNS($DC36:DN36)), "0"), "")</f>
        <v/>
      </c>
      <c r="DO36" s="395">
        <f t="array" ref="DO36">IFERROR(IF(AND(INDEX($E$8:$CE$57, MATCH($C36, $C$8:$C$57, 0), (COLUMNS($DC36:DO36)-1)*5 + 1) = INDEX($E$5:$CE$5, 1, (COLUMNS($DC36:DO36)-1)*5 + 1), INDEX($E$8:$CE$57, MATCH($C36, $C$8:$C$57, 0), (COLUMNS($DC36:DO36)-1)*5 + 4) = "F"), INDEX($CZ$8:$CZ$23, COLUMNS($DC36:DO36)), "0"), "")</f>
        <v/>
      </c>
      <c r="DP36" s="395">
        <f t="array" ref="DP36">IFERROR(IF(AND(INDEX($E$8:$CE$57, MATCH($C36, $C$8:$C$57, 0), (COLUMNS($DC36:DP36)-1)*5 + 1) = INDEX($E$5:$CE$5, 1, (COLUMNS($DC36:DP36)-1)*5 + 1), INDEX($E$8:$CE$57, MATCH($C36, $C$8:$C$57, 0), (COLUMNS($DC36:DP36)-1)*5 + 4) = "F"), INDEX($CZ$8:$CZ$23, COLUMNS($DC36:DP36)), "0"), "")</f>
        <v/>
      </c>
      <c r="DQ36" s="395">
        <f t="array" ref="DQ36">IFERROR(IF(AND(INDEX($E$8:$CE$57, MATCH($C36, $C$8:$C$57, 0), (COLUMNS($DC36:DQ36)-1)*5 + 1) = INDEX($E$5:$CE$5, 1, (COLUMNS($DC36:DQ36)-1)*5 + 1), INDEX($E$8:$CE$57, MATCH($C36, $C$8:$C$57, 0), (COLUMNS($DC36:DQ36)-1)*5 + 4) = "F"), INDEX($CZ$8:$CZ$23, COLUMNS($DC36:DQ36)), "0"), "")</f>
        <v/>
      </c>
      <c r="DR36" s="395">
        <f t="array" ref="DR36">IFERROR(IF(AND(INDEX($E$8:$CE$57, MATCH($C36, $C$8:$C$57, 0), (COLUMNS($DC36:DR36)-1)*5 + 1) = INDEX($E$5:$CE$5, 1, (COLUMNS($DC36:DR36)-1)*5 + 1), INDEX($E$8:$CE$57, MATCH($C36, $C$8:$C$57, 0), (COLUMNS($DC36:DR36)-1)*5 + 4) = "F"), INDEX($CZ$8:$CZ$23, COLUMNS($DC36:DR36)), "0"), "")</f>
        <v/>
      </c>
      <c r="DT36" s="605">
        <f>SEMANA2[[#This Row],[COD]]</f>
        <v/>
      </c>
      <c r="DU36" s="395">
        <f t="array" ref="DU36">IFERROR(IF(AND(INDEX($E$8:$CE$57, MATCH($C36, $C$8:$C$57, 0), (COLUMNS($DU36:DU36)-1)*5 + 1) = INDEX($E$5:$CE$5, 1, (COLUMNS($DU36:DU36)-1)*5 + 1), INDEX($E$8:$CE$57, MATCH($C36, $C$8:$C$57, 0), (COLUMNS($DU36:DU36)-1)*5 + 4) = "SF"), INDEX($CZ$8:$CZ$23, COLUMNS($DU36:DU36)), "0"), "")</f>
        <v/>
      </c>
      <c r="DV36" s="395">
        <f t="array" ref="DV36">IFERROR(IF(AND(INDEX($E$8:$CE$57, MATCH($C36, $C$8:$C$57, 0), (COLUMNS($DU36:DV36)-1)*5 + 1) = INDEX($E$5:$CE$5, 1, (COLUMNS($DU36:DV36)-1)*5 + 1), INDEX($E$8:$CE$57, MATCH($C36, $C$8:$C$57, 0), (COLUMNS($DU36:DV36)-1)*5 + 4) = "SF"), INDEX($CZ$8:$CZ$23, COLUMNS($DU36:DV36)), "0"), "")</f>
        <v/>
      </c>
      <c r="DW36" s="395">
        <f t="array" ref="DW36">IFERROR(IF(AND(INDEX($E$8:$CE$57, MATCH($C36, $C$8:$C$57, 0), (COLUMNS($DU36:DW36)-1)*5 + 1) = INDEX($E$5:$CE$5, 1, (COLUMNS($DU36:DW36)-1)*5 + 1), INDEX($E$8:$CE$57, MATCH($C36, $C$8:$C$57, 0), (COLUMNS($DU36:DW36)-1)*5 + 4) = "SF"), INDEX($CZ$8:$CZ$23, COLUMNS($DU36:DW36)), "0"), "")</f>
        <v/>
      </c>
      <c r="DX36" s="395">
        <f t="array" ref="DX36">IFERROR(IF(AND(INDEX($E$8:$CE$57, MATCH($C36, $C$8:$C$57, 0), (COLUMNS($DU36:DX36)-1)*5 + 1) = INDEX($E$5:$CE$5, 1, (COLUMNS($DU36:DX36)-1)*5 + 1), INDEX($E$8:$CE$57, MATCH($C36, $C$8:$C$57, 0), (COLUMNS($DU36:DX36)-1)*5 + 4) = "SF"), INDEX($CZ$8:$CZ$23, COLUMNS($DU36:DX36)), "0"), "")</f>
        <v/>
      </c>
      <c r="DY36" s="395">
        <f t="array" ref="DY36">IFERROR(IF(AND(INDEX($E$8:$CE$57, MATCH($C36, $C$8:$C$57, 0), (COLUMNS($DU36:DY36)-1)*5 + 1) = INDEX($E$5:$CE$5, 1, (COLUMNS($DU36:DY36)-1)*5 + 1), INDEX($E$8:$CE$57, MATCH($C36, $C$8:$C$57, 0), (COLUMNS($DU36:DY36)-1)*5 + 4) = "SF"), INDEX($CZ$8:$CZ$23, COLUMNS($DU36:DY36)), "0"), "")</f>
        <v/>
      </c>
      <c r="DZ36" s="395">
        <f t="array" ref="DZ36">IFERROR(IF(AND(INDEX($E$8:$CE$57, MATCH($C36, $C$8:$C$57, 0), (COLUMNS($DU36:DZ36)-1)*5 + 1) = INDEX($E$5:$CE$5, 1, (COLUMNS($DU36:DZ36)-1)*5 + 1), INDEX($E$8:$CE$57, MATCH($C36, $C$8:$C$57, 0), (COLUMNS($DU36:DZ36)-1)*5 + 4) = "SF"), INDEX($CZ$8:$CZ$23, COLUMNS($DU36:DZ36)), "0"), "")</f>
        <v/>
      </c>
      <c r="EA36" s="395">
        <f t="array" ref="EA36">IFERROR(IF(AND(INDEX($E$8:$CE$57, MATCH($C36, $C$8:$C$57, 0), (COLUMNS($DU36:EA36)-1)*5 + 1) = INDEX($E$5:$CE$5, 1, (COLUMNS($DU36:EA36)-1)*5 + 1), INDEX($E$8:$CE$57, MATCH($C36, $C$8:$C$57, 0), (COLUMNS($DU36:EA36)-1)*5 + 4) = "SF"), INDEX($CZ$8:$CZ$23, COLUMNS($DU36:EA36)), "0"), "")</f>
        <v/>
      </c>
      <c r="EB36" s="395">
        <f t="array" ref="EB36">IFERROR(IF(AND(INDEX($E$8:$CE$57, MATCH($C36, $C$8:$C$57, 0), (COLUMNS($DU36:EB36)-1)*5 + 1) = INDEX($E$5:$CE$5, 1, (COLUMNS($DU36:EB36)-1)*5 + 1), INDEX($E$8:$CE$57, MATCH($C36, $C$8:$C$57, 0), (COLUMNS($DU36:EB36)-1)*5 + 4) = "SF"), INDEX($CZ$8:$CZ$23, COLUMNS($DU36:EB36)), "0"), "")</f>
        <v/>
      </c>
      <c r="EC36" s="395">
        <f t="array" ref="EC36">IFERROR(IF(AND(INDEX($E$8:$CE$57, MATCH($C36, $C$8:$C$57, 0), (COLUMNS($DU36:EC36)-1)*5 + 1) = INDEX($E$5:$CE$5, 1, (COLUMNS($DU36:EC36)-1)*5 + 1), INDEX($E$8:$CE$57, MATCH($C36, $C$8:$C$57, 0), (COLUMNS($DU36:EC36)-1)*5 + 4) = "SF"), INDEX($CZ$8:$CZ$23, COLUMNS($DU36:EC36)), "0"), "")</f>
        <v/>
      </c>
      <c r="ED36" s="395">
        <f t="array" ref="ED36">IFERROR(IF(AND(INDEX($E$8:$CE$57, MATCH($C36, $C$8:$C$57, 0), (COLUMNS($DU36:ED36)-1)*5 + 1) = INDEX($E$5:$CE$5, 1, (COLUMNS($DU36:ED36)-1)*5 + 1), INDEX($E$8:$CE$57, MATCH($C36, $C$8:$C$57, 0), (COLUMNS($DU36:ED36)-1)*5 + 4) = "SF"), INDEX($CZ$8:$CZ$23, COLUMNS($DU36:ED36)), "0"), "")</f>
        <v/>
      </c>
      <c r="EE36" s="395">
        <f t="array" ref="EE36">IFERROR(IF(AND(INDEX($E$8:$CE$57, MATCH($C36, $C$8:$C$57, 0), (COLUMNS($DU36:EE36)-1)*5 + 1) = INDEX($E$5:$CE$5, 1, (COLUMNS($DU36:EE36)-1)*5 + 1), INDEX($E$8:$CE$57, MATCH($C36, $C$8:$C$57, 0), (COLUMNS($DU36:EE36)-1)*5 + 4) = "SF"), INDEX($CZ$8:$CZ$23, COLUMNS($DU36:EE36)), "0"), "")</f>
        <v/>
      </c>
      <c r="EF36" s="395">
        <f t="array" ref="EF36">IFERROR(IF(AND(INDEX($E$8:$CE$57, MATCH($C36, $C$8:$C$57, 0), (COLUMNS($DU36:EF36)-1)*5 + 1) = INDEX($E$5:$CE$5, 1, (COLUMNS($DU36:EF36)-1)*5 + 1), INDEX($E$8:$CE$57, MATCH($C36, $C$8:$C$57, 0), (COLUMNS($DU36:EF36)-1)*5 + 4) = "SF"), INDEX($CZ$8:$CZ$23, COLUMNS($DU36:EF36)), "0"), "")</f>
        <v/>
      </c>
      <c r="EG36" s="395">
        <f t="array" ref="EG36">IFERROR(IF(AND(INDEX($E$8:$CE$57, MATCH($C36, $C$8:$C$57, 0), (COLUMNS($DU36:EG36)-1)*5 + 1) = INDEX($E$5:$CE$5, 1, (COLUMNS($DU36:EG36)-1)*5 + 1), INDEX($E$8:$CE$57, MATCH($C36, $C$8:$C$57, 0), (COLUMNS($DU36:EG36)-1)*5 + 4) = "SF"), INDEX($CZ$8:$CZ$23, COLUMNS($DU36:EG36)), "0"), "")</f>
        <v/>
      </c>
      <c r="EH36" s="395">
        <f t="array" ref="EH36">IFERROR(IF(AND(INDEX($E$8:$CE$57, MATCH($C36, $C$8:$C$57, 0), (COLUMNS($DU36:EH36)-1)*5 + 1) = INDEX($E$5:$CE$5, 1, (COLUMNS($DU36:EH36)-1)*5 + 1), INDEX($E$8:$CE$57, MATCH($C36, $C$8:$C$57, 0), (COLUMNS($DU36:EH36)-1)*5 + 4) = "SF"), INDEX($CZ$8:$CZ$23, COLUMNS($DU36:EH36)), "0"), "")</f>
        <v/>
      </c>
      <c r="EI36" s="395">
        <f t="array" ref="EI36">IFERROR(IF(AND(INDEX($E$8:$CE$57, MATCH($C36, $C$8:$C$57, 0), (COLUMNS($DU36:EI36)-1)*5 + 1) = INDEX($E$5:$CE$5, 1, (COLUMNS($DU36:EI36)-1)*5 + 1), INDEX($E$8:$CE$57, MATCH($C36, $C$8:$C$57, 0), (COLUMNS($DU36:EI36)-1)*5 + 4) = "SF"), INDEX($CZ$8:$CZ$23, COLUMNS($DU36:EI36)), "0"), "")</f>
        <v/>
      </c>
      <c r="EJ36" s="395">
        <f t="array" ref="EJ36">IFERROR(IF(AND(INDEX($E$8:$CE$57, MATCH($C36, $C$8:$C$57, 0), (COLUMNS($DU36:EJ36)-1)*5 + 1) = INDEX($E$5:$CE$5, 1, (COLUMNS($DU36:EJ36)-1)*5 + 1), INDEX($E$8:$CE$57, MATCH($C36, $C$8:$C$57, 0), (COLUMNS($DU36:EJ36)-1)*5 + 4) = "SF"), INDEX($CZ$8:$CZ$23, COLUMNS($DU36:EJ36)), "0"), "")</f>
        <v/>
      </c>
    </row>
    <row r="37" ht="19.5" customHeight="1" s="568">
      <c r="A37" s="576" t="n"/>
      <c r="B37" s="449">
        <f>IF(SEMANA2[[#This Row],[COD]]&lt;&gt;"",B36+1,"")</f>
        <v/>
      </c>
      <c r="C37" s="622" t="inlineStr">
        <is>
          <t>COD 30</t>
        </is>
      </c>
      <c r="D37" s="415">
        <f t="array" ref="D37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7" s="416" t="n">
        <v>9</v>
      </c>
      <c r="F37" s="417" t="n">
        <v>6</v>
      </c>
      <c r="G37" s="417" t="n">
        <v>8</v>
      </c>
      <c r="H37" s="417" t="n"/>
      <c r="I37" s="602">
        <f>SUM(IF(E37=E$5,4,0),IF(E37&amp;F37=E$5&amp;F$5,1,0),
IF(AND(E37=E$5,F$6&gt;=$D$115),1,0),
IF(AND(F37=E$5,F$6&gt;=$D$115),1,0),
IF(AND(G37=E$5,F$6&gt;=$D$115),1,0),
IF(E37&amp;H37=I$5,1,0),
IF(F37=E$5,2,0),
IF(G37=E$5,1,0),
IF(OR(E37&amp;F37&amp;G37=E$5&amp;F$5&amp;G$5,E37&amp;F37&amp;G37=E$5&amp;G$5&amp;F$5,E37&amp;F37&amp;G37=F$5&amp;E$5&amp;G$5,E37&amp;F37&amp;G37=F$5&amp;G$5&amp;E$5,E37&amp;F37&amp;G37=G$5&amp;E$5&amp;F$5,E37&amp;F37&amp;G37=G$5&amp;F$5&amp;E$5),2,0),IF(AND(E37=E$5,F$6&gt;=$D$129),1,0),IF(AND(F37=E$5,F$6&gt;=$D$129),1,0),IF(AND(G37=E$5,F$6&gt;=$D$129),1,0),IF(E37&amp;H37=H$5,4,0),IF(AND(E37=E$5,F$6&lt;=$D$104),-0.5,0),IF(AND(F37=E$5,F$6&lt;=$D$104),-0.5,0),IF(AND(G37=E$5,F$6&lt;=$D$104),-0.5,0))</f>
        <v/>
      </c>
      <c r="J37" s="416" t="n">
        <v>1</v>
      </c>
      <c r="K37" s="417" t="n"/>
      <c r="L37" s="417" t="n"/>
      <c r="M37" s="417" t="inlineStr">
        <is>
          <t>SF</t>
        </is>
      </c>
      <c r="N37" s="602">
        <f>SUM(IF(J37=J$5,4,0),IF(J37&amp;K37=J$5&amp;K$5,1,0),
IF(AND(J37=J$5,K$6&gt;=$D$115),1,0),
IF(AND(K37=J$5,K$6&gt;=$D$115),1,0),
IF(AND(L37=J$5,K$6&gt;=$D$115),1,0),
IF(J37&amp;M37=N$5,1,0),
IF(K37=J$5,2,0),
IF(L37=J$5,1,0),
IF(OR(J37&amp;K37&amp;L37=J$5&amp;K$5&amp;L$5,J37&amp;K37&amp;L37=J$5&amp;L$5&amp;K$5,J37&amp;K37&amp;L37=K$5&amp;J$5&amp;L$5,J37&amp;K37&amp;L37=K$5&amp;L$5&amp;J$5,J37&amp;K37&amp;L37=L$5&amp;J$5&amp;K$5,J37&amp;K37&amp;L37=L$5&amp;K$5&amp;J$5),2,0),IF(AND(J37=J$5,K$6&gt;=$D$129),1,0),IF(AND(K37=J$5,K$6&gt;=$D$129),1,0),IF(AND(L37=J$5,K$6&gt;=$D$129),1,0),IF(J37&amp;M37=M$5,4,0),IF(AND(J37=J$5,K$6&lt;=$D$104),-0.5,0),IF(AND(K37=J$5,K$6&lt;=$D$104),-0.5,0),IF(AND(L37=J$5,K$6&lt;=$D$104),-0.5,0))</f>
        <v/>
      </c>
      <c r="O37" s="416" t="n">
        <v>5</v>
      </c>
      <c r="P37" s="417" t="n">
        <v>7</v>
      </c>
      <c r="Q37" s="417" t="n">
        <v>1</v>
      </c>
      <c r="R37" s="417" t="n"/>
      <c r="S37" s="602">
        <f>SUM(IF(O37=O$5,4,0),IF(O37&amp;P37=O$5&amp;P$5,1,0),
IF(AND(O37=O$5,P$6&gt;=$D$115),1,0),
IF(AND(P37=O$5,P$6&gt;=$D$115),1,0),
IF(AND(Q37=O$5,P$6&gt;=$D$115),1,0),
IF(O37&amp;R37=S$5,1,0),
IF(P37=O$5,2,0),
IF(Q37=O$5,1,0),
IF(OR(O37&amp;P37&amp;Q37=O$5&amp;P$5&amp;Q$5,O37&amp;P37&amp;Q37=O$5&amp;Q$5&amp;P$5,O37&amp;P37&amp;Q37=P$5&amp;O$5&amp;Q$5,O37&amp;P37&amp;Q37=P$5&amp;Q$5&amp;O$5,O37&amp;P37&amp;Q37=Q$5&amp;O$5&amp;P$5,O37&amp;P37&amp;Q37=Q$5&amp;P$5&amp;O$5),2,0),IF(AND(O37=O$5,P$6&gt;=$D$129),1,0),IF(AND(P37=O$5,P$6&gt;=$D$129),1,0),IF(AND(Q37=O$5,P$6&gt;=$D$129),1,0),IF(O37&amp;R37=R$5,4,0),IF(AND(O37=O$5,P$6&lt;=$D$104),-0.5,0),IF(AND(P37=O$5,P$6&lt;=$D$104),-0.5,0),IF(AND(Q37=O$5,P$6&lt;=$D$104),-0.5,0))</f>
        <v/>
      </c>
      <c r="T37" s="416" t="n">
        <v>4</v>
      </c>
      <c r="U37" s="417" t="n">
        <v>3</v>
      </c>
      <c r="V37" s="417" t="n">
        <v>5</v>
      </c>
      <c r="W37" s="417" t="n"/>
      <c r="X37" s="602">
        <f>SUM(IF(T37=T$5,4,0),IF(T37&amp;U37=T$5&amp;U$5,1,0),
IF(AND(T37=T$5,U$6&gt;=$D$115),1,0),
IF(AND(U37=T$5,U$6&gt;=$D$115),1,0),
IF(AND(V37=T$5,U$6&gt;=$D$115),1,0),
IF(T37&amp;W37=X$5,1,0),
IF(U37=T$5,2,0),
IF(V37=T$5,1,0),
IF(OR(T37&amp;U37&amp;V37=T$5&amp;U$5&amp;V$5,T37&amp;U37&amp;V37=T$5&amp;V$5&amp;U$5,T37&amp;U37&amp;V37=U$5&amp;T$5&amp;V$5,T37&amp;U37&amp;V37=U$5&amp;V$5&amp;T$5,T37&amp;U37&amp;V37=V$5&amp;T$5&amp;U$5,T37&amp;U37&amp;V37=V$5&amp;U$5&amp;T$5),2,0),IF(AND(T37=T$5,U$6&gt;=$D$129),1,0),IF(AND(U37=T$5,U$6&gt;=$D$129),1,0),IF(AND(V37=T$5,U$6&gt;=$D$129),1,0),IF(T37&amp;W37=W$5,4,0),IF(AND(T37=T$5,U$6&lt;=$D$104),-0.5,0),IF(AND(U37=T$5,U$6&lt;=$D$104),-0.5,0),IF(AND(V37=T$5,U$6&lt;=$D$104),-0.5,0))</f>
        <v/>
      </c>
      <c r="Y37" s="416" t="n">
        <v>7</v>
      </c>
      <c r="Z37" s="417" t="n">
        <v>1</v>
      </c>
      <c r="AA37" s="417" t="n">
        <v>2</v>
      </c>
      <c r="AB37" s="417" t="n"/>
      <c r="AC37" s="602">
        <f>SUM(IF(Y37=Y$5,4,0),IF(Y37&amp;Z37=Y$5&amp;Z$5,1,0),
IF(AND(Y37=Y$5,Z$6&gt;=$D$115),1,0),
IF(AND(Z37=Y$5,Z$6&gt;=$D$115),1,0),
IF(AND(AA37=Y$5,Z$6&gt;=$D$115),1,0),
IF(Y37&amp;AB37=AC$5,1,0),
IF(Z37=Y$5,2,0),
IF(AA37=Y$5,1,0),
IF(OR(Y37&amp;Z37&amp;AA37=Y$5&amp;Z$5&amp;AA$5,Y37&amp;Z37&amp;AA37=Y$5&amp;AA$5&amp;Z$5,Y37&amp;Z37&amp;AA37=Z$5&amp;Y$5&amp;AA$5,Y37&amp;Z37&amp;AA37=Z$5&amp;AA$5&amp;Y$5,Y37&amp;Z37&amp;AA37=AA$5&amp;Y$5&amp;Z$5,Y37&amp;Z37&amp;AA37=AA$5&amp;Z$5&amp;Y$5),2,0),IF(AND(Y37=Y$5,Z$6&gt;=$D$129),1,0),IF(AND(Z37=Y$5,Z$6&gt;=$D$129),1,0),IF(AND(AA37=Y$5,Z$6&gt;=$D$129),1,0),IF(Y37&amp;AB37=AB$5,4,0),IF(AND(Y37=Y$5,Z$6&lt;=$D$104),-0.5,0),IF(AND(Z37=Y$5,Z$6&lt;=$D$104),-0.5,0),IF(AND(AA37=Y$5,Z$6&lt;=$D$104),-0.5,0))</f>
        <v/>
      </c>
      <c r="AD37" s="416" t="n">
        <v>3</v>
      </c>
      <c r="AE37" s="417" t="n">
        <v>5</v>
      </c>
      <c r="AF37" s="417" t="n">
        <v>7</v>
      </c>
      <c r="AG37" s="417" t="n"/>
      <c r="AH37" s="602">
        <f>SUM(IF(AD37=AD$5,4,0),IF(AD37&amp;AE37=AD$5&amp;AE$5,1,0),
IF(AND(AD37=AD$5,AE$6&gt;=$D$115),1,0),
IF(AND(AE37=AD$5,AE$6&gt;=$D$115),1,0),
IF(AND(AF37=AD$5,AE$6&gt;=$D$115),1,0),
IF(AD37&amp;AG37=AH$5,1,0),
IF(AE37=AD$5,2,0),
IF(AF37=AD$5,1,0),
IF(OR(AD37&amp;AE37&amp;AF37=AD$5&amp;AE$5&amp;AF$5,AD37&amp;AE37&amp;AF37=AD$5&amp;AF$5&amp;AE$5,AD37&amp;AE37&amp;AF37=AE$5&amp;AD$5&amp;AF$5,AD37&amp;AE37&amp;AF37=AE$5&amp;AF$5&amp;AD$5,AD37&amp;AE37&amp;AF37=AF$5&amp;AD$5&amp;AE$5,AD37&amp;AE37&amp;AF37=AF$5&amp;AE$5&amp;AD$5),2,0),IF(AND(AD37=AD$5,AE$6&gt;=$D$129),1,0),IF(AND(AE37=AD$5,AE$6&gt;=$D$129),1,0),IF(AND(AF37=AD$5,AE$6&gt;=$D$129),1,0),IF(AD37&amp;AG37=AG$5,4,0),IF(AND(AD37=AD$5,AE$6&lt;=$D$104),-0.5,0),IF(AND(AE37=AD$5,AE$6&lt;=$D$104),-0.5,0),IF(AND(AF37=AD$5,AE$6&lt;=$D$104),-0.5,0))</f>
        <v/>
      </c>
      <c r="AI37" s="416" t="n">
        <v>6</v>
      </c>
      <c r="AJ37" s="417" t="n">
        <v>9</v>
      </c>
      <c r="AK37" s="417" t="n">
        <v>1</v>
      </c>
      <c r="AL37" s="417" t="n"/>
      <c r="AM37" s="602">
        <f>SUM(IF(AI37=AI$5,4,0),IF(AI37&amp;AJ37=AI$5&amp;AJ$5,1,0),
IF(AND(AI37=AI$5,AJ$6&gt;=$D$115),1,0),
IF(AND(AJ37=AI$5,AJ$6&gt;=$D$115),1,0),
IF(AND(AK37=AI$5,AJ$6&gt;=$D$115),1,0),
IF(AI37&amp;AL37=AM$5,1,0),
IF(AJ37=AI$5,2,0),
IF(AK37=AI$5,1,0),
IF(OR(AI37&amp;AJ37&amp;AK37=AI$5&amp;AJ$5&amp;AK$5,AI37&amp;AJ37&amp;AK37=AI$5&amp;AK$5&amp;AJ$5,AI37&amp;AJ37&amp;AK37=AJ$5&amp;AI$5&amp;AK$5,AI37&amp;AJ37&amp;AK37=AJ$5&amp;AK$5&amp;AI$5,AI37&amp;AJ37&amp;AK37=AK$5&amp;AI$5&amp;AJ$5,AI37&amp;AJ37&amp;AK37=AK$5&amp;AJ$5&amp;AI$5),2,0),IF(AND(AI37=AI$5,AJ$6&gt;=$D$129),1,0),IF(AND(AJ37=AI$5,AJ$6&gt;=$D$129),1,0),IF(AND(AK37=AI$5,AJ$6&gt;=$D$129),1,0),IF(AI37&amp;AL37=AL$5,4,0),IF(AND(AI37=AI$5,AJ$6&lt;=$D$104),-0.5,0),IF(AND(AJ37=AI$5,AJ$6&lt;=$D$104),-0.5,0),IF(AND(AK37=AI$5,AJ$6&lt;=$D$104),-0.5,0))</f>
        <v/>
      </c>
      <c r="AN37" s="416" t="n">
        <v>8</v>
      </c>
      <c r="AO37" s="417" t="n">
        <v>1</v>
      </c>
      <c r="AP37" s="417" t="n">
        <v>2</v>
      </c>
      <c r="AQ37" s="417" t="inlineStr">
        <is>
          <t>F</t>
        </is>
      </c>
      <c r="AR37" s="602">
        <f>SUM(IF(AN37=AN$5,4,0),IF(AN37&amp;AO37=AN$5&amp;AO$5,1,0),
IF(AND(AN37=AN$5,AO$6&gt;=$D$115),1,0),
IF(AND(AO37=AN$5,AO$6&gt;=$D$115),1,0),
IF(AND(AP37=AN$5,AO$6&gt;=$D$115),1,0),
IF(AN37&amp;AQ37=AR$5,1,0),
IF(AO37=AN$5,2,0),
IF(AP37=AN$5,1,0),
IF(OR(AN37&amp;AO37&amp;AP37=AN$5&amp;AO$5&amp;AP$5,AN37&amp;AO37&amp;AP37=AN$5&amp;AP$5&amp;AO$5,AN37&amp;AO37&amp;AP37=AO$5&amp;AN$5&amp;AP$5,AN37&amp;AO37&amp;AP37=AO$5&amp;AP$5&amp;AN$5,AN37&amp;AO37&amp;AP37=AP$5&amp;AN$5&amp;AO$5,AN37&amp;AO37&amp;AP37=AP$5&amp;AO$5&amp;AN$5),2,0),IF(AND(AN37=AN$5,AO$6&gt;=$D$129),1,0),IF(AND(AO37=AN$5,AO$6&gt;=$D$129),1,0),IF(AND(AP37=AN$5,AO$6&gt;=$D$129),1,0),IF(AN37&amp;AQ37=AQ$5,4,0),IF(AND(AN37=AN$5,AO$6&lt;=$D$104),-0.5,0),IF(AND(AO37=AN$5,AO$6&lt;=$D$104),-0.5,0),IF(AND(AP37=AN$5,AO$6&lt;=$D$104),-0.5,0))</f>
        <v/>
      </c>
      <c r="AS37" s="416" t="n">
        <v>9</v>
      </c>
      <c r="AT37" s="417" t="n">
        <v>5</v>
      </c>
      <c r="AU37" s="417" t="n">
        <v>2</v>
      </c>
      <c r="AV37" s="417" t="n"/>
      <c r="AW37" s="602">
        <f>SUM(IF(AS37=AS$5,4,0),IF(AS37&amp;AT37=AS$5&amp;AT$5,1,0),
IF(AND(AS37=AS$5,AT$6&gt;=$D$115),1,0),
IF(AND(AT37=AS$5,AT$6&gt;=$D$115),1,0),
IF(AND(AU37=AS$5,AT$6&gt;=$D$115),1,0),
IF(AS37&amp;AV37=AW$5,1,0),
IF(AT37=AS$5,2,0),
IF(AU37=AS$5,1,0),
IF(OR(AS37&amp;AT37&amp;AU37=AS$5&amp;AT$5&amp;AU$5,AS37&amp;AT37&amp;AU37=AS$5&amp;AU$5&amp;AT$5,AS37&amp;AT37&amp;AU37=AT$5&amp;AS$5&amp;AU$5,AS37&amp;AT37&amp;AU37=AT$5&amp;AU$5&amp;AS$5,AS37&amp;AT37&amp;AU37=AU$5&amp;AS$5&amp;AT$5,AS37&amp;AT37&amp;AU37=AU$5&amp;AT$5&amp;AS$5),2,0),IF(AND(AS37=AS$5,AT$6&gt;=$D$129),1,0),IF(AND(AT37=AS$5,AT$6&gt;=$D$129),1,0),IF(AND(AU37=AS$5,AT$6&gt;=$D$129),1,0),IF(AS37&amp;AV37=AV$5,4,0),IF(AND(AS37=AS$5,AT$6&lt;=$D$104),-0.5,0),IF(AND(AT37=AS$5,AT$6&lt;=$D$104),-0.5,0),IF(AND(AU37=AS$5,AT$6&lt;=$D$104),-0.5,0))</f>
        <v/>
      </c>
      <c r="AX37" s="416" t="n">
        <v>6</v>
      </c>
      <c r="AY37" s="417" t="n">
        <v>1</v>
      </c>
      <c r="AZ37" s="417" t="n">
        <v>11</v>
      </c>
      <c r="BA37" s="417" t="n"/>
      <c r="BB37" s="602">
        <f>SUM(IF(AX37=AX$5,4,0),IF(AX37&amp;AY37=AX$5&amp;AY$5,1,0),
IF(AND(AX37=AX$5,AY$6&gt;=$D$115),1,0),
IF(AND(AY37=AX$5,AY$6&gt;=$D$115),1,0),
IF(AND(AZ37=AX$5,AY$6&gt;=$D$115),1,0),
IF(AX37&amp;BA37=BB$5,1,0),
IF(AY37=AX$5,2,0),
IF(AZ37=AX$5,1,0),
IF(OR(AX37&amp;AY37&amp;AZ37=AX$5&amp;AY$5&amp;AZ$5,AX37&amp;AY37&amp;AZ37=AX$5&amp;AZ$5&amp;AY$5,AX37&amp;AY37&amp;AZ37=AY$5&amp;AX$5&amp;AZ$5,AX37&amp;AY37&amp;AZ37=AY$5&amp;AZ$5&amp;AX$5,AX37&amp;AY37&amp;AZ37=AZ$5&amp;AX$5&amp;AY$5,AX37&amp;AY37&amp;AZ37=AZ$5&amp;AY$5&amp;AX$5),2,0),IF(AND(AX37=AX$5,AY$6&gt;=$D$129),1,0),IF(AND(AY37=AX$5,AY$6&gt;=$D$129),1,0),IF(AND(AZ37=AX$5,AY$6&gt;=$D$129),1,0),IF(AX37&amp;BA37=BA$5,4,0),IF(AND(AX37=AX$5,AY$6&lt;=$D$104),-0.5,0),IF(AND(AY37=AX$5,AY$6&lt;=$D$104),-0.5,0),IF(AND(AZ37=AX$5,AY$6&lt;=$D$104),-0.5,0))</f>
        <v/>
      </c>
      <c r="BC37" s="416" t="n">
        <v>7</v>
      </c>
      <c r="BD37" s="417" t="n">
        <v>2</v>
      </c>
      <c r="BE37" s="417" t="n">
        <v>6</v>
      </c>
      <c r="BF37" s="417" t="n"/>
      <c r="BG37" s="602">
        <f>SUM(IF(BC37=BC$5,4,0),IF(BC37&amp;BD37=BC$5&amp;BD$5,1,0),
IF(AND(BC37=BC$5,BD$6&gt;=$D$115),1,0),
IF(AND(BD37=BC$5,BD$6&gt;=$D$115),1,0),
IF(AND(BE37=BC$5,BD$6&gt;=$D$115),1,0),
IF(BC37&amp;BF37=BG$5,1,0),
IF(BD37=BC$5,2,0),
IF(BE37=BC$5,1,0),
IF(OR(BC37&amp;BD37&amp;BE37=BC$5&amp;BD$5&amp;BE$5,BC37&amp;BD37&amp;BE37=BC$5&amp;BE$5&amp;BD$5,BC37&amp;BD37&amp;BE37=BD$5&amp;BC$5&amp;BE$5,BC37&amp;BD37&amp;BE37=BD$5&amp;BE$5&amp;BC$5,BC37&amp;BD37&amp;BE37=BE$5&amp;BC$5&amp;BD$5,BC37&amp;BD37&amp;BE37=BE$5&amp;BD$5&amp;BC$5),2,0),IF(AND(BC37=BC$5,BD$6&gt;=$D$129),1,0),IF(AND(BD37=BC$5,BD$6&gt;=$D$129),1,0),IF(AND(BE37=BC$5,BD$6&gt;=$D$129),1,0),IF(BC37&amp;BF37=BF$5,4,0),IF(AND(BC37=BC$5,BD$6&lt;=$D$104),-0.5,0),IF(AND(BD37=BC$5,BD$6&lt;=$D$104),-0.5,0),IF(AND(BE37=BC$5,BD$6&lt;=$D$104),-0.5,0))</f>
        <v/>
      </c>
      <c r="BH37" s="416" t="n">
        <v>1</v>
      </c>
      <c r="BI37" s="417" t="n">
        <v>6</v>
      </c>
      <c r="BJ37" s="417" t="n">
        <v>2</v>
      </c>
      <c r="BK37" s="417" t="n"/>
      <c r="BL37" s="602">
        <f>SUM(IF(BH37=BH$5,4,0),IF(BH37&amp;BI37=BH$5&amp;BI$5,1,0),
IF(AND(BH37=BH$5,BI$6&gt;=$D$115),1,0),
IF(AND(BI37=BH$5,BI$6&gt;=$D$115),1,0),
IF(AND(BJ37=BH$5,BI$6&gt;=$D$115),1,0),
IF(BH37&amp;BK37=BL$5,1,0),
IF(BI37=BH$5,2,0),
IF(BJ37=BH$5,1,0),
IF(OR(BH37&amp;BI37&amp;BJ37=BH$5&amp;BI$5&amp;BJ$5,BH37&amp;BI37&amp;BJ37=BH$5&amp;BJ$5&amp;BI$5,BH37&amp;BI37&amp;BJ37=BI$5&amp;BH$5&amp;BJ$5,BH37&amp;BI37&amp;BJ37=BI$5&amp;BJ$5&amp;BH$5,BH37&amp;BI37&amp;BJ37=BJ$5&amp;BH$5&amp;BI$5,BH37&amp;BI37&amp;BJ37=BJ$5&amp;BI$5&amp;BH$5),2,0),IF(AND(BH37=BH$5,BI$6&gt;=$D$129),1,0),IF(AND(BI37=BH$5,BI$6&gt;=$D$129),1,0),IF(AND(BJ37=BH$5,BI$6&gt;=$D$129),1,0),IF(BH37&amp;BK37=BK$5,4,0),IF(AND(BH37=BH$5,BI$6&lt;=$D$104),-0.5,0),IF(AND(BI37=BH$5,BI$6&lt;=$D$104),-0.5,0),IF(AND(BJ37=BH$5,BI$6&lt;=$D$104),-0.5,0))</f>
        <v/>
      </c>
      <c r="BM37" s="416" t="n">
        <v>1</v>
      </c>
      <c r="BN37" s="417" t="n">
        <v>9</v>
      </c>
      <c r="BO37" s="417" t="n">
        <v>4</v>
      </c>
      <c r="BP37" s="417" t="n"/>
      <c r="BQ37" s="602">
        <f>SUM(IF(BM37=BM$5,4,0),IF(BM37&amp;BN37=BM$5&amp;BN$5,1,0),
IF(AND(BM37=BM$5,BN$6&gt;=$D$115),1,0),
IF(AND(BN37=BM$5,BN$6&gt;=$D$115),1,0),
IF(AND(BO37=BM$5,BN$6&gt;=$D$115),1,0),
IF(BM37&amp;BP37=BQ$5,1,0),
IF(BN37=BM$5,2,0),
IF(BO37=BM$5,1,0),
IF(OR(BM37&amp;BN37&amp;BO37=BM$5&amp;BN$5&amp;BO$5,BM37&amp;BN37&amp;BO37=BM$5&amp;BO$5&amp;BN$5,BM37&amp;BN37&amp;BO37=BN$5&amp;BM$5&amp;BO$5,BM37&amp;BN37&amp;BO37=BN$5&amp;BO$5&amp;BM$5,BM37&amp;BN37&amp;BO37=BO$5&amp;BM$5&amp;BN$5,BM37&amp;BN37&amp;BO37=BO$5&amp;BN$5&amp;BM$5),2,0),IF(AND(BM37=BM$5,BN$6&gt;=$D$129),1,0),IF(AND(BN37=BM$5,BN$6&gt;=$D$129),1,0),IF(AND(BO37=BM$5,BN$6&gt;=$D$129),1,0),IF(BM37&amp;BP37=BP$5,4,0),IF(AND(BM37=BM$5,BN$6&lt;=$D$104),-0.5,0),IF(AND(BN37=BM$5,BN$6&lt;=$D$104),-0.5,0),IF(AND(BO37=BM$5,BN$6&lt;=$D$104),-0.5,0))</f>
        <v/>
      </c>
      <c r="BR37" s="416" t="n">
        <v>5</v>
      </c>
      <c r="BS37" s="417" t="n">
        <v>1</v>
      </c>
      <c r="BT37" s="417" t="n">
        <v>11</v>
      </c>
      <c r="BU37" s="417" t="inlineStr">
        <is>
          <t>F</t>
        </is>
      </c>
      <c r="BV37" s="602">
        <f>SUM(IF(BR37=BR$5,4,0),IF(BR37&amp;BS37=BR$5&amp;BS$5,1,0),
IF(AND(BR37=BR$5,BS$6&gt;=$D$115),1,0),
IF(AND(BS37=BR$5,BS$6&gt;=$D$115),1,0),
IF(AND(BT37=BR$5,BS$6&gt;=$D$115),1,0),
IF(BR37&amp;BU37=BV$5,1,0),
IF(BS37=BR$5,2,0),
IF(BT37=BR$5,1,0),
IF(OR(BR37&amp;BS37&amp;BT37=BR$5&amp;BS$5&amp;BT$5,BR37&amp;BS37&amp;BT37=BR$5&amp;BT$5&amp;BS$5,BR37&amp;BS37&amp;BT37=BS$5&amp;BR$5&amp;BT$5,BR37&amp;BS37&amp;BT37=BS$5&amp;BT$5&amp;BR$5,BR37&amp;BS37&amp;BT37=BT$5&amp;BR$5&amp;BS$5,BR37&amp;BS37&amp;BT37=BT$5&amp;BS$5&amp;BR$5),2,0),IF(AND(BR37=BR$5,BS$6&gt;=$D$129),1,0),IF(AND(BS37=BR$5,BS$6&gt;=$D$129),1,0),IF(AND(BT37=BR$5,BS$6&gt;=$D$129),1,0),IF(BR37&amp;BU37=BU$5,4,0),IF(AND(BR37=BR$5,BS$6&lt;=$D$104),-0.5,0),IF(AND(BS37=BR$5,BS$6&lt;=$D$104),-0.5,0),IF(AND(BT37=BR$5,BS$6&lt;=$D$104),-0.5,0))</f>
        <v/>
      </c>
      <c r="BW37" s="416" t="n"/>
      <c r="BX37" s="417" t="n"/>
      <c r="BY37" s="417" t="n"/>
      <c r="BZ37" s="417" t="n"/>
      <c r="CA37" s="602">
        <f>SUM(IF(BW37=BW$5,4,0),IF(BW37&amp;BX37=BW$5&amp;BX$5,1,0),
IF(AND(BW37=BW$5,BX$6&gt;=$D$115),1,0),
IF(AND(BX37=BW$5,BX$6&gt;=$D$115),1,0),
IF(AND(BY37=BW$5,BX$6&gt;=$D$115),1,0),
IF(BW37&amp;BZ37=CA$5,1,0),
IF(BX37=BW$5,2,0),
IF(BY37=BW$5,1,0),
IF(OR(BW37&amp;BX37&amp;BY37=BW$5&amp;BX$5&amp;BY$5,BW37&amp;BX37&amp;BY37=BW$5&amp;BY$5&amp;BX$5,BW37&amp;BX37&amp;BY37=BX$5&amp;BW$5&amp;BY$5,BW37&amp;BX37&amp;BY37=BX$5&amp;BY$5&amp;BW$5,BW37&amp;BX37&amp;BY37=BY$5&amp;BW$5&amp;BX$5,BW37&amp;BX37&amp;BY37=BY$5&amp;BX$5&amp;BW$5),2,0),IF(AND(BW37=BW$5,BX$6&gt;=$D$129),1,0),IF(AND(BX37=BW$5,BX$6&gt;=$D$129),1,0),IF(AND(BY37=BW$5,BX$6&gt;=$D$129),1,0),IF(BW37&amp;BZ37=BZ$5,4,0),IF(AND(BW37=BW$5,BX$6&lt;=$D$104),-0.5,0),IF(AND(BX37=BW$5,BX$6&lt;=$D$104),-0.5,0),IF(AND(BY37=BW$5,BX$6&lt;=$D$104),-0.5,0))</f>
        <v/>
      </c>
      <c r="CB37" s="416" t="n"/>
      <c r="CC37" s="417" t="n"/>
      <c r="CD37" s="417" t="n"/>
      <c r="CE37" s="417" t="n"/>
      <c r="CF37" s="602">
        <f>SUM(IF(CB37=CB$5,4,0),IF(CB37&amp;CC37=CB$5&amp;CC$5,1,0),
IF(AND(CB37=CB$5,CC$6&gt;=$D$115),1,0),
IF(AND(CC37=CB$5,CC$6&gt;=$D$115),1,0),
IF(AND(CD37=CB$5,CC$6&gt;=$D$115),1,0),
IF(CB37&amp;CE37=CF$5,1,0),
IF(CC37=CB$5,2,0),
IF(CD37=CB$5,1,0),
IF(OR(CB37&amp;CC37&amp;CD37=CB$5&amp;CC$5&amp;CD$5,CB37&amp;CC37&amp;CD37=CB$5&amp;CD$5&amp;CC$5,CB37&amp;CC37&amp;CD37=CC$5&amp;CB$5&amp;CD$5,CB37&amp;CC37&amp;CD37=CC$5&amp;CD$5&amp;CB$5,CB37&amp;CC37&amp;CD37=CD$5&amp;CB$5&amp;CC$5,CB37&amp;CC37&amp;CD37=CD$5&amp;CC$5&amp;CB$5),2,0),IF(AND(CB37=CB$5,CC$6&gt;=$D$129),1,0),IF(AND(CC37=CB$5,CC$6&gt;=$D$129),1,0),IF(AND(CD37=CB$5,CC$6&gt;=$D$129),1,0),IF(CB37&amp;CE37=CE$5,4,0),IF(AND(CB37=CB$5,CC$6&lt;=$D$104),-0.5,0),IF(AND(CC37=CB$5,CC$6&lt;=$D$104),-0.5,0),IF(AND(CD37=CB$5,CC$6&lt;=$D$104),-0.5,0))</f>
        <v/>
      </c>
      <c r="CG37" s="164">
        <f>IF(SEMANA2[[#This Row],[1]]="",0,$B$4)</f>
        <v/>
      </c>
      <c r="CH37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7" s="166">
        <f>IF(SEMANA2[[#This Row],[Columna14]]=0,0,(CH37/CG37))</f>
        <v/>
      </c>
      <c r="CJ37" s="165">
        <f>IF(SEMANA2[[#This Row],[1]]="",0,$B$4)</f>
        <v/>
      </c>
      <c r="CK37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7" s="166">
        <f>IF(SEMANA2[[#This Row],[Columna14]]=0,0,(CK37/CJ37))</f>
        <v/>
      </c>
      <c r="CM37" s="164">
        <f>IF(SEMANA2[[#This Row],[1]]="",0,$B$4)</f>
        <v/>
      </c>
      <c r="CN37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7" s="166">
        <f>IF(SEMANA2[[#This Row],[Columna14]]=0,0,(CN37/CM37))</f>
        <v/>
      </c>
      <c r="CP37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7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Row],[Columna25]],$AX$5,BA37,"SF")+COUNTIFS(SEMANA2[[#This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7" s="166">
        <f>IFERROR(IF(SEMANA2[[#This Row],[Columna14]]=0,0,(CQ37/CP37)),0)</f>
        <v/>
      </c>
      <c r="CS37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7" s="95">
        <f>_xlfn.XLOOKUP(SEMANA2[[#This Row],[COD]],BASE01[COD],BASE01[Columna33])</f>
        <v/>
      </c>
      <c r="CU37" s="604">
        <f>SUM(CS37,CT37)</f>
        <v/>
      </c>
      <c r="CV37" s="450">
        <f>IF(SEMANA2[[#This Row],[TIPO]]="PREMIO",$O$3,"0,00")</f>
        <v/>
      </c>
      <c r="CW37" s="576" t="n"/>
      <c r="CY37" s="392">
        <f>IF(CZ37="","",$CZ$25)</f>
        <v/>
      </c>
      <c r="CZ37" s="392" t="n"/>
      <c r="DA37" s="392">
        <f t="array" ref="DA37">IF(CZ37="", "", IF((INDEX(E$8:CE$57, MATCH(CZ37, C$8:C$57, 0), ($CZ$25-1)*5 + 1) &amp; "") = (INDEX(E$5:CE$5, 1, ($CZ$25-1)*5 + 1) &amp; ""), 1, IF((INDEX(E$8:CE$57, MATCH(CZ37, C$8:C$57, 0), ($CZ$25-1)*5 + 2) &amp; "") = (INDEX(E$5:CE$5, 1, ($CZ$25-1)*5 + 1) &amp; ""), 2, IF((INDEX(E$8:CE$57, MATCH(CZ37, C$8:C$57, 0), ($CZ$25-1)*5 + 3) &amp; "") = (INDEX(E$5:CE$5, 1, ($CZ$25-1)*5 + 1) &amp; ""), 3, ""))))</f>
        <v/>
      </c>
      <c r="DB37" s="605">
        <f>SEMANA2[[#This Row],[COD]]</f>
        <v/>
      </c>
      <c r="DC37" s="395">
        <f t="array" ref="DC37">IFERROR(IF(AND(INDEX($E$8:$CE$57, MATCH($C37, $C$8:$C$57, 0), (COLUMNS($DC37:DC37)-1)*5 + 1) = INDEX($E$5:$CE$5, 1, (COLUMNS($DC37:DC37)-1)*5 + 1), INDEX($E$8:$CE$57, MATCH($C37, $C$8:$C$57, 0), (COLUMNS($DC37:DC37)-1)*5 + 4) = "F"), INDEX($CZ$8:$CZ$23, COLUMNS($DC37:DC37)), "0"), "")</f>
        <v/>
      </c>
      <c r="DD37" s="395">
        <f t="array" ref="DD37">IFERROR(IF(AND(INDEX($E$8:$CE$57, MATCH($C37, $C$8:$C$57, 0), (COLUMNS($DC37:DD37)-1)*5 + 1) = INDEX($E$5:$CE$5, 1, (COLUMNS($DC37:DD37)-1)*5 + 1), INDEX($E$8:$CE$57, MATCH($C37, $C$8:$C$57, 0), (COLUMNS($DC37:DD37)-1)*5 + 4) = "F"), INDEX($CZ$8:$CZ$23, COLUMNS($DC37:DD37)), "0"), "")</f>
        <v/>
      </c>
      <c r="DE37" s="395">
        <f t="array" ref="DE37">IFERROR(IF(AND(INDEX($E$8:$CE$57, MATCH($C37, $C$8:$C$57, 0), (COLUMNS($DC37:DE37)-1)*5 + 1) = INDEX($E$5:$CE$5, 1, (COLUMNS($DC37:DE37)-1)*5 + 1), INDEX($E$8:$CE$57, MATCH($C37, $C$8:$C$57, 0), (COLUMNS($DC37:DE37)-1)*5 + 4) = "F"), INDEX($CZ$8:$CZ$23, COLUMNS($DC37:DE37)), "0"), "")</f>
        <v/>
      </c>
      <c r="DF37" s="395">
        <f t="array" ref="DF37">IFERROR(IF(AND(INDEX($E$8:$CE$57, MATCH($C37, $C$8:$C$57, 0), (COLUMNS($DC37:DF37)-1)*5 + 1) = INDEX($E$5:$CE$5, 1, (COLUMNS($DC37:DF37)-1)*5 + 1), INDEX($E$8:$CE$57, MATCH($C37, $C$8:$C$57, 0), (COLUMNS($DC37:DF37)-1)*5 + 4) = "F"), INDEX($CZ$8:$CZ$23, COLUMNS($DC37:DF37)), "0"), "")</f>
        <v/>
      </c>
      <c r="DG37" s="395">
        <f t="array" ref="DG37">IFERROR(IF(AND(INDEX($E$8:$CE$57, MATCH($C37, $C$8:$C$57, 0), (COLUMNS($DC37:DG37)-1)*5 + 1) = INDEX($E$5:$CE$5, 1, (COLUMNS($DC37:DG37)-1)*5 + 1), INDEX($E$8:$CE$57, MATCH($C37, $C$8:$C$57, 0), (COLUMNS($DC37:DG37)-1)*5 + 4) = "F"), INDEX($CZ$8:$CZ$23, COLUMNS($DC37:DG37)), "0"), "")</f>
        <v/>
      </c>
      <c r="DH37" s="395">
        <f t="array" ref="DH37">IFERROR(IF(AND(INDEX($E$8:$CE$57, MATCH($C37, $C$8:$C$57, 0), (COLUMNS($DC37:DH37)-1)*5 + 1) = INDEX($E$5:$CE$5, 1, (COLUMNS($DC37:DH37)-1)*5 + 1), INDEX($E$8:$CE$57, MATCH($C37, $C$8:$C$57, 0), (COLUMNS($DC37:DH37)-1)*5 + 4) = "F"), INDEX($CZ$8:$CZ$23, COLUMNS($DC37:DH37)), "0"), "")</f>
        <v/>
      </c>
      <c r="DI37" s="395">
        <f t="array" ref="DI37">IFERROR(IF(AND(INDEX($E$8:$CE$57, MATCH($C37, $C$8:$C$57, 0), (COLUMNS($DC37:DI37)-1)*5 + 1) = INDEX($E$5:$CE$5, 1, (COLUMNS($DC37:DI37)-1)*5 + 1), INDEX($E$8:$CE$57, MATCH($C37, $C$8:$C$57, 0), (COLUMNS($DC37:DI37)-1)*5 + 4) = "F"), INDEX($CZ$8:$CZ$23, COLUMNS($DC37:DI37)), "0"), "")</f>
        <v/>
      </c>
      <c r="DJ37" s="395">
        <f t="array" ref="DJ37">IFERROR(IF(AND(INDEX($E$8:$CE$57, MATCH($C37, $C$8:$C$57, 0), (COLUMNS($DC37:DJ37)-1)*5 + 1) = INDEX($E$5:$CE$5, 1, (COLUMNS($DC37:DJ37)-1)*5 + 1), INDEX($E$8:$CE$57, MATCH($C37, $C$8:$C$57, 0), (COLUMNS($DC37:DJ37)-1)*5 + 4) = "F"), INDEX($CZ$8:$CZ$23, COLUMNS($DC37:DJ37)), "0"), "")</f>
        <v/>
      </c>
      <c r="DK37" s="395">
        <f t="array" ref="DK37">IFERROR(IF(AND(INDEX($E$8:$CE$57, MATCH($C37, $C$8:$C$57, 0), (COLUMNS($DC37:DK37)-1)*5 + 1) = INDEX($E$5:$CE$5, 1, (COLUMNS($DC37:DK37)-1)*5 + 1), INDEX($E$8:$CE$57, MATCH($C37, $C$8:$C$57, 0), (COLUMNS($DC37:DK37)-1)*5 + 4) = "F"), INDEX($CZ$8:$CZ$23, COLUMNS($DC37:DK37)), "0"), "")</f>
        <v/>
      </c>
      <c r="DL37" s="395">
        <f t="array" ref="DL37">IFERROR(IF(AND(INDEX($E$8:$CE$57, MATCH($C37, $C$8:$C$57, 0), (COLUMNS($DC37:DL37)-1)*5 + 1) = INDEX($E$5:$CE$5, 1, (COLUMNS($DC37:DL37)-1)*5 + 1), INDEX($E$8:$CE$57, MATCH($C37, $C$8:$C$57, 0), (COLUMNS($DC37:DL37)-1)*5 + 4) = "F"), INDEX($CZ$8:$CZ$23, COLUMNS($DC37:DL37)), "0"), "")</f>
        <v/>
      </c>
      <c r="DM37" s="395">
        <f t="array" ref="DM37">IFERROR(IF(AND(INDEX($E$8:$CE$57, MATCH($C37, $C$8:$C$57, 0), (COLUMNS($DC37:DM37)-1)*5 + 1) = INDEX($E$5:$CE$5, 1, (COLUMNS($DC37:DM37)-1)*5 + 1), INDEX($E$8:$CE$57, MATCH($C37, $C$8:$C$57, 0), (COLUMNS($DC37:DM37)-1)*5 + 4) = "F"), INDEX($CZ$8:$CZ$23, COLUMNS($DC37:DM37)), "0"), "")</f>
        <v/>
      </c>
      <c r="DN37" s="395">
        <f t="array" ref="DN37">IFERROR(IF(AND(INDEX($E$8:$CE$57, MATCH($C37, $C$8:$C$57, 0), (COLUMNS($DC37:DN37)-1)*5 + 1) = INDEX($E$5:$CE$5, 1, (COLUMNS($DC37:DN37)-1)*5 + 1), INDEX($E$8:$CE$57, MATCH($C37, $C$8:$C$57, 0), (COLUMNS($DC37:DN37)-1)*5 + 4) = "F"), INDEX($CZ$8:$CZ$23, COLUMNS($DC37:DN37)), "0"), "")</f>
        <v/>
      </c>
      <c r="DO37" s="395">
        <f t="array" ref="DO37">IFERROR(IF(AND(INDEX($E$8:$CE$57, MATCH($C37, $C$8:$C$57, 0), (COLUMNS($DC37:DO37)-1)*5 + 1) = INDEX($E$5:$CE$5, 1, (COLUMNS($DC37:DO37)-1)*5 + 1), INDEX($E$8:$CE$57, MATCH($C37, $C$8:$C$57, 0), (COLUMNS($DC37:DO37)-1)*5 + 4) = "F"), INDEX($CZ$8:$CZ$23, COLUMNS($DC37:DO37)), "0"), "")</f>
        <v/>
      </c>
      <c r="DP37" s="395">
        <f t="array" ref="DP37">IFERROR(IF(AND(INDEX($E$8:$CE$57, MATCH($C37, $C$8:$C$57, 0), (COLUMNS($DC37:DP37)-1)*5 + 1) = INDEX($E$5:$CE$5, 1, (COLUMNS($DC37:DP37)-1)*5 + 1), INDEX($E$8:$CE$57, MATCH($C37, $C$8:$C$57, 0), (COLUMNS($DC37:DP37)-1)*5 + 4) = "F"), INDEX($CZ$8:$CZ$23, COLUMNS($DC37:DP37)), "0"), "")</f>
        <v/>
      </c>
      <c r="DQ37" s="395">
        <f t="array" ref="DQ37">IFERROR(IF(AND(INDEX($E$8:$CE$57, MATCH($C37, $C$8:$C$57, 0), (COLUMNS($DC37:DQ37)-1)*5 + 1) = INDEX($E$5:$CE$5, 1, (COLUMNS($DC37:DQ37)-1)*5 + 1), INDEX($E$8:$CE$57, MATCH($C37, $C$8:$C$57, 0), (COLUMNS($DC37:DQ37)-1)*5 + 4) = "F"), INDEX($CZ$8:$CZ$23, COLUMNS($DC37:DQ37)), "0"), "")</f>
        <v/>
      </c>
      <c r="DR37" s="395">
        <f t="array" ref="DR37">IFERROR(IF(AND(INDEX($E$8:$CE$57, MATCH($C37, $C$8:$C$57, 0), (COLUMNS($DC37:DR37)-1)*5 + 1) = INDEX($E$5:$CE$5, 1, (COLUMNS($DC37:DR37)-1)*5 + 1), INDEX($E$8:$CE$57, MATCH($C37, $C$8:$C$57, 0), (COLUMNS($DC37:DR37)-1)*5 + 4) = "F"), INDEX($CZ$8:$CZ$23, COLUMNS($DC37:DR37)), "0"), "")</f>
        <v/>
      </c>
      <c r="DT37" s="605">
        <f>SEMANA2[[#This Row],[COD]]</f>
        <v/>
      </c>
      <c r="DU37" s="395">
        <f t="array" ref="DU37">IFERROR(IF(AND(INDEX($E$8:$CE$57, MATCH($C37, $C$8:$C$57, 0), (COLUMNS($DU37:DU37)-1)*5 + 1) = INDEX($E$5:$CE$5, 1, (COLUMNS($DU37:DU37)-1)*5 + 1), INDEX($E$8:$CE$57, MATCH($C37, $C$8:$C$57, 0), (COLUMNS($DU37:DU37)-1)*5 + 4) = "SF"), INDEX($CZ$8:$CZ$23, COLUMNS($DU37:DU37)), "0"), "")</f>
        <v/>
      </c>
      <c r="DV37" s="395">
        <f t="array" ref="DV37">IFERROR(IF(AND(INDEX($E$8:$CE$57, MATCH($C37, $C$8:$C$57, 0), (COLUMNS($DU37:DV37)-1)*5 + 1) = INDEX($E$5:$CE$5, 1, (COLUMNS($DU37:DV37)-1)*5 + 1), INDEX($E$8:$CE$57, MATCH($C37, $C$8:$C$57, 0), (COLUMNS($DU37:DV37)-1)*5 + 4) = "SF"), INDEX($CZ$8:$CZ$23, COLUMNS($DU37:DV37)), "0"), "")</f>
        <v/>
      </c>
      <c r="DW37" s="395">
        <f t="array" ref="DW37">IFERROR(IF(AND(INDEX($E$8:$CE$57, MATCH($C37, $C$8:$C$57, 0), (COLUMNS($DU37:DW37)-1)*5 + 1) = INDEX($E$5:$CE$5, 1, (COLUMNS($DU37:DW37)-1)*5 + 1), INDEX($E$8:$CE$57, MATCH($C37, $C$8:$C$57, 0), (COLUMNS($DU37:DW37)-1)*5 + 4) = "SF"), INDEX($CZ$8:$CZ$23, COLUMNS($DU37:DW37)), "0"), "")</f>
        <v/>
      </c>
      <c r="DX37" s="395">
        <f t="array" ref="DX37">IFERROR(IF(AND(INDEX($E$8:$CE$57, MATCH($C37, $C$8:$C$57, 0), (COLUMNS($DU37:DX37)-1)*5 + 1) = INDEX($E$5:$CE$5, 1, (COLUMNS($DU37:DX37)-1)*5 + 1), INDEX($E$8:$CE$57, MATCH($C37, $C$8:$C$57, 0), (COLUMNS($DU37:DX37)-1)*5 + 4) = "SF"), INDEX($CZ$8:$CZ$23, COLUMNS($DU37:DX37)), "0"), "")</f>
        <v/>
      </c>
      <c r="DY37" s="395">
        <f t="array" ref="DY37">IFERROR(IF(AND(INDEX($E$8:$CE$57, MATCH($C37, $C$8:$C$57, 0), (COLUMNS($DU37:DY37)-1)*5 + 1) = INDEX($E$5:$CE$5, 1, (COLUMNS($DU37:DY37)-1)*5 + 1), INDEX($E$8:$CE$57, MATCH($C37, $C$8:$C$57, 0), (COLUMNS($DU37:DY37)-1)*5 + 4) = "SF"), INDEX($CZ$8:$CZ$23, COLUMNS($DU37:DY37)), "0"), "")</f>
        <v/>
      </c>
      <c r="DZ37" s="395">
        <f t="array" ref="DZ37">IFERROR(IF(AND(INDEX($E$8:$CE$57, MATCH($C37, $C$8:$C$57, 0), (COLUMNS($DU37:DZ37)-1)*5 + 1) = INDEX($E$5:$CE$5, 1, (COLUMNS($DU37:DZ37)-1)*5 + 1), INDEX($E$8:$CE$57, MATCH($C37, $C$8:$C$57, 0), (COLUMNS($DU37:DZ37)-1)*5 + 4) = "SF"), INDEX($CZ$8:$CZ$23, COLUMNS($DU37:DZ37)), "0"), "")</f>
        <v/>
      </c>
      <c r="EA37" s="395">
        <f t="array" ref="EA37">IFERROR(IF(AND(INDEX($E$8:$CE$57, MATCH($C37, $C$8:$C$57, 0), (COLUMNS($DU37:EA37)-1)*5 + 1) = INDEX($E$5:$CE$5, 1, (COLUMNS($DU37:EA37)-1)*5 + 1), INDEX($E$8:$CE$57, MATCH($C37, $C$8:$C$57, 0), (COLUMNS($DU37:EA37)-1)*5 + 4) = "SF"), INDEX($CZ$8:$CZ$23, COLUMNS($DU37:EA37)), "0"), "")</f>
        <v/>
      </c>
      <c r="EB37" s="395">
        <f t="array" ref="EB37">IFERROR(IF(AND(INDEX($E$8:$CE$57, MATCH($C37, $C$8:$C$57, 0), (COLUMNS($DU37:EB37)-1)*5 + 1) = INDEX($E$5:$CE$5, 1, (COLUMNS($DU37:EB37)-1)*5 + 1), INDEX($E$8:$CE$57, MATCH($C37, $C$8:$C$57, 0), (COLUMNS($DU37:EB37)-1)*5 + 4) = "SF"), INDEX($CZ$8:$CZ$23, COLUMNS($DU37:EB37)), "0"), "")</f>
        <v/>
      </c>
      <c r="EC37" s="395">
        <f t="array" ref="EC37">IFERROR(IF(AND(INDEX($E$8:$CE$57, MATCH($C37, $C$8:$C$57, 0), (COLUMNS($DU37:EC37)-1)*5 + 1) = INDEX($E$5:$CE$5, 1, (COLUMNS($DU37:EC37)-1)*5 + 1), INDEX($E$8:$CE$57, MATCH($C37, $C$8:$C$57, 0), (COLUMNS($DU37:EC37)-1)*5 + 4) = "SF"), INDEX($CZ$8:$CZ$23, COLUMNS($DU37:EC37)), "0"), "")</f>
        <v/>
      </c>
      <c r="ED37" s="395">
        <f t="array" ref="ED37">IFERROR(IF(AND(INDEX($E$8:$CE$57, MATCH($C37, $C$8:$C$57, 0), (COLUMNS($DU37:ED37)-1)*5 + 1) = INDEX($E$5:$CE$5, 1, (COLUMNS($DU37:ED37)-1)*5 + 1), INDEX($E$8:$CE$57, MATCH($C37, $C$8:$C$57, 0), (COLUMNS($DU37:ED37)-1)*5 + 4) = "SF"), INDEX($CZ$8:$CZ$23, COLUMNS($DU37:ED37)), "0"), "")</f>
        <v/>
      </c>
      <c r="EE37" s="395">
        <f t="array" ref="EE37">IFERROR(IF(AND(INDEX($E$8:$CE$57, MATCH($C37, $C$8:$C$57, 0), (COLUMNS($DU37:EE37)-1)*5 + 1) = INDEX($E$5:$CE$5, 1, (COLUMNS($DU37:EE37)-1)*5 + 1), INDEX($E$8:$CE$57, MATCH($C37, $C$8:$C$57, 0), (COLUMNS($DU37:EE37)-1)*5 + 4) = "SF"), INDEX($CZ$8:$CZ$23, COLUMNS($DU37:EE37)), "0"), "")</f>
        <v/>
      </c>
      <c r="EF37" s="395">
        <f t="array" ref="EF37">IFERROR(IF(AND(INDEX($E$8:$CE$57, MATCH($C37, $C$8:$C$57, 0), (COLUMNS($DU37:EF37)-1)*5 + 1) = INDEX($E$5:$CE$5, 1, (COLUMNS($DU37:EF37)-1)*5 + 1), INDEX($E$8:$CE$57, MATCH($C37, $C$8:$C$57, 0), (COLUMNS($DU37:EF37)-1)*5 + 4) = "SF"), INDEX($CZ$8:$CZ$23, COLUMNS($DU37:EF37)), "0"), "")</f>
        <v/>
      </c>
      <c r="EG37" s="395">
        <f t="array" ref="EG37">IFERROR(IF(AND(INDEX($E$8:$CE$57, MATCH($C37, $C$8:$C$57, 0), (COLUMNS($DU37:EG37)-1)*5 + 1) = INDEX($E$5:$CE$5, 1, (COLUMNS($DU37:EG37)-1)*5 + 1), INDEX($E$8:$CE$57, MATCH($C37, $C$8:$C$57, 0), (COLUMNS($DU37:EG37)-1)*5 + 4) = "SF"), INDEX($CZ$8:$CZ$23, COLUMNS($DU37:EG37)), "0"), "")</f>
        <v/>
      </c>
      <c r="EH37" s="395">
        <f t="array" ref="EH37">IFERROR(IF(AND(INDEX($E$8:$CE$57, MATCH($C37, $C$8:$C$57, 0), (COLUMNS($DU37:EH37)-1)*5 + 1) = INDEX($E$5:$CE$5, 1, (COLUMNS($DU37:EH37)-1)*5 + 1), INDEX($E$8:$CE$57, MATCH($C37, $C$8:$C$57, 0), (COLUMNS($DU37:EH37)-1)*5 + 4) = "SF"), INDEX($CZ$8:$CZ$23, COLUMNS($DU37:EH37)), "0"), "")</f>
        <v/>
      </c>
      <c r="EI37" s="395">
        <f t="array" ref="EI37">IFERROR(IF(AND(INDEX($E$8:$CE$57, MATCH($C37, $C$8:$C$57, 0), (COLUMNS($DU37:EI37)-1)*5 + 1) = INDEX($E$5:$CE$5, 1, (COLUMNS($DU37:EI37)-1)*5 + 1), INDEX($E$8:$CE$57, MATCH($C37, $C$8:$C$57, 0), (COLUMNS($DU37:EI37)-1)*5 + 4) = "SF"), INDEX($CZ$8:$CZ$23, COLUMNS($DU37:EI37)), "0"), "")</f>
        <v/>
      </c>
      <c r="EJ37" s="395">
        <f t="array" ref="EJ37">IFERROR(IF(AND(INDEX($E$8:$CE$57, MATCH($C37, $C$8:$C$57, 0), (COLUMNS($DU37:EJ37)-1)*5 + 1) = INDEX($E$5:$CE$5, 1, (COLUMNS($DU37:EJ37)-1)*5 + 1), INDEX($E$8:$CE$57, MATCH($C37, $C$8:$C$57, 0), (COLUMNS($DU37:EJ37)-1)*5 + 4) = "SF"), INDEX($CZ$8:$CZ$23, COLUMNS($DU37:EJ37)), "0"), "")</f>
        <v/>
      </c>
    </row>
    <row r="38" ht="19.5" customHeight="1" s="568">
      <c r="A38" s="576" t="n"/>
      <c r="B38" s="449">
        <f>IF(SEMANA2[[#This Row],[COD]]&lt;&gt;"",B37+1,"")</f>
        <v/>
      </c>
      <c r="C38" s="622" t="inlineStr">
        <is>
          <t>COD 31</t>
        </is>
      </c>
      <c r="D38" s="415">
        <f t="array" ref="D38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8" s="419" t="n">
        <v>9</v>
      </c>
      <c r="F38" s="421" t="n"/>
      <c r="G38" s="420" t="n"/>
      <c r="H38" s="421" t="inlineStr">
        <is>
          <t>SF</t>
        </is>
      </c>
      <c r="I38" s="602">
        <f>SUM(IF(E38=E$5,4,0),IF(E38&amp;F38=E$5&amp;F$5,1,0),
IF(AND(E38=E$5,F$6&gt;=$D$115),1,0),
IF(AND(F38=E$5,F$6&gt;=$D$115),1,0),
IF(AND(G38=E$5,F$6&gt;=$D$115),1,0),
IF(E38&amp;H38=I$5,1,0),
IF(F38=E$5,2,0),
IF(G38=E$5,1,0),
IF(OR(E38&amp;F38&amp;G38=E$5&amp;F$5&amp;G$5,E38&amp;F38&amp;G38=E$5&amp;G$5&amp;F$5,E38&amp;F38&amp;G38=F$5&amp;E$5&amp;G$5,E38&amp;F38&amp;G38=F$5&amp;G$5&amp;E$5,E38&amp;F38&amp;G38=G$5&amp;E$5&amp;F$5,E38&amp;F38&amp;G38=G$5&amp;F$5&amp;E$5),2,0),IF(AND(E38=E$5,F$6&gt;=$D$129),1,0),IF(AND(F38=E$5,F$6&gt;=$D$129),1,0),IF(AND(G38=E$5,F$6&gt;=$D$129),1,0),IF(E38&amp;H38=H$5,4,0),IF(AND(E38=E$5,F$6&lt;=$D$104),-0.5,0),IF(AND(F38=E$5,F$6&lt;=$D$104),-0.5,0),IF(AND(G38=E$5,F$6&lt;=$D$104),-0.5,0))</f>
        <v/>
      </c>
      <c r="J38" s="419" t="n">
        <v>1</v>
      </c>
      <c r="K38" s="421" t="n">
        <v>7</v>
      </c>
      <c r="L38" s="420" t="n">
        <v>10</v>
      </c>
      <c r="M38" s="421" t="inlineStr">
        <is>
          <t>F</t>
        </is>
      </c>
      <c r="N38" s="602">
        <f>SUM(IF(J38=J$5,4,0),IF(J38&amp;K38=J$5&amp;K$5,1,0),
IF(AND(J38=J$5,K$6&gt;=$D$115),1,0),
IF(AND(K38=J$5,K$6&gt;=$D$115),1,0),
IF(AND(L38=J$5,K$6&gt;=$D$115),1,0),
IF(J38&amp;M38=N$5,1,0),
IF(K38=J$5,2,0),
IF(L38=J$5,1,0),
IF(OR(J38&amp;K38&amp;L38=J$5&amp;K$5&amp;L$5,J38&amp;K38&amp;L38=J$5&amp;L$5&amp;K$5,J38&amp;K38&amp;L38=K$5&amp;J$5&amp;L$5,J38&amp;K38&amp;L38=K$5&amp;L$5&amp;J$5,J38&amp;K38&amp;L38=L$5&amp;J$5&amp;K$5,J38&amp;K38&amp;L38=L$5&amp;K$5&amp;J$5),2,0),IF(AND(J38=J$5,K$6&gt;=$D$129),1,0),IF(AND(K38=J$5,K$6&gt;=$D$129),1,0),IF(AND(L38=J$5,K$6&gt;=$D$129),1,0),IF(J38&amp;M38=M$5,4,0),IF(AND(J38=J$5,K$6&lt;=$D$104),-0.5,0),IF(AND(K38=J$5,K$6&lt;=$D$104),-0.5,0),IF(AND(L38=J$5,K$6&lt;=$D$104),-0.5,0))</f>
        <v/>
      </c>
      <c r="O38" s="419" t="n">
        <v>5</v>
      </c>
      <c r="P38" s="421" t="n">
        <v>8</v>
      </c>
      <c r="Q38" s="420" t="n">
        <v>1</v>
      </c>
      <c r="R38" s="421" t="n"/>
      <c r="S38" s="602">
        <f>SUM(IF(O38=O$5,4,0),IF(O38&amp;P38=O$5&amp;P$5,1,0),
IF(AND(O38=O$5,P$6&gt;=$D$115),1,0),
IF(AND(P38=O$5,P$6&gt;=$D$115),1,0),
IF(AND(Q38=O$5,P$6&gt;=$D$115),1,0),
IF(O38&amp;R38=S$5,1,0),
IF(P38=O$5,2,0),
IF(Q38=O$5,1,0),
IF(OR(O38&amp;P38&amp;Q38=O$5&amp;P$5&amp;Q$5,O38&amp;P38&amp;Q38=O$5&amp;Q$5&amp;P$5,O38&amp;P38&amp;Q38=P$5&amp;O$5&amp;Q$5,O38&amp;P38&amp;Q38=P$5&amp;Q$5&amp;O$5,O38&amp;P38&amp;Q38=Q$5&amp;O$5&amp;P$5,O38&amp;P38&amp;Q38=Q$5&amp;P$5&amp;O$5),2,0),IF(AND(O38=O$5,P$6&gt;=$D$129),1,0),IF(AND(P38=O$5,P$6&gt;=$D$129),1,0),IF(AND(Q38=O$5,P$6&gt;=$D$129),1,0),IF(O38&amp;R38=R$5,4,0),IF(AND(O38=O$5,P$6&lt;=$D$104),-0.5,0),IF(AND(P38=O$5,P$6&lt;=$D$104),-0.5,0),IF(AND(Q38=O$5,P$6&lt;=$D$104),-0.5,0))</f>
        <v/>
      </c>
      <c r="T38" s="419" t="n">
        <v>5</v>
      </c>
      <c r="U38" s="421" t="n">
        <v>3</v>
      </c>
      <c r="V38" s="420" t="n">
        <v>4</v>
      </c>
      <c r="W38" s="421" t="n"/>
      <c r="X38" s="602">
        <f>SUM(IF(T38=T$5,4,0),IF(T38&amp;U38=T$5&amp;U$5,1,0),
IF(AND(T38=T$5,U$6&gt;=$D$115),1,0),
IF(AND(U38=T$5,U$6&gt;=$D$115),1,0),
IF(AND(V38=T$5,U$6&gt;=$D$115),1,0),
IF(T38&amp;W38=X$5,1,0),
IF(U38=T$5,2,0),
IF(V38=T$5,1,0),
IF(OR(T38&amp;U38&amp;V38=T$5&amp;U$5&amp;V$5,T38&amp;U38&amp;V38=T$5&amp;V$5&amp;U$5,T38&amp;U38&amp;V38=U$5&amp;T$5&amp;V$5,T38&amp;U38&amp;V38=U$5&amp;V$5&amp;T$5,T38&amp;U38&amp;V38=V$5&amp;T$5&amp;U$5,T38&amp;U38&amp;V38=V$5&amp;U$5&amp;T$5),2,0),IF(AND(T38=T$5,U$6&gt;=$D$129),1,0),IF(AND(U38=T$5,U$6&gt;=$D$129),1,0),IF(AND(V38=T$5,U$6&gt;=$D$129),1,0),IF(T38&amp;W38=W$5,4,0),IF(AND(T38=T$5,U$6&lt;=$D$104),-0.5,0),IF(AND(U38=T$5,U$6&lt;=$D$104),-0.5,0),IF(AND(V38=T$5,U$6&lt;=$D$104),-0.5,0))</f>
        <v/>
      </c>
      <c r="Y38" s="419" t="n">
        <v>2</v>
      </c>
      <c r="Z38" s="421" t="n">
        <v>4</v>
      </c>
      <c r="AA38" s="420" t="n">
        <v>5</v>
      </c>
      <c r="AB38" s="421" t="n"/>
      <c r="AC38" s="602">
        <f>SUM(IF(Y38=Y$5,4,0),IF(Y38&amp;Z38=Y$5&amp;Z$5,1,0),
IF(AND(Y38=Y$5,Z$6&gt;=$D$115),1,0),
IF(AND(Z38=Y$5,Z$6&gt;=$D$115),1,0),
IF(AND(AA38=Y$5,Z$6&gt;=$D$115),1,0),
IF(Y38&amp;AB38=AC$5,1,0),
IF(Z38=Y$5,2,0),
IF(AA38=Y$5,1,0),
IF(OR(Y38&amp;Z38&amp;AA38=Y$5&amp;Z$5&amp;AA$5,Y38&amp;Z38&amp;AA38=Y$5&amp;AA$5&amp;Z$5,Y38&amp;Z38&amp;AA38=Z$5&amp;Y$5&amp;AA$5,Y38&amp;Z38&amp;AA38=Z$5&amp;AA$5&amp;Y$5,Y38&amp;Z38&amp;AA38=AA$5&amp;Y$5&amp;Z$5,Y38&amp;Z38&amp;AA38=AA$5&amp;Z$5&amp;Y$5),2,0),IF(AND(Y38=Y$5,Z$6&gt;=$D$129),1,0),IF(AND(Z38=Y$5,Z$6&gt;=$D$129),1,0),IF(AND(AA38=Y$5,Z$6&gt;=$D$129),1,0),IF(Y38&amp;AB38=AB$5,4,0),IF(AND(Y38=Y$5,Z$6&lt;=$D$104),-0.5,0),IF(AND(Z38=Y$5,Z$6&lt;=$D$104),-0.5,0),IF(AND(AA38=Y$5,Z$6&lt;=$D$104),-0.5,0))</f>
        <v/>
      </c>
      <c r="AD38" s="419" t="n">
        <v>5</v>
      </c>
      <c r="AE38" s="421" t="n">
        <v>4</v>
      </c>
      <c r="AF38" s="420" t="n">
        <v>10</v>
      </c>
      <c r="AG38" s="421" t="n"/>
      <c r="AH38" s="602">
        <f>SUM(IF(AD38=AD$5,4,0),IF(AD38&amp;AE38=AD$5&amp;AE$5,1,0),
IF(AND(AD38=AD$5,AE$6&gt;=$D$115),1,0),
IF(AND(AE38=AD$5,AE$6&gt;=$D$115),1,0),
IF(AND(AF38=AD$5,AE$6&gt;=$D$115),1,0),
IF(AD38&amp;AG38=AH$5,1,0),
IF(AE38=AD$5,2,0),
IF(AF38=AD$5,1,0),
IF(OR(AD38&amp;AE38&amp;AF38=AD$5&amp;AE$5&amp;AF$5,AD38&amp;AE38&amp;AF38=AD$5&amp;AF$5&amp;AE$5,AD38&amp;AE38&amp;AF38=AE$5&amp;AD$5&amp;AF$5,AD38&amp;AE38&amp;AF38=AE$5&amp;AF$5&amp;AD$5,AD38&amp;AE38&amp;AF38=AF$5&amp;AD$5&amp;AE$5,AD38&amp;AE38&amp;AF38=AF$5&amp;AE$5&amp;AD$5),2,0),IF(AND(AD38=AD$5,AE$6&gt;=$D$129),1,0),IF(AND(AE38=AD$5,AE$6&gt;=$D$129),1,0),IF(AND(AF38=AD$5,AE$6&gt;=$D$129),1,0),IF(AD38&amp;AG38=AG$5,4,0),IF(AND(AD38=AD$5,AE$6&lt;=$D$104),-0.5,0),IF(AND(AE38=AD$5,AE$6&lt;=$D$104),-0.5,0),IF(AND(AF38=AD$5,AE$6&lt;=$D$104),-0.5,0))</f>
        <v/>
      </c>
      <c r="AI38" s="419" t="n">
        <v>6</v>
      </c>
      <c r="AJ38" s="421" t="n">
        <v>2</v>
      </c>
      <c r="AK38" s="420" t="n">
        <v>7</v>
      </c>
      <c r="AL38" s="421" t="n"/>
      <c r="AM38" s="602">
        <f>SUM(IF(AI38=AI$5,4,0),IF(AI38&amp;AJ38=AI$5&amp;AJ$5,1,0),
IF(AND(AI38=AI$5,AJ$6&gt;=$D$115),1,0),
IF(AND(AJ38=AI$5,AJ$6&gt;=$D$115),1,0),
IF(AND(AK38=AI$5,AJ$6&gt;=$D$115),1,0),
IF(AI38&amp;AL38=AM$5,1,0),
IF(AJ38=AI$5,2,0),
IF(AK38=AI$5,1,0),
IF(OR(AI38&amp;AJ38&amp;AK38=AI$5&amp;AJ$5&amp;AK$5,AI38&amp;AJ38&amp;AK38=AI$5&amp;AK$5&amp;AJ$5,AI38&amp;AJ38&amp;AK38=AJ$5&amp;AI$5&amp;AK$5,AI38&amp;AJ38&amp;AK38=AJ$5&amp;AK$5&amp;AI$5,AI38&amp;AJ38&amp;AK38=AK$5&amp;AI$5&amp;AJ$5,AI38&amp;AJ38&amp;AK38=AK$5&amp;AJ$5&amp;AI$5),2,0),IF(AND(AI38=AI$5,AJ$6&gt;=$D$129),1,0),IF(AND(AJ38=AI$5,AJ$6&gt;=$D$129),1,0),IF(AND(AK38=AI$5,AJ$6&gt;=$D$129),1,0),IF(AI38&amp;AL38=AL$5,4,0),IF(AND(AI38=AI$5,AJ$6&lt;=$D$104),-0.5,0),IF(AND(AJ38=AI$5,AJ$6&lt;=$D$104),-0.5,0),IF(AND(AK38=AI$5,AJ$6&lt;=$D$104),-0.5,0))</f>
        <v/>
      </c>
      <c r="AN38" s="419" t="n">
        <v>8</v>
      </c>
      <c r="AO38" s="421" t="n">
        <v>1</v>
      </c>
      <c r="AP38" s="420" t="n">
        <v>2</v>
      </c>
      <c r="AQ38" s="421" t="n"/>
      <c r="AR38" s="602">
        <f>SUM(IF(AN38=AN$5,4,0),IF(AN38&amp;AO38=AN$5&amp;AO$5,1,0),
IF(AND(AN38=AN$5,AO$6&gt;=$D$115),1,0),
IF(AND(AO38=AN$5,AO$6&gt;=$D$115),1,0),
IF(AND(AP38=AN$5,AO$6&gt;=$D$115),1,0),
IF(AN38&amp;AQ38=AR$5,1,0),
IF(AO38=AN$5,2,0),
IF(AP38=AN$5,1,0),
IF(OR(AN38&amp;AO38&amp;AP38=AN$5&amp;AO$5&amp;AP$5,AN38&amp;AO38&amp;AP38=AN$5&amp;AP$5&amp;AO$5,AN38&amp;AO38&amp;AP38=AO$5&amp;AN$5&amp;AP$5,AN38&amp;AO38&amp;AP38=AO$5&amp;AP$5&amp;AN$5,AN38&amp;AO38&amp;AP38=AP$5&amp;AN$5&amp;AO$5,AN38&amp;AO38&amp;AP38=AP$5&amp;AO$5&amp;AN$5),2,0),IF(AND(AN38=AN$5,AO$6&gt;=$D$129),1,0),IF(AND(AO38=AN$5,AO$6&gt;=$D$129),1,0),IF(AND(AP38=AN$5,AO$6&gt;=$D$129),1,0),IF(AN38&amp;AQ38=AQ$5,4,0),IF(AND(AN38=AN$5,AO$6&lt;=$D$104),-0.5,0),IF(AND(AO38=AN$5,AO$6&lt;=$D$104),-0.5,0),IF(AND(AP38=AN$5,AO$6&lt;=$D$104),-0.5,0))</f>
        <v/>
      </c>
      <c r="AS38" s="419" t="n">
        <v>6</v>
      </c>
      <c r="AT38" s="421" t="n">
        <v>10</v>
      </c>
      <c r="AU38" s="420" t="n">
        <v>9</v>
      </c>
      <c r="AV38" s="421" t="n"/>
      <c r="AW38" s="602">
        <f>SUM(IF(AS38=AS$5,4,0),IF(AS38&amp;AT38=AS$5&amp;AT$5,1,0),
IF(AND(AS38=AS$5,AT$6&gt;=$D$115),1,0),
IF(AND(AT38=AS$5,AT$6&gt;=$D$115),1,0),
IF(AND(AU38=AS$5,AT$6&gt;=$D$115),1,0),
IF(AS38&amp;AV38=AW$5,1,0),
IF(AT38=AS$5,2,0),
IF(AU38=AS$5,1,0),
IF(OR(AS38&amp;AT38&amp;AU38=AS$5&amp;AT$5&amp;AU$5,AS38&amp;AT38&amp;AU38=AS$5&amp;AU$5&amp;AT$5,AS38&amp;AT38&amp;AU38=AT$5&amp;AS$5&amp;AU$5,AS38&amp;AT38&amp;AU38=AT$5&amp;AU$5&amp;AS$5,AS38&amp;AT38&amp;AU38=AU$5&amp;AS$5&amp;AT$5,AS38&amp;AT38&amp;AU38=AU$5&amp;AT$5&amp;AS$5),2,0),IF(AND(AS38=AS$5,AT$6&gt;=$D$129),1,0),IF(AND(AT38=AS$5,AT$6&gt;=$D$129),1,0),IF(AND(AU38=AS$5,AT$6&gt;=$D$129),1,0),IF(AS38&amp;AV38=AV$5,4,0),IF(AND(AS38=AS$5,AT$6&lt;=$D$104),-0.5,0),IF(AND(AT38=AS$5,AT$6&lt;=$D$104),-0.5,0),IF(AND(AU38=AS$5,AT$6&lt;=$D$104),-0.5,0))</f>
        <v/>
      </c>
      <c r="AX38" s="419" t="n">
        <v>6</v>
      </c>
      <c r="AY38" s="421" t="n">
        <v>10</v>
      </c>
      <c r="AZ38" s="420" t="n">
        <v>1</v>
      </c>
      <c r="BA38" s="421" t="n"/>
      <c r="BB38" s="602">
        <f>SUM(IF(AX38=AX$5,4,0),IF(AX38&amp;AY38=AX$5&amp;AY$5,1,0),
IF(AND(AX38=AX$5,AY$6&gt;=$D$115),1,0),
IF(AND(AY38=AX$5,AY$6&gt;=$D$115),1,0),
IF(AND(AZ38=AX$5,AY$6&gt;=$D$115),1,0),
IF(AX38&amp;BA38=BB$5,1,0),
IF(AY38=AX$5,2,0),
IF(AZ38=AX$5,1,0),
IF(OR(AX38&amp;AY38&amp;AZ38=AX$5&amp;AY$5&amp;AZ$5,AX38&amp;AY38&amp;AZ38=AX$5&amp;AZ$5&amp;AY$5,AX38&amp;AY38&amp;AZ38=AY$5&amp;AX$5&amp;AZ$5,AX38&amp;AY38&amp;AZ38=AY$5&amp;AZ$5&amp;AX$5,AX38&amp;AY38&amp;AZ38=AZ$5&amp;AX$5&amp;AY$5,AX38&amp;AY38&amp;AZ38=AZ$5&amp;AY$5&amp;AX$5),2,0),IF(AND(AX38=AX$5,AY$6&gt;=$D$129),1,0),IF(AND(AY38=AX$5,AY$6&gt;=$D$129),1,0),IF(AND(AZ38=AX$5,AY$6&gt;=$D$129),1,0),IF(AX38&amp;BA38=BA$5,4,0),IF(AND(AX38=AX$5,AY$6&lt;=$D$104),-0.5,0),IF(AND(AY38=AX$5,AY$6&lt;=$D$104),-0.5,0),IF(AND(AZ38=AX$5,AY$6&lt;=$D$104),-0.5,0))</f>
        <v/>
      </c>
      <c r="BC38" s="419" t="n">
        <v>7</v>
      </c>
      <c r="BD38" s="421" t="n">
        <v>5</v>
      </c>
      <c r="BE38" s="420" t="n">
        <v>3</v>
      </c>
      <c r="BF38" s="421" t="inlineStr">
        <is>
          <t>F</t>
        </is>
      </c>
      <c r="BG38" s="602">
        <f>SUM(IF(BC38=BC$5,4,0),IF(BC38&amp;BD38=BC$5&amp;BD$5,1,0),
IF(AND(BC38=BC$5,BD$6&gt;=$D$115),1,0),
IF(AND(BD38=BC$5,BD$6&gt;=$D$115),1,0),
IF(AND(BE38=BC$5,BD$6&gt;=$D$115),1,0),
IF(BC38&amp;BF38=BG$5,1,0),
IF(BD38=BC$5,2,0),
IF(BE38=BC$5,1,0),
IF(OR(BC38&amp;BD38&amp;BE38=BC$5&amp;BD$5&amp;BE$5,BC38&amp;BD38&amp;BE38=BC$5&amp;BE$5&amp;BD$5,BC38&amp;BD38&amp;BE38=BD$5&amp;BC$5&amp;BE$5,BC38&amp;BD38&amp;BE38=BD$5&amp;BE$5&amp;BC$5,BC38&amp;BD38&amp;BE38=BE$5&amp;BC$5&amp;BD$5,BC38&amp;BD38&amp;BE38=BE$5&amp;BD$5&amp;BC$5),2,0),IF(AND(BC38=BC$5,BD$6&gt;=$D$129),1,0),IF(AND(BD38=BC$5,BD$6&gt;=$D$129),1,0),IF(AND(BE38=BC$5,BD$6&gt;=$D$129),1,0),IF(BC38&amp;BF38=BF$5,4,0),IF(AND(BC38=BC$5,BD$6&lt;=$D$104),-0.5,0),IF(AND(BD38=BC$5,BD$6&lt;=$D$104),-0.5,0),IF(AND(BE38=BC$5,BD$6&lt;=$D$104),-0.5,0))</f>
        <v/>
      </c>
      <c r="BH38" s="419" t="n">
        <v>1</v>
      </c>
      <c r="BI38" s="421" t="n">
        <v>6</v>
      </c>
      <c r="BJ38" s="420" t="n">
        <v>2</v>
      </c>
      <c r="BK38" s="421" t="n"/>
      <c r="BL38" s="602">
        <f>SUM(IF(BH38=BH$5,4,0),IF(BH38&amp;BI38=BH$5&amp;BI$5,1,0),
IF(AND(BH38=BH$5,BI$6&gt;=$D$115),1,0),
IF(AND(BI38=BH$5,BI$6&gt;=$D$115),1,0),
IF(AND(BJ38=BH$5,BI$6&gt;=$D$115),1,0),
IF(BH38&amp;BK38=BL$5,1,0),
IF(BI38=BH$5,2,0),
IF(BJ38=BH$5,1,0),
IF(OR(BH38&amp;BI38&amp;BJ38=BH$5&amp;BI$5&amp;BJ$5,BH38&amp;BI38&amp;BJ38=BH$5&amp;BJ$5&amp;BI$5,BH38&amp;BI38&amp;BJ38=BI$5&amp;BH$5&amp;BJ$5,BH38&amp;BI38&amp;BJ38=BI$5&amp;BJ$5&amp;BH$5,BH38&amp;BI38&amp;BJ38=BJ$5&amp;BH$5&amp;BI$5,BH38&amp;BI38&amp;BJ38=BJ$5&amp;BI$5&amp;BH$5),2,0),IF(AND(BH38=BH$5,BI$6&gt;=$D$129),1,0),IF(AND(BI38=BH$5,BI$6&gt;=$D$129),1,0),IF(AND(BJ38=BH$5,BI$6&gt;=$D$129),1,0),IF(BH38&amp;BK38=BK$5,4,0),IF(AND(BH38=BH$5,BI$6&lt;=$D$104),-0.5,0),IF(AND(BI38=BH$5,BI$6&lt;=$D$104),-0.5,0),IF(AND(BJ38=BH$5,BI$6&lt;=$D$104),-0.5,0))</f>
        <v/>
      </c>
      <c r="BM38" s="419" t="n">
        <v>1</v>
      </c>
      <c r="BN38" s="421" t="n">
        <v>9</v>
      </c>
      <c r="BO38" s="420" t="n">
        <v>5</v>
      </c>
      <c r="BP38" s="421" t="n"/>
      <c r="BQ38" s="602">
        <f>SUM(IF(BM38=BM$5,4,0),IF(BM38&amp;BN38=BM$5&amp;BN$5,1,0),
IF(AND(BM38=BM$5,BN$6&gt;=$D$115),1,0),
IF(AND(BN38=BM$5,BN$6&gt;=$D$115),1,0),
IF(AND(BO38=BM$5,BN$6&gt;=$D$115),1,0),
IF(BM38&amp;BP38=BQ$5,1,0),
IF(BN38=BM$5,2,0),
IF(BO38=BM$5,1,0),
IF(OR(BM38&amp;BN38&amp;BO38=BM$5&amp;BN$5&amp;BO$5,BM38&amp;BN38&amp;BO38=BM$5&amp;BO$5&amp;BN$5,BM38&amp;BN38&amp;BO38=BN$5&amp;BM$5&amp;BO$5,BM38&amp;BN38&amp;BO38=BN$5&amp;BO$5&amp;BM$5,BM38&amp;BN38&amp;BO38=BO$5&amp;BM$5&amp;BN$5,BM38&amp;BN38&amp;BO38=BO$5&amp;BN$5&amp;BM$5),2,0),IF(AND(BM38=BM$5,BN$6&gt;=$D$129),1,0),IF(AND(BN38=BM$5,BN$6&gt;=$D$129),1,0),IF(AND(BO38=BM$5,BN$6&gt;=$D$129),1,0),IF(BM38&amp;BP38=BP$5,4,0),IF(AND(BM38=BM$5,BN$6&lt;=$D$104),-0.5,0),IF(AND(BN38=BM$5,BN$6&lt;=$D$104),-0.5,0),IF(AND(BO38=BM$5,BN$6&lt;=$D$104),-0.5,0))</f>
        <v/>
      </c>
      <c r="BR38" s="419" t="n">
        <v>1</v>
      </c>
      <c r="BS38" s="421" t="n">
        <v>2</v>
      </c>
      <c r="BT38" s="420" t="n">
        <v>5</v>
      </c>
      <c r="BU38" s="421" t="n"/>
      <c r="BV38" s="602">
        <f>SUM(IF(BR38=BR$5,4,0),IF(BR38&amp;BS38=BR$5&amp;BS$5,1,0),
IF(AND(BR38=BR$5,BS$6&gt;=$D$115),1,0),
IF(AND(BS38=BR$5,BS$6&gt;=$D$115),1,0),
IF(AND(BT38=BR$5,BS$6&gt;=$D$115),1,0),
IF(BR38&amp;BU38=BV$5,1,0),
IF(BS38=BR$5,2,0),
IF(BT38=BR$5,1,0),
IF(OR(BR38&amp;BS38&amp;BT38=BR$5&amp;BS$5&amp;BT$5,BR38&amp;BS38&amp;BT38=BR$5&amp;BT$5&amp;BS$5,BR38&amp;BS38&amp;BT38=BS$5&amp;BR$5&amp;BT$5,BR38&amp;BS38&amp;BT38=BS$5&amp;BT$5&amp;BR$5,BR38&amp;BS38&amp;BT38=BT$5&amp;BR$5&amp;BS$5,BR38&amp;BS38&amp;BT38=BT$5&amp;BS$5&amp;BR$5),2,0),IF(AND(BR38=BR$5,BS$6&gt;=$D$129),1,0),IF(AND(BS38=BR$5,BS$6&gt;=$D$129),1,0),IF(AND(BT38=BR$5,BS$6&gt;=$D$129),1,0),IF(BR38&amp;BU38=BU$5,4,0),IF(AND(BR38=BR$5,BS$6&lt;=$D$104),-0.5,0),IF(AND(BS38=BR$5,BS$6&lt;=$D$104),-0.5,0),IF(AND(BT38=BR$5,BS$6&lt;=$D$104),-0.5,0))</f>
        <v/>
      </c>
      <c r="BW38" s="419" t="n"/>
      <c r="BX38" s="421" t="n"/>
      <c r="BY38" s="420" t="n"/>
      <c r="BZ38" s="421" t="n"/>
      <c r="CA38" s="602">
        <f>SUM(IF(BW38=BW$5,4,0),IF(BW38&amp;BX38=BW$5&amp;BX$5,1,0),
IF(AND(BW38=BW$5,BX$6&gt;=$D$115),1,0),
IF(AND(BX38=BW$5,BX$6&gt;=$D$115),1,0),
IF(AND(BY38=BW$5,BX$6&gt;=$D$115),1,0),
IF(BW38&amp;BZ38=CA$5,1,0),
IF(BX38=BW$5,2,0),
IF(BY38=BW$5,1,0),
IF(OR(BW38&amp;BX38&amp;BY38=BW$5&amp;BX$5&amp;BY$5,BW38&amp;BX38&amp;BY38=BW$5&amp;BY$5&amp;BX$5,BW38&amp;BX38&amp;BY38=BX$5&amp;BW$5&amp;BY$5,BW38&amp;BX38&amp;BY38=BX$5&amp;BY$5&amp;BW$5,BW38&amp;BX38&amp;BY38=BY$5&amp;BW$5&amp;BX$5,BW38&amp;BX38&amp;BY38=BY$5&amp;BX$5&amp;BW$5),2,0),IF(AND(BW38=BW$5,BX$6&gt;=$D$129),1,0),IF(AND(BX38=BW$5,BX$6&gt;=$D$129),1,0),IF(AND(BY38=BW$5,BX$6&gt;=$D$129),1,0),IF(BW38&amp;BZ38=BZ$5,4,0),IF(AND(BW38=BW$5,BX$6&lt;=$D$104),-0.5,0),IF(AND(BX38=BW$5,BX$6&lt;=$D$104),-0.5,0),IF(AND(BY38=BW$5,BX$6&lt;=$D$104),-0.5,0))</f>
        <v/>
      </c>
      <c r="CB38" s="419" t="n"/>
      <c r="CC38" s="421" t="n"/>
      <c r="CD38" s="420" t="n"/>
      <c r="CE38" s="421" t="n"/>
      <c r="CF38" s="602">
        <f>SUM(IF(CB38=CB$5,4,0),IF(CB38&amp;CC38=CB$5&amp;CC$5,1,0),
IF(AND(CB38=CB$5,CC$6&gt;=$D$115),1,0),
IF(AND(CC38=CB$5,CC$6&gt;=$D$115),1,0),
IF(AND(CD38=CB$5,CC$6&gt;=$D$115),1,0),
IF(CB38&amp;CE38=CF$5,1,0),
IF(CC38=CB$5,2,0),
IF(CD38=CB$5,1,0),
IF(OR(CB38&amp;CC38&amp;CD38=CB$5&amp;CC$5&amp;CD$5,CB38&amp;CC38&amp;CD38=CB$5&amp;CD$5&amp;CC$5,CB38&amp;CC38&amp;CD38=CC$5&amp;CB$5&amp;CD$5,CB38&amp;CC38&amp;CD38=CC$5&amp;CD$5&amp;CB$5,CB38&amp;CC38&amp;CD38=CD$5&amp;CB$5&amp;CC$5,CB38&amp;CC38&amp;CD38=CD$5&amp;CC$5&amp;CB$5),2,0),IF(AND(CB38=CB$5,CC$6&gt;=$D$129),1,0),IF(AND(CC38=CB$5,CC$6&gt;=$D$129),1,0),IF(AND(CD38=CB$5,CC$6&gt;=$D$129),1,0),IF(CB38&amp;CE38=CE$5,4,0),IF(AND(CB38=CB$5,CC$6&lt;=$D$104),-0.5,0),IF(AND(CC38=CB$5,CC$6&lt;=$D$104),-0.5,0),IF(AND(CD38=CB$5,CC$6&lt;=$D$104),-0.5,0))</f>
        <v/>
      </c>
      <c r="CG38" s="164">
        <f>IF(SEMANA2[[#This Row],[1]]="",0,$B$4)</f>
        <v/>
      </c>
      <c r="CH38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8" s="166">
        <f>IF(SEMANA2[[#This Row],[Columna14]]=0,0,(CH38/CG38))</f>
        <v/>
      </c>
      <c r="CJ38" s="165">
        <f>IF(SEMANA2[[#This Row],[1]]="",0,$B$4)</f>
        <v/>
      </c>
      <c r="CK38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8" s="166">
        <f>IF(SEMANA2[[#This Row],[Columna14]]=0,0,(CK38/CJ38))</f>
        <v/>
      </c>
      <c r="CM38" s="164">
        <f>IF(SEMANA2[[#This Row],[1]]="",0,$B$4)</f>
        <v/>
      </c>
      <c r="CN38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8" s="166">
        <f>IF(SEMANA2[[#This Row],[Columna14]]=0,0,(CN38/CM38))</f>
        <v/>
      </c>
      <c r="CP38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8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Row],[Columna25]],$AX$5,BA38,"SF")+COUNTIFS(SEMANA2[[#This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8" s="166">
        <f>IFERROR(IF(SEMANA2[[#This Row],[Columna14]]=0,0,(CQ38/CP38)),0)</f>
        <v/>
      </c>
      <c r="CS38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8" s="95">
        <f>_xlfn.XLOOKUP(SEMANA2[[#This Row],[COD]],BASE01[COD],BASE01[Columna33])</f>
        <v/>
      </c>
      <c r="CU38" s="604">
        <f>SUM(CS38,CT38)</f>
        <v/>
      </c>
      <c r="CV38" s="450">
        <f>IF(SEMANA2[[#This Row],[TIPO]]="PREMIO",$O$3,"0,00")</f>
        <v/>
      </c>
      <c r="CW38" s="576" t="n"/>
      <c r="CY38" s="392">
        <f>IF(CZ38="","",$CZ$25)</f>
        <v/>
      </c>
      <c r="CZ38" s="392" t="n"/>
      <c r="DA38" s="392">
        <f t="array" ref="DA38">IF(CZ38="", "", IF((INDEX(E$8:CE$57, MATCH(CZ38, C$8:C$57, 0), ($CZ$25-1)*5 + 1) &amp; "") = (INDEX(E$5:CE$5, 1, ($CZ$25-1)*5 + 1) &amp; ""), 1, IF((INDEX(E$8:CE$57, MATCH(CZ38, C$8:C$57, 0), ($CZ$25-1)*5 + 2) &amp; "") = (INDEX(E$5:CE$5, 1, ($CZ$25-1)*5 + 1) &amp; ""), 2, IF((INDEX(E$8:CE$57, MATCH(CZ38, C$8:C$57, 0), ($CZ$25-1)*5 + 3) &amp; "") = (INDEX(E$5:CE$5, 1, ($CZ$25-1)*5 + 1) &amp; ""), 3, ""))))</f>
        <v/>
      </c>
      <c r="DB38" s="605">
        <f>SEMANA2[[#This Row],[COD]]</f>
        <v/>
      </c>
      <c r="DC38" s="395">
        <f t="array" ref="DC38">IFERROR(IF(AND(INDEX($E$8:$CE$57, MATCH($C38, $C$8:$C$57, 0), (COLUMNS($DC38:DC38)-1)*5 + 1) = INDEX($E$5:$CE$5, 1, (COLUMNS($DC38:DC38)-1)*5 + 1), INDEX($E$8:$CE$57, MATCH($C38, $C$8:$C$57, 0), (COLUMNS($DC38:DC38)-1)*5 + 4) = "F"), INDEX($CZ$8:$CZ$23, COLUMNS($DC38:DC38)), "0"), "")</f>
        <v/>
      </c>
      <c r="DD38" s="395">
        <f t="array" ref="DD38">IFERROR(IF(AND(INDEX($E$8:$CE$57, MATCH($C38, $C$8:$C$57, 0), (COLUMNS($DC38:DD38)-1)*5 + 1) = INDEX($E$5:$CE$5, 1, (COLUMNS($DC38:DD38)-1)*5 + 1), INDEX($E$8:$CE$57, MATCH($C38, $C$8:$C$57, 0), (COLUMNS($DC38:DD38)-1)*5 + 4) = "F"), INDEX($CZ$8:$CZ$23, COLUMNS($DC38:DD38)), "0"), "")</f>
        <v/>
      </c>
      <c r="DE38" s="395">
        <f t="array" ref="DE38">IFERROR(IF(AND(INDEX($E$8:$CE$57, MATCH($C38, $C$8:$C$57, 0), (COLUMNS($DC38:DE38)-1)*5 + 1) = INDEX($E$5:$CE$5, 1, (COLUMNS($DC38:DE38)-1)*5 + 1), INDEX($E$8:$CE$57, MATCH($C38, $C$8:$C$57, 0), (COLUMNS($DC38:DE38)-1)*5 + 4) = "F"), INDEX($CZ$8:$CZ$23, COLUMNS($DC38:DE38)), "0"), "")</f>
        <v/>
      </c>
      <c r="DF38" s="395">
        <f t="array" ref="DF38">IFERROR(IF(AND(INDEX($E$8:$CE$57, MATCH($C38, $C$8:$C$57, 0), (COLUMNS($DC38:DF38)-1)*5 + 1) = INDEX($E$5:$CE$5, 1, (COLUMNS($DC38:DF38)-1)*5 + 1), INDEX($E$8:$CE$57, MATCH($C38, $C$8:$C$57, 0), (COLUMNS($DC38:DF38)-1)*5 + 4) = "F"), INDEX($CZ$8:$CZ$23, COLUMNS($DC38:DF38)), "0"), "")</f>
        <v/>
      </c>
      <c r="DG38" s="395">
        <f t="array" ref="DG38">IFERROR(IF(AND(INDEX($E$8:$CE$57, MATCH($C38, $C$8:$C$57, 0), (COLUMNS($DC38:DG38)-1)*5 + 1) = INDEX($E$5:$CE$5, 1, (COLUMNS($DC38:DG38)-1)*5 + 1), INDEX($E$8:$CE$57, MATCH($C38, $C$8:$C$57, 0), (COLUMNS($DC38:DG38)-1)*5 + 4) = "F"), INDEX($CZ$8:$CZ$23, COLUMNS($DC38:DG38)), "0"), "")</f>
        <v/>
      </c>
      <c r="DH38" s="395">
        <f t="array" ref="DH38">IFERROR(IF(AND(INDEX($E$8:$CE$57, MATCH($C38, $C$8:$C$57, 0), (COLUMNS($DC38:DH38)-1)*5 + 1) = INDEX($E$5:$CE$5, 1, (COLUMNS($DC38:DH38)-1)*5 + 1), INDEX($E$8:$CE$57, MATCH($C38, $C$8:$C$57, 0), (COLUMNS($DC38:DH38)-1)*5 + 4) = "F"), INDEX($CZ$8:$CZ$23, COLUMNS($DC38:DH38)), "0"), "")</f>
        <v/>
      </c>
      <c r="DI38" s="395">
        <f t="array" ref="DI38">IFERROR(IF(AND(INDEX($E$8:$CE$57, MATCH($C38, $C$8:$C$57, 0), (COLUMNS($DC38:DI38)-1)*5 + 1) = INDEX($E$5:$CE$5, 1, (COLUMNS($DC38:DI38)-1)*5 + 1), INDEX($E$8:$CE$57, MATCH($C38, $C$8:$C$57, 0), (COLUMNS($DC38:DI38)-1)*5 + 4) = "F"), INDEX($CZ$8:$CZ$23, COLUMNS($DC38:DI38)), "0"), "")</f>
        <v/>
      </c>
      <c r="DJ38" s="395">
        <f t="array" ref="DJ38">IFERROR(IF(AND(INDEX($E$8:$CE$57, MATCH($C38, $C$8:$C$57, 0), (COLUMNS($DC38:DJ38)-1)*5 + 1) = INDEX($E$5:$CE$5, 1, (COLUMNS($DC38:DJ38)-1)*5 + 1), INDEX($E$8:$CE$57, MATCH($C38, $C$8:$C$57, 0), (COLUMNS($DC38:DJ38)-1)*5 + 4) = "F"), INDEX($CZ$8:$CZ$23, COLUMNS($DC38:DJ38)), "0"), "")</f>
        <v/>
      </c>
      <c r="DK38" s="395">
        <f t="array" ref="DK38">IFERROR(IF(AND(INDEX($E$8:$CE$57, MATCH($C38, $C$8:$C$57, 0), (COLUMNS($DC38:DK38)-1)*5 + 1) = INDEX($E$5:$CE$5, 1, (COLUMNS($DC38:DK38)-1)*5 + 1), INDEX($E$8:$CE$57, MATCH($C38, $C$8:$C$57, 0), (COLUMNS($DC38:DK38)-1)*5 + 4) = "F"), INDEX($CZ$8:$CZ$23, COLUMNS($DC38:DK38)), "0"), "")</f>
        <v/>
      </c>
      <c r="DL38" s="395">
        <f t="array" ref="DL38">IFERROR(IF(AND(INDEX($E$8:$CE$57, MATCH($C38, $C$8:$C$57, 0), (COLUMNS($DC38:DL38)-1)*5 + 1) = INDEX($E$5:$CE$5, 1, (COLUMNS($DC38:DL38)-1)*5 + 1), INDEX($E$8:$CE$57, MATCH($C38, $C$8:$C$57, 0), (COLUMNS($DC38:DL38)-1)*5 + 4) = "F"), INDEX($CZ$8:$CZ$23, COLUMNS($DC38:DL38)), "0"), "")</f>
        <v/>
      </c>
      <c r="DM38" s="395">
        <f t="array" ref="DM38">IFERROR(IF(AND(INDEX($E$8:$CE$57, MATCH($C38, $C$8:$C$57, 0), (COLUMNS($DC38:DM38)-1)*5 + 1) = INDEX($E$5:$CE$5, 1, (COLUMNS($DC38:DM38)-1)*5 + 1), INDEX($E$8:$CE$57, MATCH($C38, $C$8:$C$57, 0), (COLUMNS($DC38:DM38)-1)*5 + 4) = "F"), INDEX($CZ$8:$CZ$23, COLUMNS($DC38:DM38)), "0"), "")</f>
        <v/>
      </c>
      <c r="DN38" s="395">
        <f t="array" ref="DN38">IFERROR(IF(AND(INDEX($E$8:$CE$57, MATCH($C38, $C$8:$C$57, 0), (COLUMNS($DC38:DN38)-1)*5 + 1) = INDEX($E$5:$CE$5, 1, (COLUMNS($DC38:DN38)-1)*5 + 1), INDEX($E$8:$CE$57, MATCH($C38, $C$8:$C$57, 0), (COLUMNS($DC38:DN38)-1)*5 + 4) = "F"), INDEX($CZ$8:$CZ$23, COLUMNS($DC38:DN38)), "0"), "")</f>
        <v/>
      </c>
      <c r="DO38" s="395">
        <f t="array" ref="DO38">IFERROR(IF(AND(INDEX($E$8:$CE$57, MATCH($C38, $C$8:$C$57, 0), (COLUMNS($DC38:DO38)-1)*5 + 1) = INDEX($E$5:$CE$5, 1, (COLUMNS($DC38:DO38)-1)*5 + 1), INDEX($E$8:$CE$57, MATCH($C38, $C$8:$C$57, 0), (COLUMNS($DC38:DO38)-1)*5 + 4) = "F"), INDEX($CZ$8:$CZ$23, COLUMNS($DC38:DO38)), "0"), "")</f>
        <v/>
      </c>
      <c r="DP38" s="395">
        <f t="array" ref="DP38">IFERROR(IF(AND(INDEX($E$8:$CE$57, MATCH($C38, $C$8:$C$57, 0), (COLUMNS($DC38:DP38)-1)*5 + 1) = INDEX($E$5:$CE$5, 1, (COLUMNS($DC38:DP38)-1)*5 + 1), INDEX($E$8:$CE$57, MATCH($C38, $C$8:$C$57, 0), (COLUMNS($DC38:DP38)-1)*5 + 4) = "F"), INDEX($CZ$8:$CZ$23, COLUMNS($DC38:DP38)), "0"), "")</f>
        <v/>
      </c>
      <c r="DQ38" s="395">
        <f t="array" ref="DQ38">IFERROR(IF(AND(INDEX($E$8:$CE$57, MATCH($C38, $C$8:$C$57, 0), (COLUMNS($DC38:DQ38)-1)*5 + 1) = INDEX($E$5:$CE$5, 1, (COLUMNS($DC38:DQ38)-1)*5 + 1), INDEX($E$8:$CE$57, MATCH($C38, $C$8:$C$57, 0), (COLUMNS($DC38:DQ38)-1)*5 + 4) = "F"), INDEX($CZ$8:$CZ$23, COLUMNS($DC38:DQ38)), "0"), "")</f>
        <v/>
      </c>
      <c r="DR38" s="395">
        <f t="array" ref="DR38">IFERROR(IF(AND(INDEX($E$8:$CE$57, MATCH($C38, $C$8:$C$57, 0), (COLUMNS($DC38:DR38)-1)*5 + 1) = INDEX($E$5:$CE$5, 1, (COLUMNS($DC38:DR38)-1)*5 + 1), INDEX($E$8:$CE$57, MATCH($C38, $C$8:$C$57, 0), (COLUMNS($DC38:DR38)-1)*5 + 4) = "F"), INDEX($CZ$8:$CZ$23, COLUMNS($DC38:DR38)), "0"), "")</f>
        <v/>
      </c>
      <c r="DT38" s="605">
        <f>SEMANA2[[#This Row],[COD]]</f>
        <v/>
      </c>
      <c r="DU38" s="395">
        <f t="array" ref="DU38">IFERROR(IF(AND(INDEX($E$8:$CE$57, MATCH($C38, $C$8:$C$57, 0), (COLUMNS($DU38:DU38)-1)*5 + 1) = INDEX($E$5:$CE$5, 1, (COLUMNS($DU38:DU38)-1)*5 + 1), INDEX($E$8:$CE$57, MATCH($C38, $C$8:$C$57, 0), (COLUMNS($DU38:DU38)-1)*5 + 4) = "SF"), INDEX($CZ$8:$CZ$23, COLUMNS($DU38:DU38)), "0"), "")</f>
        <v/>
      </c>
      <c r="DV38" s="395">
        <f t="array" ref="DV38">IFERROR(IF(AND(INDEX($E$8:$CE$57, MATCH($C38, $C$8:$C$57, 0), (COLUMNS($DU38:DV38)-1)*5 + 1) = INDEX($E$5:$CE$5, 1, (COLUMNS($DU38:DV38)-1)*5 + 1), INDEX($E$8:$CE$57, MATCH($C38, $C$8:$C$57, 0), (COLUMNS($DU38:DV38)-1)*5 + 4) = "SF"), INDEX($CZ$8:$CZ$23, COLUMNS($DU38:DV38)), "0"), "")</f>
        <v/>
      </c>
      <c r="DW38" s="395">
        <f t="array" ref="DW38">IFERROR(IF(AND(INDEX($E$8:$CE$57, MATCH($C38, $C$8:$C$57, 0), (COLUMNS($DU38:DW38)-1)*5 + 1) = INDEX($E$5:$CE$5, 1, (COLUMNS($DU38:DW38)-1)*5 + 1), INDEX($E$8:$CE$57, MATCH($C38, $C$8:$C$57, 0), (COLUMNS($DU38:DW38)-1)*5 + 4) = "SF"), INDEX($CZ$8:$CZ$23, COLUMNS($DU38:DW38)), "0"), "")</f>
        <v/>
      </c>
      <c r="DX38" s="395">
        <f t="array" ref="DX38">IFERROR(IF(AND(INDEX($E$8:$CE$57, MATCH($C38, $C$8:$C$57, 0), (COLUMNS($DU38:DX38)-1)*5 + 1) = INDEX($E$5:$CE$5, 1, (COLUMNS($DU38:DX38)-1)*5 + 1), INDEX($E$8:$CE$57, MATCH($C38, $C$8:$C$57, 0), (COLUMNS($DU38:DX38)-1)*5 + 4) = "SF"), INDEX($CZ$8:$CZ$23, COLUMNS($DU38:DX38)), "0"), "")</f>
        <v/>
      </c>
      <c r="DY38" s="395">
        <f t="array" ref="DY38">IFERROR(IF(AND(INDEX($E$8:$CE$57, MATCH($C38, $C$8:$C$57, 0), (COLUMNS($DU38:DY38)-1)*5 + 1) = INDEX($E$5:$CE$5, 1, (COLUMNS($DU38:DY38)-1)*5 + 1), INDEX($E$8:$CE$57, MATCH($C38, $C$8:$C$57, 0), (COLUMNS($DU38:DY38)-1)*5 + 4) = "SF"), INDEX($CZ$8:$CZ$23, COLUMNS($DU38:DY38)), "0"), "")</f>
        <v/>
      </c>
      <c r="DZ38" s="395">
        <f t="array" ref="DZ38">IFERROR(IF(AND(INDEX($E$8:$CE$57, MATCH($C38, $C$8:$C$57, 0), (COLUMNS($DU38:DZ38)-1)*5 + 1) = INDEX($E$5:$CE$5, 1, (COLUMNS($DU38:DZ38)-1)*5 + 1), INDEX($E$8:$CE$57, MATCH($C38, $C$8:$C$57, 0), (COLUMNS($DU38:DZ38)-1)*5 + 4) = "SF"), INDEX($CZ$8:$CZ$23, COLUMNS($DU38:DZ38)), "0"), "")</f>
        <v/>
      </c>
      <c r="EA38" s="395">
        <f t="array" ref="EA38">IFERROR(IF(AND(INDEX($E$8:$CE$57, MATCH($C38, $C$8:$C$57, 0), (COLUMNS($DU38:EA38)-1)*5 + 1) = INDEX($E$5:$CE$5, 1, (COLUMNS($DU38:EA38)-1)*5 + 1), INDEX($E$8:$CE$57, MATCH($C38, $C$8:$C$57, 0), (COLUMNS($DU38:EA38)-1)*5 + 4) = "SF"), INDEX($CZ$8:$CZ$23, COLUMNS($DU38:EA38)), "0"), "")</f>
        <v/>
      </c>
      <c r="EB38" s="395">
        <f t="array" ref="EB38">IFERROR(IF(AND(INDEX($E$8:$CE$57, MATCH($C38, $C$8:$C$57, 0), (COLUMNS($DU38:EB38)-1)*5 + 1) = INDEX($E$5:$CE$5, 1, (COLUMNS($DU38:EB38)-1)*5 + 1), INDEX($E$8:$CE$57, MATCH($C38, $C$8:$C$57, 0), (COLUMNS($DU38:EB38)-1)*5 + 4) = "SF"), INDEX($CZ$8:$CZ$23, COLUMNS($DU38:EB38)), "0"), "")</f>
        <v/>
      </c>
      <c r="EC38" s="395">
        <f t="array" ref="EC38">IFERROR(IF(AND(INDEX($E$8:$CE$57, MATCH($C38, $C$8:$C$57, 0), (COLUMNS($DU38:EC38)-1)*5 + 1) = INDEX($E$5:$CE$5, 1, (COLUMNS($DU38:EC38)-1)*5 + 1), INDEX($E$8:$CE$57, MATCH($C38, $C$8:$C$57, 0), (COLUMNS($DU38:EC38)-1)*5 + 4) = "SF"), INDEX($CZ$8:$CZ$23, COLUMNS($DU38:EC38)), "0"), "")</f>
        <v/>
      </c>
      <c r="ED38" s="395">
        <f t="array" ref="ED38">IFERROR(IF(AND(INDEX($E$8:$CE$57, MATCH($C38, $C$8:$C$57, 0), (COLUMNS($DU38:ED38)-1)*5 + 1) = INDEX($E$5:$CE$5, 1, (COLUMNS($DU38:ED38)-1)*5 + 1), INDEX($E$8:$CE$57, MATCH($C38, $C$8:$C$57, 0), (COLUMNS($DU38:ED38)-1)*5 + 4) = "SF"), INDEX($CZ$8:$CZ$23, COLUMNS($DU38:ED38)), "0"), "")</f>
        <v/>
      </c>
      <c r="EE38" s="395">
        <f t="array" ref="EE38">IFERROR(IF(AND(INDEX($E$8:$CE$57, MATCH($C38, $C$8:$C$57, 0), (COLUMNS($DU38:EE38)-1)*5 + 1) = INDEX($E$5:$CE$5, 1, (COLUMNS($DU38:EE38)-1)*5 + 1), INDEX($E$8:$CE$57, MATCH($C38, $C$8:$C$57, 0), (COLUMNS($DU38:EE38)-1)*5 + 4) = "SF"), INDEX($CZ$8:$CZ$23, COLUMNS($DU38:EE38)), "0"), "")</f>
        <v/>
      </c>
      <c r="EF38" s="395">
        <f t="array" ref="EF38">IFERROR(IF(AND(INDEX($E$8:$CE$57, MATCH($C38, $C$8:$C$57, 0), (COLUMNS($DU38:EF38)-1)*5 + 1) = INDEX($E$5:$CE$5, 1, (COLUMNS($DU38:EF38)-1)*5 + 1), INDEX($E$8:$CE$57, MATCH($C38, $C$8:$C$57, 0), (COLUMNS($DU38:EF38)-1)*5 + 4) = "SF"), INDEX($CZ$8:$CZ$23, COLUMNS($DU38:EF38)), "0"), "")</f>
        <v/>
      </c>
      <c r="EG38" s="395">
        <f t="array" ref="EG38">IFERROR(IF(AND(INDEX($E$8:$CE$57, MATCH($C38, $C$8:$C$57, 0), (COLUMNS($DU38:EG38)-1)*5 + 1) = INDEX($E$5:$CE$5, 1, (COLUMNS($DU38:EG38)-1)*5 + 1), INDEX($E$8:$CE$57, MATCH($C38, $C$8:$C$57, 0), (COLUMNS($DU38:EG38)-1)*5 + 4) = "SF"), INDEX($CZ$8:$CZ$23, COLUMNS($DU38:EG38)), "0"), "")</f>
        <v/>
      </c>
      <c r="EH38" s="395">
        <f t="array" ref="EH38">IFERROR(IF(AND(INDEX($E$8:$CE$57, MATCH($C38, $C$8:$C$57, 0), (COLUMNS($DU38:EH38)-1)*5 + 1) = INDEX($E$5:$CE$5, 1, (COLUMNS($DU38:EH38)-1)*5 + 1), INDEX($E$8:$CE$57, MATCH($C38, $C$8:$C$57, 0), (COLUMNS($DU38:EH38)-1)*5 + 4) = "SF"), INDEX($CZ$8:$CZ$23, COLUMNS($DU38:EH38)), "0"), "")</f>
        <v/>
      </c>
      <c r="EI38" s="395">
        <f t="array" ref="EI38">IFERROR(IF(AND(INDEX($E$8:$CE$57, MATCH($C38, $C$8:$C$57, 0), (COLUMNS($DU38:EI38)-1)*5 + 1) = INDEX($E$5:$CE$5, 1, (COLUMNS($DU38:EI38)-1)*5 + 1), INDEX($E$8:$CE$57, MATCH($C38, $C$8:$C$57, 0), (COLUMNS($DU38:EI38)-1)*5 + 4) = "SF"), INDEX($CZ$8:$CZ$23, COLUMNS($DU38:EI38)), "0"), "")</f>
        <v/>
      </c>
      <c r="EJ38" s="395">
        <f t="array" ref="EJ38">IFERROR(IF(AND(INDEX($E$8:$CE$57, MATCH($C38, $C$8:$C$57, 0), (COLUMNS($DU38:EJ38)-1)*5 + 1) = INDEX($E$5:$CE$5, 1, (COLUMNS($DU38:EJ38)-1)*5 + 1), INDEX($E$8:$CE$57, MATCH($C38, $C$8:$C$57, 0), (COLUMNS($DU38:EJ38)-1)*5 + 4) = "SF"), INDEX($CZ$8:$CZ$23, COLUMNS($DU38:EJ38)), "0"), "")</f>
        <v/>
      </c>
    </row>
    <row r="39" ht="19.5" customHeight="1" s="568">
      <c r="A39" s="576" t="n"/>
      <c r="B39" s="449">
        <f>IF(SEMANA2[[#This Row],[COD]]&lt;&gt;"",B38+1,"")</f>
        <v/>
      </c>
      <c r="C39" s="622" t="inlineStr">
        <is>
          <t>COD 32</t>
        </is>
      </c>
      <c r="D39" s="415">
        <f t="array" ref="D39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39" s="416" t="n">
        <v>9</v>
      </c>
      <c r="F39" s="417" t="n">
        <v>6</v>
      </c>
      <c r="G39" s="417" t="n">
        <v>2</v>
      </c>
      <c r="H39" s="417" t="inlineStr">
        <is>
          <t>F</t>
        </is>
      </c>
      <c r="I39" s="602">
        <f>SUM(IF(E39=E$5,4,0),IF(E39&amp;F39=E$5&amp;F$5,1,0),
IF(AND(E39=E$5,F$6&gt;=$D$115),1,0),
IF(AND(F39=E$5,F$6&gt;=$D$115),1,0),
IF(AND(G39=E$5,F$6&gt;=$D$115),1,0),
IF(E39&amp;H39=I$5,1,0),
IF(F39=E$5,2,0),
IF(G39=E$5,1,0),
IF(OR(E39&amp;F39&amp;G39=E$5&amp;F$5&amp;G$5,E39&amp;F39&amp;G39=E$5&amp;G$5&amp;F$5,E39&amp;F39&amp;G39=F$5&amp;E$5&amp;G$5,E39&amp;F39&amp;G39=F$5&amp;G$5&amp;E$5,E39&amp;F39&amp;G39=G$5&amp;E$5&amp;F$5,E39&amp;F39&amp;G39=G$5&amp;F$5&amp;E$5),2,0),IF(AND(E39=E$5,F$6&gt;=$D$129),1,0),IF(AND(F39=E$5,F$6&gt;=$D$129),1,0),IF(AND(G39=E$5,F$6&gt;=$D$129),1,0),IF(E39&amp;H39=H$5,4,0),IF(AND(E39=E$5,F$6&lt;=$D$104),-0.5,0),IF(AND(F39=E$5,F$6&lt;=$D$104),-0.5,0),IF(AND(G39=E$5,F$6&lt;=$D$104),-0.5,0))</f>
        <v/>
      </c>
      <c r="J39" s="416" t="n">
        <v>1</v>
      </c>
      <c r="K39" s="417" t="n"/>
      <c r="L39" s="417" t="n"/>
      <c r="M39" s="417" t="inlineStr">
        <is>
          <t>SF</t>
        </is>
      </c>
      <c r="N39" s="602">
        <f>SUM(IF(J39=J$5,4,0),IF(J39&amp;K39=J$5&amp;K$5,1,0),
IF(AND(J39=J$5,K$6&gt;=$D$115),1,0),
IF(AND(K39=J$5,K$6&gt;=$D$115),1,0),
IF(AND(L39=J$5,K$6&gt;=$D$115),1,0),
IF(J39&amp;M39=N$5,1,0),
IF(K39=J$5,2,0),
IF(L39=J$5,1,0),
IF(OR(J39&amp;K39&amp;L39=J$5&amp;K$5&amp;L$5,J39&amp;K39&amp;L39=J$5&amp;L$5&amp;K$5,J39&amp;K39&amp;L39=K$5&amp;J$5&amp;L$5,J39&amp;K39&amp;L39=K$5&amp;L$5&amp;J$5,J39&amp;K39&amp;L39=L$5&amp;J$5&amp;K$5,J39&amp;K39&amp;L39=L$5&amp;K$5&amp;J$5),2,0),IF(AND(J39=J$5,K$6&gt;=$D$129),1,0),IF(AND(K39=J$5,K$6&gt;=$D$129),1,0),IF(AND(L39=J$5,K$6&gt;=$D$129),1,0),IF(J39&amp;M39=M$5,4,0),IF(AND(J39=J$5,K$6&lt;=$D$104),-0.5,0),IF(AND(K39=J$5,K$6&lt;=$D$104),-0.5,0),IF(AND(L39=J$5,K$6&lt;=$D$104),-0.5,0))</f>
        <v/>
      </c>
      <c r="O39" s="416" t="n">
        <v>1</v>
      </c>
      <c r="P39" s="417" t="n">
        <v>5</v>
      </c>
      <c r="Q39" s="417" t="n">
        <v>7</v>
      </c>
      <c r="R39" s="417" t="n"/>
      <c r="S39" s="602">
        <f>SUM(IF(O39=O$5,4,0),IF(O39&amp;P39=O$5&amp;P$5,1,0),
IF(AND(O39=O$5,P$6&gt;=$D$115),1,0),
IF(AND(P39=O$5,P$6&gt;=$D$115),1,0),
IF(AND(Q39=O$5,P$6&gt;=$D$115),1,0),
IF(O39&amp;R39=S$5,1,0),
IF(P39=O$5,2,0),
IF(Q39=O$5,1,0),
IF(OR(O39&amp;P39&amp;Q39=O$5&amp;P$5&amp;Q$5,O39&amp;P39&amp;Q39=O$5&amp;Q$5&amp;P$5,O39&amp;P39&amp;Q39=P$5&amp;O$5&amp;Q$5,O39&amp;P39&amp;Q39=P$5&amp;Q$5&amp;O$5,O39&amp;P39&amp;Q39=Q$5&amp;O$5&amp;P$5,O39&amp;P39&amp;Q39=Q$5&amp;P$5&amp;O$5),2,0),IF(AND(O39=O$5,P$6&gt;=$D$129),1,0),IF(AND(P39=O$5,P$6&gt;=$D$129),1,0),IF(AND(Q39=O$5,P$6&gt;=$D$129),1,0),IF(O39&amp;R39=R$5,4,0),IF(AND(O39=O$5,P$6&lt;=$D$104),-0.5,0),IF(AND(P39=O$5,P$6&lt;=$D$104),-0.5,0),IF(AND(Q39=O$5,P$6&lt;=$D$104),-0.5,0))</f>
        <v/>
      </c>
      <c r="T39" s="416" t="n">
        <v>5</v>
      </c>
      <c r="U39" s="417" t="n">
        <v>3</v>
      </c>
      <c r="V39" s="417" t="n">
        <v>4</v>
      </c>
      <c r="W39" s="417" t="n"/>
      <c r="X39" s="602">
        <f>SUM(IF(T39=T$5,4,0),IF(T39&amp;U39=T$5&amp;U$5,1,0),
IF(AND(T39=T$5,U$6&gt;=$D$115),1,0),
IF(AND(U39=T$5,U$6&gt;=$D$115),1,0),
IF(AND(V39=T$5,U$6&gt;=$D$115),1,0),
IF(T39&amp;W39=X$5,1,0),
IF(U39=T$5,2,0),
IF(V39=T$5,1,0),
IF(OR(T39&amp;U39&amp;V39=T$5&amp;U$5&amp;V$5,T39&amp;U39&amp;V39=T$5&amp;V$5&amp;U$5,T39&amp;U39&amp;V39=U$5&amp;T$5&amp;V$5,T39&amp;U39&amp;V39=U$5&amp;V$5&amp;T$5,T39&amp;U39&amp;V39=V$5&amp;T$5&amp;U$5,T39&amp;U39&amp;V39=V$5&amp;U$5&amp;T$5),2,0),IF(AND(T39=T$5,U$6&gt;=$D$129),1,0),IF(AND(U39=T$5,U$6&gt;=$D$129),1,0),IF(AND(V39=T$5,U$6&gt;=$D$129),1,0),IF(T39&amp;W39=W$5,4,0),IF(AND(T39=T$5,U$6&lt;=$D$104),-0.5,0),IF(AND(U39=T$5,U$6&lt;=$D$104),-0.5,0),IF(AND(V39=T$5,U$6&lt;=$D$104),-0.5,0))</f>
        <v/>
      </c>
      <c r="Y39" s="416" t="n">
        <v>5</v>
      </c>
      <c r="Z39" s="417" t="n">
        <v>4</v>
      </c>
      <c r="AA39" s="417" t="n">
        <v>2</v>
      </c>
      <c r="AB39" s="417" t="n"/>
      <c r="AC39" s="602">
        <f>SUM(IF(Y39=Y$5,4,0),IF(Y39&amp;Z39=Y$5&amp;Z$5,1,0),
IF(AND(Y39=Y$5,Z$6&gt;=$D$115),1,0),
IF(AND(Z39=Y$5,Z$6&gt;=$D$115),1,0),
IF(AND(AA39=Y$5,Z$6&gt;=$D$115),1,0),
IF(Y39&amp;AB39=AC$5,1,0),
IF(Z39=Y$5,2,0),
IF(AA39=Y$5,1,0),
IF(OR(Y39&amp;Z39&amp;AA39=Y$5&amp;Z$5&amp;AA$5,Y39&amp;Z39&amp;AA39=Y$5&amp;AA$5&amp;Z$5,Y39&amp;Z39&amp;AA39=Z$5&amp;Y$5&amp;AA$5,Y39&amp;Z39&amp;AA39=Z$5&amp;AA$5&amp;Y$5,Y39&amp;Z39&amp;AA39=AA$5&amp;Y$5&amp;Z$5,Y39&amp;Z39&amp;AA39=AA$5&amp;Z$5&amp;Y$5),2,0),IF(AND(Y39=Y$5,Z$6&gt;=$D$129),1,0),IF(AND(Z39=Y$5,Z$6&gt;=$D$129),1,0),IF(AND(AA39=Y$5,Z$6&gt;=$D$129),1,0),IF(Y39&amp;AB39=AB$5,4,0),IF(AND(Y39=Y$5,Z$6&lt;=$D$104),-0.5,0),IF(AND(Z39=Y$5,Z$6&lt;=$D$104),-0.5,0),IF(AND(AA39=Y$5,Z$6&lt;=$D$104),-0.5,0))</f>
        <v/>
      </c>
      <c r="AD39" s="416" t="n">
        <v>10</v>
      </c>
      <c r="AE39" s="417" t="n">
        <v>4</v>
      </c>
      <c r="AF39" s="417" t="n">
        <v>5</v>
      </c>
      <c r="AG39" s="417" t="n"/>
      <c r="AH39" s="602">
        <f>SUM(IF(AD39=AD$5,4,0),IF(AD39&amp;AE39=AD$5&amp;AE$5,1,0),
IF(AND(AD39=AD$5,AE$6&gt;=$D$115),1,0),
IF(AND(AE39=AD$5,AE$6&gt;=$D$115),1,0),
IF(AND(AF39=AD$5,AE$6&gt;=$D$115),1,0),
IF(AD39&amp;AG39=AH$5,1,0),
IF(AE39=AD$5,2,0),
IF(AF39=AD$5,1,0),
IF(OR(AD39&amp;AE39&amp;AF39=AD$5&amp;AE$5&amp;AF$5,AD39&amp;AE39&amp;AF39=AD$5&amp;AF$5&amp;AE$5,AD39&amp;AE39&amp;AF39=AE$5&amp;AD$5&amp;AF$5,AD39&amp;AE39&amp;AF39=AE$5&amp;AF$5&amp;AD$5,AD39&amp;AE39&amp;AF39=AF$5&amp;AD$5&amp;AE$5,AD39&amp;AE39&amp;AF39=AF$5&amp;AE$5&amp;AD$5),2,0),IF(AND(AD39=AD$5,AE$6&gt;=$D$129),1,0),IF(AND(AE39=AD$5,AE$6&gt;=$D$129),1,0),IF(AND(AF39=AD$5,AE$6&gt;=$D$129),1,0),IF(AD39&amp;AG39=AG$5,4,0),IF(AND(AD39=AD$5,AE$6&lt;=$D$104),-0.5,0),IF(AND(AE39=AD$5,AE$6&lt;=$D$104),-0.5,0),IF(AND(AF39=AD$5,AE$6&lt;=$D$104),-0.5,0))</f>
        <v/>
      </c>
      <c r="AI39" s="416" t="n">
        <v>6</v>
      </c>
      <c r="AJ39" s="417" t="n">
        <v>7</v>
      </c>
      <c r="AK39" s="417" t="n">
        <v>2</v>
      </c>
      <c r="AL39" s="417" t="n"/>
      <c r="AM39" s="602">
        <f>SUM(IF(AI39=AI$5,4,0),IF(AI39&amp;AJ39=AI$5&amp;AJ$5,1,0),
IF(AND(AI39=AI$5,AJ$6&gt;=$D$115),1,0),
IF(AND(AJ39=AI$5,AJ$6&gt;=$D$115),1,0),
IF(AND(AK39=AI$5,AJ$6&gt;=$D$115),1,0),
IF(AI39&amp;AL39=AM$5,1,0),
IF(AJ39=AI$5,2,0),
IF(AK39=AI$5,1,0),
IF(OR(AI39&amp;AJ39&amp;AK39=AI$5&amp;AJ$5&amp;AK$5,AI39&amp;AJ39&amp;AK39=AI$5&amp;AK$5&amp;AJ$5,AI39&amp;AJ39&amp;AK39=AJ$5&amp;AI$5&amp;AK$5,AI39&amp;AJ39&amp;AK39=AJ$5&amp;AK$5&amp;AI$5,AI39&amp;AJ39&amp;AK39=AK$5&amp;AI$5&amp;AJ$5,AI39&amp;AJ39&amp;AK39=AK$5&amp;AJ$5&amp;AI$5),2,0),IF(AND(AI39=AI$5,AJ$6&gt;=$D$129),1,0),IF(AND(AJ39=AI$5,AJ$6&gt;=$D$129),1,0),IF(AND(AK39=AI$5,AJ$6&gt;=$D$129),1,0),IF(AI39&amp;AL39=AL$5,4,0),IF(AND(AI39=AI$5,AJ$6&lt;=$D$104),-0.5,0),IF(AND(AJ39=AI$5,AJ$6&lt;=$D$104),-0.5,0),IF(AND(AK39=AI$5,AJ$6&lt;=$D$104),-0.5,0))</f>
        <v/>
      </c>
      <c r="AN39" s="416" t="n">
        <v>8</v>
      </c>
      <c r="AO39" s="417" t="n">
        <v>1</v>
      </c>
      <c r="AP39" s="417" t="n">
        <v>2</v>
      </c>
      <c r="AQ39" s="417" t="n"/>
      <c r="AR39" s="602">
        <f>SUM(IF(AN39=AN$5,4,0),IF(AN39&amp;AO39=AN$5&amp;AO$5,1,0),
IF(AND(AN39=AN$5,AO$6&gt;=$D$115),1,0),
IF(AND(AO39=AN$5,AO$6&gt;=$D$115),1,0),
IF(AND(AP39=AN$5,AO$6&gt;=$D$115),1,0),
IF(AN39&amp;AQ39=AR$5,1,0),
IF(AO39=AN$5,2,0),
IF(AP39=AN$5,1,0),
IF(OR(AN39&amp;AO39&amp;AP39=AN$5&amp;AO$5&amp;AP$5,AN39&amp;AO39&amp;AP39=AN$5&amp;AP$5&amp;AO$5,AN39&amp;AO39&amp;AP39=AO$5&amp;AN$5&amp;AP$5,AN39&amp;AO39&amp;AP39=AO$5&amp;AP$5&amp;AN$5,AN39&amp;AO39&amp;AP39=AP$5&amp;AN$5&amp;AO$5,AN39&amp;AO39&amp;AP39=AP$5&amp;AO$5&amp;AN$5),2,0),IF(AND(AN39=AN$5,AO$6&gt;=$D$129),1,0),IF(AND(AO39=AN$5,AO$6&gt;=$D$129),1,0),IF(AND(AP39=AN$5,AO$6&gt;=$D$129),1,0),IF(AN39&amp;AQ39=AQ$5,4,0),IF(AND(AN39=AN$5,AO$6&lt;=$D$104),-0.5,0),IF(AND(AO39=AN$5,AO$6&lt;=$D$104),-0.5,0),IF(AND(AP39=AN$5,AO$6&lt;=$D$104),-0.5,0))</f>
        <v/>
      </c>
      <c r="AS39" s="416" t="n">
        <v>10</v>
      </c>
      <c r="AT39" s="417" t="n">
        <v>1</v>
      </c>
      <c r="AU39" s="417" t="n">
        <v>9</v>
      </c>
      <c r="AV39" s="417" t="n"/>
      <c r="AW39" s="602">
        <f>SUM(IF(AS39=AS$5,4,0),IF(AS39&amp;AT39=AS$5&amp;AT$5,1,0),
IF(AND(AS39=AS$5,AT$6&gt;=$D$115),1,0),
IF(AND(AT39=AS$5,AT$6&gt;=$D$115),1,0),
IF(AND(AU39=AS$5,AT$6&gt;=$D$115),1,0),
IF(AS39&amp;AV39=AW$5,1,0),
IF(AT39=AS$5,2,0),
IF(AU39=AS$5,1,0),
IF(OR(AS39&amp;AT39&amp;AU39=AS$5&amp;AT$5&amp;AU$5,AS39&amp;AT39&amp;AU39=AS$5&amp;AU$5&amp;AT$5,AS39&amp;AT39&amp;AU39=AT$5&amp;AS$5&amp;AU$5,AS39&amp;AT39&amp;AU39=AT$5&amp;AU$5&amp;AS$5,AS39&amp;AT39&amp;AU39=AU$5&amp;AS$5&amp;AT$5,AS39&amp;AT39&amp;AU39=AU$5&amp;AT$5&amp;AS$5),2,0),IF(AND(AS39=AS$5,AT$6&gt;=$D$129),1,0),IF(AND(AT39=AS$5,AT$6&gt;=$D$129),1,0),IF(AND(AU39=AS$5,AT$6&gt;=$D$129),1,0),IF(AS39&amp;AV39=AV$5,4,0),IF(AND(AS39=AS$5,AT$6&lt;=$D$104),-0.5,0),IF(AND(AT39=AS$5,AT$6&lt;=$D$104),-0.5,0),IF(AND(AU39=AS$5,AT$6&lt;=$D$104),-0.5,0))</f>
        <v/>
      </c>
      <c r="AX39" s="416" t="n">
        <v>6</v>
      </c>
      <c r="AY39" s="417" t="n">
        <v>1</v>
      </c>
      <c r="AZ39" s="417" t="n">
        <v>7</v>
      </c>
      <c r="BA39" s="417" t="n"/>
      <c r="BB39" s="602">
        <f>SUM(IF(AX39=AX$5,4,0),IF(AX39&amp;AY39=AX$5&amp;AY$5,1,0),
IF(AND(AX39=AX$5,AY$6&gt;=$D$115),1,0),
IF(AND(AY39=AX$5,AY$6&gt;=$D$115),1,0),
IF(AND(AZ39=AX$5,AY$6&gt;=$D$115),1,0),
IF(AX39&amp;BA39=BB$5,1,0),
IF(AY39=AX$5,2,0),
IF(AZ39=AX$5,1,0),
IF(OR(AX39&amp;AY39&amp;AZ39=AX$5&amp;AY$5&amp;AZ$5,AX39&amp;AY39&amp;AZ39=AX$5&amp;AZ$5&amp;AY$5,AX39&amp;AY39&amp;AZ39=AY$5&amp;AX$5&amp;AZ$5,AX39&amp;AY39&amp;AZ39=AY$5&amp;AZ$5&amp;AX$5,AX39&amp;AY39&amp;AZ39=AZ$5&amp;AX$5&amp;AY$5,AX39&amp;AY39&amp;AZ39=AZ$5&amp;AY$5&amp;AX$5),2,0),IF(AND(AX39=AX$5,AY$6&gt;=$D$129),1,0),IF(AND(AY39=AX$5,AY$6&gt;=$D$129),1,0),IF(AND(AZ39=AX$5,AY$6&gt;=$D$129),1,0),IF(AX39&amp;BA39=BA$5,4,0),IF(AND(AX39=AX$5,AY$6&lt;=$D$104),-0.5,0),IF(AND(AY39=AX$5,AY$6&lt;=$D$104),-0.5,0),IF(AND(AZ39=AX$5,AY$6&lt;=$D$104),-0.5,0))</f>
        <v/>
      </c>
      <c r="BC39" s="416" t="n">
        <v>7</v>
      </c>
      <c r="BD39" s="417" t="n">
        <v>5</v>
      </c>
      <c r="BE39" s="417" t="n">
        <v>6</v>
      </c>
      <c r="BF39" s="417" t="inlineStr">
        <is>
          <t>F</t>
        </is>
      </c>
      <c r="BG39" s="602">
        <f>SUM(IF(BC39=BC$5,4,0),IF(BC39&amp;BD39=BC$5&amp;BD$5,1,0),
IF(AND(BC39=BC$5,BD$6&gt;=$D$115),1,0),
IF(AND(BD39=BC$5,BD$6&gt;=$D$115),1,0),
IF(AND(BE39=BC$5,BD$6&gt;=$D$115),1,0),
IF(BC39&amp;BF39=BG$5,1,0),
IF(BD39=BC$5,2,0),
IF(BE39=BC$5,1,0),
IF(OR(BC39&amp;BD39&amp;BE39=BC$5&amp;BD$5&amp;BE$5,BC39&amp;BD39&amp;BE39=BC$5&amp;BE$5&amp;BD$5,BC39&amp;BD39&amp;BE39=BD$5&amp;BC$5&amp;BE$5,BC39&amp;BD39&amp;BE39=BD$5&amp;BE$5&amp;BC$5,BC39&amp;BD39&amp;BE39=BE$5&amp;BC$5&amp;BD$5,BC39&amp;BD39&amp;BE39=BE$5&amp;BD$5&amp;BC$5),2,0),IF(AND(BC39=BC$5,BD$6&gt;=$D$129),1,0),IF(AND(BD39=BC$5,BD$6&gt;=$D$129),1,0),IF(AND(BE39=BC$5,BD$6&gt;=$D$129),1,0),IF(BC39&amp;BF39=BF$5,4,0),IF(AND(BC39=BC$5,BD$6&lt;=$D$104),-0.5,0),IF(AND(BD39=BC$5,BD$6&lt;=$D$104),-0.5,0),IF(AND(BE39=BC$5,BD$6&lt;=$D$104),-0.5,0))</f>
        <v/>
      </c>
      <c r="BH39" s="416" t="n">
        <v>6</v>
      </c>
      <c r="BI39" s="417" t="n">
        <v>2</v>
      </c>
      <c r="BJ39" s="417" t="n">
        <v>1</v>
      </c>
      <c r="BK39" s="417" t="n"/>
      <c r="BL39" s="602">
        <f>SUM(IF(BH39=BH$5,4,0),IF(BH39&amp;BI39=BH$5&amp;BI$5,1,0),
IF(AND(BH39=BH$5,BI$6&gt;=$D$115),1,0),
IF(AND(BI39=BH$5,BI$6&gt;=$D$115),1,0),
IF(AND(BJ39=BH$5,BI$6&gt;=$D$115),1,0),
IF(BH39&amp;BK39=BL$5,1,0),
IF(BI39=BH$5,2,0),
IF(BJ39=BH$5,1,0),
IF(OR(BH39&amp;BI39&amp;BJ39=BH$5&amp;BI$5&amp;BJ$5,BH39&amp;BI39&amp;BJ39=BH$5&amp;BJ$5&amp;BI$5,BH39&amp;BI39&amp;BJ39=BI$5&amp;BH$5&amp;BJ$5,BH39&amp;BI39&amp;BJ39=BI$5&amp;BJ$5&amp;BH$5,BH39&amp;BI39&amp;BJ39=BJ$5&amp;BH$5&amp;BI$5,BH39&amp;BI39&amp;BJ39=BJ$5&amp;BI$5&amp;BH$5),2,0),IF(AND(BH39=BH$5,BI$6&gt;=$D$129),1,0),IF(AND(BI39=BH$5,BI$6&gt;=$D$129),1,0),IF(AND(BJ39=BH$5,BI$6&gt;=$D$129),1,0),IF(BH39&amp;BK39=BK$5,4,0),IF(AND(BH39=BH$5,BI$6&lt;=$D$104),-0.5,0),IF(AND(BI39=BH$5,BI$6&lt;=$D$104),-0.5,0),IF(AND(BJ39=BH$5,BI$6&lt;=$D$104),-0.5,0))</f>
        <v/>
      </c>
      <c r="BM39" s="416" t="n">
        <v>4</v>
      </c>
      <c r="BN39" s="417" t="n">
        <v>3</v>
      </c>
      <c r="BO39" s="417" t="n">
        <v>1</v>
      </c>
      <c r="BP39" s="417" t="n"/>
      <c r="BQ39" s="602">
        <f>SUM(IF(BM39=BM$5,4,0),IF(BM39&amp;BN39=BM$5&amp;BN$5,1,0),
IF(AND(BM39=BM$5,BN$6&gt;=$D$115),1,0),
IF(AND(BN39=BM$5,BN$6&gt;=$D$115),1,0),
IF(AND(BO39=BM$5,BN$6&gt;=$D$115),1,0),
IF(BM39&amp;BP39=BQ$5,1,0),
IF(BN39=BM$5,2,0),
IF(BO39=BM$5,1,0),
IF(OR(BM39&amp;BN39&amp;BO39=BM$5&amp;BN$5&amp;BO$5,BM39&amp;BN39&amp;BO39=BM$5&amp;BO$5&amp;BN$5,BM39&amp;BN39&amp;BO39=BN$5&amp;BM$5&amp;BO$5,BM39&amp;BN39&amp;BO39=BN$5&amp;BO$5&amp;BM$5,BM39&amp;BN39&amp;BO39=BO$5&amp;BM$5&amp;BN$5,BM39&amp;BN39&amp;BO39=BO$5&amp;BN$5&amp;BM$5),2,0),IF(AND(BM39=BM$5,BN$6&gt;=$D$129),1,0),IF(AND(BN39=BM$5,BN$6&gt;=$D$129),1,0),IF(AND(BO39=BM$5,BN$6&gt;=$D$129),1,0),IF(BM39&amp;BP39=BP$5,4,0),IF(AND(BM39=BM$5,BN$6&lt;=$D$104),-0.5,0),IF(AND(BN39=BM$5,BN$6&lt;=$D$104),-0.5,0),IF(AND(BO39=BM$5,BN$6&lt;=$D$104),-0.5,0))</f>
        <v/>
      </c>
      <c r="BR39" s="416" t="n">
        <v>5</v>
      </c>
      <c r="BS39" s="417" t="n">
        <v>1</v>
      </c>
      <c r="BT39" s="417" t="n">
        <v>2</v>
      </c>
      <c r="BU39" s="417" t="n"/>
      <c r="BV39" s="602">
        <f>SUM(IF(BR39=BR$5,4,0),IF(BR39&amp;BS39=BR$5&amp;BS$5,1,0),
IF(AND(BR39=BR$5,BS$6&gt;=$D$115),1,0),
IF(AND(BS39=BR$5,BS$6&gt;=$D$115),1,0),
IF(AND(BT39=BR$5,BS$6&gt;=$D$115),1,0),
IF(BR39&amp;BU39=BV$5,1,0),
IF(BS39=BR$5,2,0),
IF(BT39=BR$5,1,0),
IF(OR(BR39&amp;BS39&amp;BT39=BR$5&amp;BS$5&amp;BT$5,BR39&amp;BS39&amp;BT39=BR$5&amp;BT$5&amp;BS$5,BR39&amp;BS39&amp;BT39=BS$5&amp;BR$5&amp;BT$5,BR39&amp;BS39&amp;BT39=BS$5&amp;BT$5&amp;BR$5,BR39&amp;BS39&amp;BT39=BT$5&amp;BR$5&amp;BS$5,BR39&amp;BS39&amp;BT39=BT$5&amp;BS$5&amp;BR$5),2,0),IF(AND(BR39=BR$5,BS$6&gt;=$D$129),1,0),IF(AND(BS39=BR$5,BS$6&gt;=$D$129),1,0),IF(AND(BT39=BR$5,BS$6&gt;=$D$129),1,0),IF(BR39&amp;BU39=BU$5,4,0),IF(AND(BR39=BR$5,BS$6&lt;=$D$104),-0.5,0),IF(AND(BS39=BR$5,BS$6&lt;=$D$104),-0.5,0),IF(AND(BT39=BR$5,BS$6&lt;=$D$104),-0.5,0))</f>
        <v/>
      </c>
      <c r="BW39" s="416" t="n"/>
      <c r="BX39" s="417" t="n"/>
      <c r="BY39" s="417" t="n"/>
      <c r="BZ39" s="417" t="n"/>
      <c r="CA39" s="602">
        <f>SUM(IF(BW39=BW$5,4,0),IF(BW39&amp;BX39=BW$5&amp;BX$5,1,0),
IF(AND(BW39=BW$5,BX$6&gt;=$D$115),1,0),
IF(AND(BX39=BW$5,BX$6&gt;=$D$115),1,0),
IF(AND(BY39=BW$5,BX$6&gt;=$D$115),1,0),
IF(BW39&amp;BZ39=CA$5,1,0),
IF(BX39=BW$5,2,0),
IF(BY39=BW$5,1,0),
IF(OR(BW39&amp;BX39&amp;BY39=BW$5&amp;BX$5&amp;BY$5,BW39&amp;BX39&amp;BY39=BW$5&amp;BY$5&amp;BX$5,BW39&amp;BX39&amp;BY39=BX$5&amp;BW$5&amp;BY$5,BW39&amp;BX39&amp;BY39=BX$5&amp;BY$5&amp;BW$5,BW39&amp;BX39&amp;BY39=BY$5&amp;BW$5&amp;BX$5,BW39&amp;BX39&amp;BY39=BY$5&amp;BX$5&amp;BW$5),2,0),IF(AND(BW39=BW$5,BX$6&gt;=$D$129),1,0),IF(AND(BX39=BW$5,BX$6&gt;=$D$129),1,0),IF(AND(BY39=BW$5,BX$6&gt;=$D$129),1,0),IF(BW39&amp;BZ39=BZ$5,4,0),IF(AND(BW39=BW$5,BX$6&lt;=$D$104),-0.5,0),IF(AND(BX39=BW$5,BX$6&lt;=$D$104),-0.5,0),IF(AND(BY39=BW$5,BX$6&lt;=$D$104),-0.5,0))</f>
        <v/>
      </c>
      <c r="CB39" s="416" t="n"/>
      <c r="CC39" s="417" t="n"/>
      <c r="CD39" s="417" t="n"/>
      <c r="CE39" s="417" t="n"/>
      <c r="CF39" s="602">
        <f>SUM(IF(CB39=CB$5,4,0),IF(CB39&amp;CC39=CB$5&amp;CC$5,1,0),
IF(AND(CB39=CB$5,CC$6&gt;=$D$115),1,0),
IF(AND(CC39=CB$5,CC$6&gt;=$D$115),1,0),
IF(AND(CD39=CB$5,CC$6&gt;=$D$115),1,0),
IF(CB39&amp;CE39=CF$5,1,0),
IF(CC39=CB$5,2,0),
IF(CD39=CB$5,1,0),
IF(OR(CB39&amp;CC39&amp;CD39=CB$5&amp;CC$5&amp;CD$5,CB39&amp;CC39&amp;CD39=CB$5&amp;CD$5&amp;CC$5,CB39&amp;CC39&amp;CD39=CC$5&amp;CB$5&amp;CD$5,CB39&amp;CC39&amp;CD39=CC$5&amp;CD$5&amp;CB$5,CB39&amp;CC39&amp;CD39=CD$5&amp;CB$5&amp;CC$5,CB39&amp;CC39&amp;CD39=CD$5&amp;CC$5&amp;CB$5),2,0),IF(AND(CB39=CB$5,CC$6&gt;=$D$129),1,0),IF(AND(CC39=CB$5,CC$6&gt;=$D$129),1,0),IF(AND(CD39=CB$5,CC$6&gt;=$D$129),1,0),IF(CB39&amp;CE39=CE$5,4,0),IF(AND(CB39=CB$5,CC$6&lt;=$D$104),-0.5,0),IF(AND(CC39=CB$5,CC$6&lt;=$D$104),-0.5,0),IF(AND(CD39=CB$5,CC$6&lt;=$D$104),-0.5,0))</f>
        <v/>
      </c>
      <c r="CG39" s="164">
        <f>IF(SEMANA2[[#This Row],[1]]="",0,$B$4)</f>
        <v/>
      </c>
      <c r="CH39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39" s="166">
        <f>IF(SEMANA2[[#This Row],[Columna14]]=0,0,(CH39/CG39))</f>
        <v/>
      </c>
      <c r="CJ39" s="165">
        <f>IF(SEMANA2[[#This Row],[1]]="",0,$B$4)</f>
        <v/>
      </c>
      <c r="CK39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39" s="166">
        <f>IF(SEMANA2[[#This Row],[Columna14]]=0,0,(CK39/CJ39))</f>
        <v/>
      </c>
      <c r="CM39" s="164">
        <f>IF(SEMANA2[[#This Row],[1]]="",0,$B$4)</f>
        <v/>
      </c>
      <c r="CN39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39" s="166">
        <f>IF(SEMANA2[[#This Row],[Columna14]]=0,0,(CN39/CM39))</f>
        <v/>
      </c>
      <c r="CP39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39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Row],[Columna25]],$AX$5,BA39,"SF")+COUNTIFS(SEMANA2[[#This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39" s="166">
        <f>IFERROR(IF(SEMANA2[[#This Row],[Columna14]]=0,0,(CQ39/CP39)),0)</f>
        <v/>
      </c>
      <c r="CS39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39" s="95">
        <f>_xlfn.XLOOKUP(SEMANA2[[#This Row],[COD]],BASE01[COD],BASE01[Columna33])</f>
        <v/>
      </c>
      <c r="CU39" s="604">
        <f>SUM(CS39,CT39)</f>
        <v/>
      </c>
      <c r="CV39" s="450">
        <f>IF(SEMANA2[[#This Row],[TIPO]]="PREMIO",$O$3,"0,00")</f>
        <v/>
      </c>
      <c r="CW39" s="576" t="n"/>
      <c r="CY39" s="392">
        <f>IF(CZ39="","",$CZ$25)</f>
        <v/>
      </c>
      <c r="CZ39" s="392" t="n"/>
      <c r="DA39" s="392">
        <f t="array" ref="DA39">IF(CZ39="", "", IF((INDEX(E$8:CE$57, MATCH(CZ39, C$8:C$57, 0), ($CZ$25-1)*5 + 1) &amp; "") = (INDEX(E$5:CE$5, 1, ($CZ$25-1)*5 + 1) &amp; ""), 1, IF((INDEX(E$8:CE$57, MATCH(CZ39, C$8:C$57, 0), ($CZ$25-1)*5 + 2) &amp; "") = (INDEX(E$5:CE$5, 1, ($CZ$25-1)*5 + 1) &amp; ""), 2, IF((INDEX(E$8:CE$57, MATCH(CZ39, C$8:C$57, 0), ($CZ$25-1)*5 + 3) &amp; "") = (INDEX(E$5:CE$5, 1, ($CZ$25-1)*5 + 1) &amp; ""), 3, ""))))</f>
        <v/>
      </c>
      <c r="DB39" s="605">
        <f>SEMANA2[[#This Row],[COD]]</f>
        <v/>
      </c>
      <c r="DC39" s="395">
        <f t="array" ref="DC39">IFERROR(IF(AND(INDEX($E$8:$CE$57, MATCH($C39, $C$8:$C$57, 0), (COLUMNS($DC39:DC39)-1)*5 + 1) = INDEX($E$5:$CE$5, 1, (COLUMNS($DC39:DC39)-1)*5 + 1), INDEX($E$8:$CE$57, MATCH($C39, $C$8:$C$57, 0), (COLUMNS($DC39:DC39)-1)*5 + 4) = "F"), INDEX($CZ$8:$CZ$23, COLUMNS($DC39:DC39)), "0"), "")</f>
        <v/>
      </c>
      <c r="DD39" s="395">
        <f t="array" ref="DD39">IFERROR(IF(AND(INDEX($E$8:$CE$57, MATCH($C39, $C$8:$C$57, 0), (COLUMNS($DC39:DD39)-1)*5 + 1) = INDEX($E$5:$CE$5, 1, (COLUMNS($DC39:DD39)-1)*5 + 1), INDEX($E$8:$CE$57, MATCH($C39, $C$8:$C$57, 0), (COLUMNS($DC39:DD39)-1)*5 + 4) = "F"), INDEX($CZ$8:$CZ$23, COLUMNS($DC39:DD39)), "0"), "")</f>
        <v/>
      </c>
      <c r="DE39" s="395">
        <f t="array" ref="DE39">IFERROR(IF(AND(INDEX($E$8:$CE$57, MATCH($C39, $C$8:$C$57, 0), (COLUMNS($DC39:DE39)-1)*5 + 1) = INDEX($E$5:$CE$5, 1, (COLUMNS($DC39:DE39)-1)*5 + 1), INDEX($E$8:$CE$57, MATCH($C39, $C$8:$C$57, 0), (COLUMNS($DC39:DE39)-1)*5 + 4) = "F"), INDEX($CZ$8:$CZ$23, COLUMNS($DC39:DE39)), "0"), "")</f>
        <v/>
      </c>
      <c r="DF39" s="395">
        <f t="array" ref="DF39">IFERROR(IF(AND(INDEX($E$8:$CE$57, MATCH($C39, $C$8:$C$57, 0), (COLUMNS($DC39:DF39)-1)*5 + 1) = INDEX($E$5:$CE$5, 1, (COLUMNS($DC39:DF39)-1)*5 + 1), INDEX($E$8:$CE$57, MATCH($C39, $C$8:$C$57, 0), (COLUMNS($DC39:DF39)-1)*5 + 4) = "F"), INDEX($CZ$8:$CZ$23, COLUMNS($DC39:DF39)), "0"), "")</f>
        <v/>
      </c>
      <c r="DG39" s="395">
        <f t="array" ref="DG39">IFERROR(IF(AND(INDEX($E$8:$CE$57, MATCH($C39, $C$8:$C$57, 0), (COLUMNS($DC39:DG39)-1)*5 + 1) = INDEX($E$5:$CE$5, 1, (COLUMNS($DC39:DG39)-1)*5 + 1), INDEX($E$8:$CE$57, MATCH($C39, $C$8:$C$57, 0), (COLUMNS($DC39:DG39)-1)*5 + 4) = "F"), INDEX($CZ$8:$CZ$23, COLUMNS($DC39:DG39)), "0"), "")</f>
        <v/>
      </c>
      <c r="DH39" s="395">
        <f t="array" ref="DH39">IFERROR(IF(AND(INDEX($E$8:$CE$57, MATCH($C39, $C$8:$C$57, 0), (COLUMNS($DC39:DH39)-1)*5 + 1) = INDEX($E$5:$CE$5, 1, (COLUMNS($DC39:DH39)-1)*5 + 1), INDEX($E$8:$CE$57, MATCH($C39, $C$8:$C$57, 0), (COLUMNS($DC39:DH39)-1)*5 + 4) = "F"), INDEX($CZ$8:$CZ$23, COLUMNS($DC39:DH39)), "0"), "")</f>
        <v/>
      </c>
      <c r="DI39" s="395">
        <f t="array" ref="DI39">IFERROR(IF(AND(INDEX($E$8:$CE$57, MATCH($C39, $C$8:$C$57, 0), (COLUMNS($DC39:DI39)-1)*5 + 1) = INDEX($E$5:$CE$5, 1, (COLUMNS($DC39:DI39)-1)*5 + 1), INDEX($E$8:$CE$57, MATCH($C39, $C$8:$C$57, 0), (COLUMNS($DC39:DI39)-1)*5 + 4) = "F"), INDEX($CZ$8:$CZ$23, COLUMNS($DC39:DI39)), "0"), "")</f>
        <v/>
      </c>
      <c r="DJ39" s="395">
        <f t="array" ref="DJ39">IFERROR(IF(AND(INDEX($E$8:$CE$57, MATCH($C39, $C$8:$C$57, 0), (COLUMNS($DC39:DJ39)-1)*5 + 1) = INDEX($E$5:$CE$5, 1, (COLUMNS($DC39:DJ39)-1)*5 + 1), INDEX($E$8:$CE$57, MATCH($C39, $C$8:$C$57, 0), (COLUMNS($DC39:DJ39)-1)*5 + 4) = "F"), INDEX($CZ$8:$CZ$23, COLUMNS($DC39:DJ39)), "0"), "")</f>
        <v/>
      </c>
      <c r="DK39" s="395">
        <f t="array" ref="DK39">IFERROR(IF(AND(INDEX($E$8:$CE$57, MATCH($C39, $C$8:$C$57, 0), (COLUMNS($DC39:DK39)-1)*5 + 1) = INDEX($E$5:$CE$5, 1, (COLUMNS($DC39:DK39)-1)*5 + 1), INDEX($E$8:$CE$57, MATCH($C39, $C$8:$C$57, 0), (COLUMNS($DC39:DK39)-1)*5 + 4) = "F"), INDEX($CZ$8:$CZ$23, COLUMNS($DC39:DK39)), "0"), "")</f>
        <v/>
      </c>
      <c r="DL39" s="395">
        <f t="array" ref="DL39">IFERROR(IF(AND(INDEX($E$8:$CE$57, MATCH($C39, $C$8:$C$57, 0), (COLUMNS($DC39:DL39)-1)*5 + 1) = INDEX($E$5:$CE$5, 1, (COLUMNS($DC39:DL39)-1)*5 + 1), INDEX($E$8:$CE$57, MATCH($C39, $C$8:$C$57, 0), (COLUMNS($DC39:DL39)-1)*5 + 4) = "F"), INDEX($CZ$8:$CZ$23, COLUMNS($DC39:DL39)), "0"), "")</f>
        <v/>
      </c>
      <c r="DM39" s="395">
        <f t="array" ref="DM39">IFERROR(IF(AND(INDEX($E$8:$CE$57, MATCH($C39, $C$8:$C$57, 0), (COLUMNS($DC39:DM39)-1)*5 + 1) = INDEX($E$5:$CE$5, 1, (COLUMNS($DC39:DM39)-1)*5 + 1), INDEX($E$8:$CE$57, MATCH($C39, $C$8:$C$57, 0), (COLUMNS($DC39:DM39)-1)*5 + 4) = "F"), INDEX($CZ$8:$CZ$23, COLUMNS($DC39:DM39)), "0"), "")</f>
        <v/>
      </c>
      <c r="DN39" s="395">
        <f t="array" ref="DN39">IFERROR(IF(AND(INDEX($E$8:$CE$57, MATCH($C39, $C$8:$C$57, 0), (COLUMNS($DC39:DN39)-1)*5 + 1) = INDEX($E$5:$CE$5, 1, (COLUMNS($DC39:DN39)-1)*5 + 1), INDEX($E$8:$CE$57, MATCH($C39, $C$8:$C$57, 0), (COLUMNS($DC39:DN39)-1)*5 + 4) = "F"), INDEX($CZ$8:$CZ$23, COLUMNS($DC39:DN39)), "0"), "")</f>
        <v/>
      </c>
      <c r="DO39" s="395">
        <f t="array" ref="DO39">IFERROR(IF(AND(INDEX($E$8:$CE$57, MATCH($C39, $C$8:$C$57, 0), (COLUMNS($DC39:DO39)-1)*5 + 1) = INDEX($E$5:$CE$5, 1, (COLUMNS($DC39:DO39)-1)*5 + 1), INDEX($E$8:$CE$57, MATCH($C39, $C$8:$C$57, 0), (COLUMNS($DC39:DO39)-1)*5 + 4) = "F"), INDEX($CZ$8:$CZ$23, COLUMNS($DC39:DO39)), "0"), "")</f>
        <v/>
      </c>
      <c r="DP39" s="395">
        <f t="array" ref="DP39">IFERROR(IF(AND(INDEX($E$8:$CE$57, MATCH($C39, $C$8:$C$57, 0), (COLUMNS($DC39:DP39)-1)*5 + 1) = INDEX($E$5:$CE$5, 1, (COLUMNS($DC39:DP39)-1)*5 + 1), INDEX($E$8:$CE$57, MATCH($C39, $C$8:$C$57, 0), (COLUMNS($DC39:DP39)-1)*5 + 4) = "F"), INDEX($CZ$8:$CZ$23, COLUMNS($DC39:DP39)), "0"), "")</f>
        <v/>
      </c>
      <c r="DQ39" s="395">
        <f t="array" ref="DQ39">IFERROR(IF(AND(INDEX($E$8:$CE$57, MATCH($C39, $C$8:$C$57, 0), (COLUMNS($DC39:DQ39)-1)*5 + 1) = INDEX($E$5:$CE$5, 1, (COLUMNS($DC39:DQ39)-1)*5 + 1), INDEX($E$8:$CE$57, MATCH($C39, $C$8:$C$57, 0), (COLUMNS($DC39:DQ39)-1)*5 + 4) = "F"), INDEX($CZ$8:$CZ$23, COLUMNS($DC39:DQ39)), "0"), "")</f>
        <v/>
      </c>
      <c r="DR39" s="395">
        <f t="array" ref="DR39">IFERROR(IF(AND(INDEX($E$8:$CE$57, MATCH($C39, $C$8:$C$57, 0), (COLUMNS($DC39:DR39)-1)*5 + 1) = INDEX($E$5:$CE$5, 1, (COLUMNS($DC39:DR39)-1)*5 + 1), INDEX($E$8:$CE$57, MATCH($C39, $C$8:$C$57, 0), (COLUMNS($DC39:DR39)-1)*5 + 4) = "F"), INDEX($CZ$8:$CZ$23, COLUMNS($DC39:DR39)), "0"), "")</f>
        <v/>
      </c>
      <c r="DT39" s="605">
        <f>SEMANA2[[#This Row],[COD]]</f>
        <v/>
      </c>
      <c r="DU39" s="395">
        <f t="array" ref="DU39">IFERROR(IF(AND(INDEX($E$8:$CE$57, MATCH($C39, $C$8:$C$57, 0), (COLUMNS($DU39:DU39)-1)*5 + 1) = INDEX($E$5:$CE$5, 1, (COLUMNS($DU39:DU39)-1)*5 + 1), INDEX($E$8:$CE$57, MATCH($C39, $C$8:$C$57, 0), (COLUMNS($DU39:DU39)-1)*5 + 4) = "SF"), INDEX($CZ$8:$CZ$23, COLUMNS($DU39:DU39)), "0"), "")</f>
        <v/>
      </c>
      <c r="DV39" s="395">
        <f t="array" ref="DV39">IFERROR(IF(AND(INDEX($E$8:$CE$57, MATCH($C39, $C$8:$C$57, 0), (COLUMNS($DU39:DV39)-1)*5 + 1) = INDEX($E$5:$CE$5, 1, (COLUMNS($DU39:DV39)-1)*5 + 1), INDEX($E$8:$CE$57, MATCH($C39, $C$8:$C$57, 0), (COLUMNS($DU39:DV39)-1)*5 + 4) = "SF"), INDEX($CZ$8:$CZ$23, COLUMNS($DU39:DV39)), "0"), "")</f>
        <v/>
      </c>
      <c r="DW39" s="395">
        <f t="array" ref="DW39">IFERROR(IF(AND(INDEX($E$8:$CE$57, MATCH($C39, $C$8:$C$57, 0), (COLUMNS($DU39:DW39)-1)*5 + 1) = INDEX($E$5:$CE$5, 1, (COLUMNS($DU39:DW39)-1)*5 + 1), INDEX($E$8:$CE$57, MATCH($C39, $C$8:$C$57, 0), (COLUMNS($DU39:DW39)-1)*5 + 4) = "SF"), INDEX($CZ$8:$CZ$23, COLUMNS($DU39:DW39)), "0"), "")</f>
        <v/>
      </c>
      <c r="DX39" s="395">
        <f t="array" ref="DX39">IFERROR(IF(AND(INDEX($E$8:$CE$57, MATCH($C39, $C$8:$C$57, 0), (COLUMNS($DU39:DX39)-1)*5 + 1) = INDEX($E$5:$CE$5, 1, (COLUMNS($DU39:DX39)-1)*5 + 1), INDEX($E$8:$CE$57, MATCH($C39, $C$8:$C$57, 0), (COLUMNS($DU39:DX39)-1)*5 + 4) = "SF"), INDEX($CZ$8:$CZ$23, COLUMNS($DU39:DX39)), "0"), "")</f>
        <v/>
      </c>
      <c r="DY39" s="395">
        <f t="array" ref="DY39">IFERROR(IF(AND(INDEX($E$8:$CE$57, MATCH($C39, $C$8:$C$57, 0), (COLUMNS($DU39:DY39)-1)*5 + 1) = INDEX($E$5:$CE$5, 1, (COLUMNS($DU39:DY39)-1)*5 + 1), INDEX($E$8:$CE$57, MATCH($C39, $C$8:$C$57, 0), (COLUMNS($DU39:DY39)-1)*5 + 4) = "SF"), INDEX($CZ$8:$CZ$23, COLUMNS($DU39:DY39)), "0"), "")</f>
        <v/>
      </c>
      <c r="DZ39" s="395">
        <f t="array" ref="DZ39">IFERROR(IF(AND(INDEX($E$8:$CE$57, MATCH($C39, $C$8:$C$57, 0), (COLUMNS($DU39:DZ39)-1)*5 + 1) = INDEX($E$5:$CE$5, 1, (COLUMNS($DU39:DZ39)-1)*5 + 1), INDEX($E$8:$CE$57, MATCH($C39, $C$8:$C$57, 0), (COLUMNS($DU39:DZ39)-1)*5 + 4) = "SF"), INDEX($CZ$8:$CZ$23, COLUMNS($DU39:DZ39)), "0"), "")</f>
        <v/>
      </c>
      <c r="EA39" s="395">
        <f t="array" ref="EA39">IFERROR(IF(AND(INDEX($E$8:$CE$57, MATCH($C39, $C$8:$C$57, 0), (COLUMNS($DU39:EA39)-1)*5 + 1) = INDEX($E$5:$CE$5, 1, (COLUMNS($DU39:EA39)-1)*5 + 1), INDEX($E$8:$CE$57, MATCH($C39, $C$8:$C$57, 0), (COLUMNS($DU39:EA39)-1)*5 + 4) = "SF"), INDEX($CZ$8:$CZ$23, COLUMNS($DU39:EA39)), "0"), "")</f>
        <v/>
      </c>
      <c r="EB39" s="395">
        <f t="array" ref="EB39">IFERROR(IF(AND(INDEX($E$8:$CE$57, MATCH($C39, $C$8:$C$57, 0), (COLUMNS($DU39:EB39)-1)*5 + 1) = INDEX($E$5:$CE$5, 1, (COLUMNS($DU39:EB39)-1)*5 + 1), INDEX($E$8:$CE$57, MATCH($C39, $C$8:$C$57, 0), (COLUMNS($DU39:EB39)-1)*5 + 4) = "SF"), INDEX($CZ$8:$CZ$23, COLUMNS($DU39:EB39)), "0"), "")</f>
        <v/>
      </c>
      <c r="EC39" s="395">
        <f t="array" ref="EC39">IFERROR(IF(AND(INDEX($E$8:$CE$57, MATCH($C39, $C$8:$C$57, 0), (COLUMNS($DU39:EC39)-1)*5 + 1) = INDEX($E$5:$CE$5, 1, (COLUMNS($DU39:EC39)-1)*5 + 1), INDEX($E$8:$CE$57, MATCH($C39, $C$8:$C$57, 0), (COLUMNS($DU39:EC39)-1)*5 + 4) = "SF"), INDEX($CZ$8:$CZ$23, COLUMNS($DU39:EC39)), "0"), "")</f>
        <v/>
      </c>
      <c r="ED39" s="395">
        <f t="array" ref="ED39">IFERROR(IF(AND(INDEX($E$8:$CE$57, MATCH($C39, $C$8:$C$57, 0), (COLUMNS($DU39:ED39)-1)*5 + 1) = INDEX($E$5:$CE$5, 1, (COLUMNS($DU39:ED39)-1)*5 + 1), INDEX($E$8:$CE$57, MATCH($C39, $C$8:$C$57, 0), (COLUMNS($DU39:ED39)-1)*5 + 4) = "SF"), INDEX($CZ$8:$CZ$23, COLUMNS($DU39:ED39)), "0"), "")</f>
        <v/>
      </c>
      <c r="EE39" s="395">
        <f t="array" ref="EE39">IFERROR(IF(AND(INDEX($E$8:$CE$57, MATCH($C39, $C$8:$C$57, 0), (COLUMNS($DU39:EE39)-1)*5 + 1) = INDEX($E$5:$CE$5, 1, (COLUMNS($DU39:EE39)-1)*5 + 1), INDEX($E$8:$CE$57, MATCH($C39, $C$8:$C$57, 0), (COLUMNS($DU39:EE39)-1)*5 + 4) = "SF"), INDEX($CZ$8:$CZ$23, COLUMNS($DU39:EE39)), "0"), "")</f>
        <v/>
      </c>
      <c r="EF39" s="395">
        <f t="array" ref="EF39">IFERROR(IF(AND(INDEX($E$8:$CE$57, MATCH($C39, $C$8:$C$57, 0), (COLUMNS($DU39:EF39)-1)*5 + 1) = INDEX($E$5:$CE$5, 1, (COLUMNS($DU39:EF39)-1)*5 + 1), INDEX($E$8:$CE$57, MATCH($C39, $C$8:$C$57, 0), (COLUMNS($DU39:EF39)-1)*5 + 4) = "SF"), INDEX($CZ$8:$CZ$23, COLUMNS($DU39:EF39)), "0"), "")</f>
        <v/>
      </c>
      <c r="EG39" s="395">
        <f t="array" ref="EG39">IFERROR(IF(AND(INDEX($E$8:$CE$57, MATCH($C39, $C$8:$C$57, 0), (COLUMNS($DU39:EG39)-1)*5 + 1) = INDEX($E$5:$CE$5, 1, (COLUMNS($DU39:EG39)-1)*5 + 1), INDEX($E$8:$CE$57, MATCH($C39, $C$8:$C$57, 0), (COLUMNS($DU39:EG39)-1)*5 + 4) = "SF"), INDEX($CZ$8:$CZ$23, COLUMNS($DU39:EG39)), "0"), "")</f>
        <v/>
      </c>
      <c r="EH39" s="395">
        <f t="array" ref="EH39">IFERROR(IF(AND(INDEX($E$8:$CE$57, MATCH($C39, $C$8:$C$57, 0), (COLUMNS($DU39:EH39)-1)*5 + 1) = INDEX($E$5:$CE$5, 1, (COLUMNS($DU39:EH39)-1)*5 + 1), INDEX($E$8:$CE$57, MATCH($C39, $C$8:$C$57, 0), (COLUMNS($DU39:EH39)-1)*5 + 4) = "SF"), INDEX($CZ$8:$CZ$23, COLUMNS($DU39:EH39)), "0"), "")</f>
        <v/>
      </c>
      <c r="EI39" s="395">
        <f t="array" ref="EI39">IFERROR(IF(AND(INDEX($E$8:$CE$57, MATCH($C39, $C$8:$C$57, 0), (COLUMNS($DU39:EI39)-1)*5 + 1) = INDEX($E$5:$CE$5, 1, (COLUMNS($DU39:EI39)-1)*5 + 1), INDEX($E$8:$CE$57, MATCH($C39, $C$8:$C$57, 0), (COLUMNS($DU39:EI39)-1)*5 + 4) = "SF"), INDEX($CZ$8:$CZ$23, COLUMNS($DU39:EI39)), "0"), "")</f>
        <v/>
      </c>
      <c r="EJ39" s="395">
        <f t="array" ref="EJ39">IFERROR(IF(AND(INDEX($E$8:$CE$57, MATCH($C39, $C$8:$C$57, 0), (COLUMNS($DU39:EJ39)-1)*5 + 1) = INDEX($E$5:$CE$5, 1, (COLUMNS($DU39:EJ39)-1)*5 + 1), INDEX($E$8:$CE$57, MATCH($C39, $C$8:$C$57, 0), (COLUMNS($DU39:EJ39)-1)*5 + 4) = "SF"), INDEX($CZ$8:$CZ$23, COLUMNS($DU39:EJ39)), "0"), "")</f>
        <v/>
      </c>
    </row>
    <row r="40" ht="20.1" customHeight="1" s="568">
      <c r="A40" s="576" t="n"/>
      <c r="B40" s="449">
        <f>IF(SEMANA2[[#This Row],[COD]]&lt;&gt;"",B39+1,"")</f>
        <v/>
      </c>
      <c r="C40" s="622" t="inlineStr">
        <is>
          <t>COD 33</t>
        </is>
      </c>
      <c r="D40" s="415">
        <f t="array" ref="D40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0" s="416" t="n">
        <v>9</v>
      </c>
      <c r="F40" s="417" t="n">
        <v>5</v>
      </c>
      <c r="G40" s="417" t="n">
        <v>2</v>
      </c>
      <c r="H40" s="417" t="n"/>
      <c r="I40" s="602">
        <f>SUM(IF(E40=E$5,4,0),IF(E40&amp;F40=E$5&amp;F$5,1,0),
IF(AND(E40=E$5,F$6&gt;=$D$115),1,0),
IF(AND(F40=E$5,F$6&gt;=$D$115),1,0),
IF(AND(G40=E$5,F$6&gt;=$D$115),1,0),
IF(E40&amp;H40=I$5,1,0),
IF(F40=E$5,2,0),
IF(G40=E$5,1,0),
IF(OR(E40&amp;F40&amp;G40=E$5&amp;F$5&amp;G$5,E40&amp;F40&amp;G40=E$5&amp;G$5&amp;F$5,E40&amp;F40&amp;G40=F$5&amp;E$5&amp;G$5,E40&amp;F40&amp;G40=F$5&amp;G$5&amp;E$5,E40&amp;F40&amp;G40=G$5&amp;E$5&amp;F$5,E40&amp;F40&amp;G40=G$5&amp;F$5&amp;E$5),2,0),IF(AND(E40=E$5,F$6&gt;=$D$129),1,0),IF(AND(F40=E$5,F$6&gt;=$D$129),1,0),IF(AND(G40=E$5,F$6&gt;=$D$129),1,0),IF(E40&amp;H40=H$5,4,0),IF(AND(E40=E$5,F$6&lt;=$D$104),-0.5,0),IF(AND(F40=E$5,F$6&lt;=$D$104),-0.5,0),IF(AND(G40=E$5,F$6&lt;=$D$104),-0.5,0))</f>
        <v/>
      </c>
      <c r="J40" s="416" t="n">
        <v>7</v>
      </c>
      <c r="K40" s="417" t="n">
        <v>2</v>
      </c>
      <c r="L40" s="417" t="n">
        <v>1</v>
      </c>
      <c r="M40" s="417" t="n"/>
      <c r="N40" s="602">
        <f>SUM(IF(J40=J$5,4,0),IF(J40&amp;K40=J$5&amp;K$5,1,0),
IF(AND(J40=J$5,K$6&gt;=$D$115),1,0),
IF(AND(K40=J$5,K$6&gt;=$D$115),1,0),
IF(AND(L40=J$5,K$6&gt;=$D$115),1,0),
IF(J40&amp;M40=N$5,1,0),
IF(K40=J$5,2,0),
IF(L40=J$5,1,0),
IF(OR(J40&amp;K40&amp;L40=J$5&amp;K$5&amp;L$5,J40&amp;K40&amp;L40=J$5&amp;L$5&amp;K$5,J40&amp;K40&amp;L40=K$5&amp;J$5&amp;L$5,J40&amp;K40&amp;L40=K$5&amp;L$5&amp;J$5,J40&amp;K40&amp;L40=L$5&amp;J$5&amp;K$5,J40&amp;K40&amp;L40=L$5&amp;K$5&amp;J$5),2,0),IF(AND(J40=J$5,K$6&gt;=$D$129),1,0),IF(AND(K40=J$5,K$6&gt;=$D$129),1,0),IF(AND(L40=J$5,K$6&gt;=$D$129),1,0),IF(J40&amp;M40=M$5,4,0),IF(AND(J40=J$5,K$6&lt;=$D$104),-0.5,0),IF(AND(K40=J$5,K$6&lt;=$D$104),-0.5,0),IF(AND(L40=J$5,K$6&lt;=$D$104),-0.5,0))</f>
        <v/>
      </c>
      <c r="O40" s="416" t="n">
        <v>5</v>
      </c>
      <c r="P40" s="417" t="n">
        <v>1</v>
      </c>
      <c r="Q40" s="417" t="n">
        <v>7</v>
      </c>
      <c r="R40" s="417" t="n"/>
      <c r="S40" s="602">
        <f>SUM(IF(O40=O$5,4,0),IF(O40&amp;P40=O$5&amp;P$5,1,0),
IF(AND(O40=O$5,P$6&gt;=$D$115),1,0),
IF(AND(P40=O$5,P$6&gt;=$D$115),1,0),
IF(AND(Q40=O$5,P$6&gt;=$D$115),1,0),
IF(O40&amp;R40=S$5,1,0),
IF(P40=O$5,2,0),
IF(Q40=O$5,1,0),
IF(OR(O40&amp;P40&amp;Q40=O$5&amp;P$5&amp;Q$5,O40&amp;P40&amp;Q40=O$5&amp;Q$5&amp;P$5,O40&amp;P40&amp;Q40=P$5&amp;O$5&amp;Q$5,O40&amp;P40&amp;Q40=P$5&amp;Q$5&amp;O$5,O40&amp;P40&amp;Q40=Q$5&amp;O$5&amp;P$5,O40&amp;P40&amp;Q40=Q$5&amp;P$5&amp;O$5),2,0),IF(AND(O40=O$5,P$6&gt;=$D$129),1,0),IF(AND(P40=O$5,P$6&gt;=$D$129),1,0),IF(AND(Q40=O$5,P$6&gt;=$D$129),1,0),IF(O40&amp;R40=R$5,4,0),IF(AND(O40=O$5,P$6&lt;=$D$104),-0.5,0),IF(AND(P40=O$5,P$6&lt;=$D$104),-0.5,0),IF(AND(Q40=O$5,P$6&lt;=$D$104),-0.5,0))</f>
        <v/>
      </c>
      <c r="T40" s="416" t="n">
        <v>5</v>
      </c>
      <c r="U40" s="417" t="n">
        <v>4</v>
      </c>
      <c r="V40" s="417" t="n">
        <v>3</v>
      </c>
      <c r="W40" s="417" t="n"/>
      <c r="X40" s="602">
        <f>SUM(IF(T40=T$5,4,0),IF(T40&amp;U40=T$5&amp;U$5,1,0),
IF(AND(T40=T$5,U$6&gt;=$D$115),1,0),
IF(AND(U40=T$5,U$6&gt;=$D$115),1,0),
IF(AND(V40=T$5,U$6&gt;=$D$115),1,0),
IF(T40&amp;W40=X$5,1,0),
IF(U40=T$5,2,0),
IF(V40=T$5,1,0),
IF(OR(T40&amp;U40&amp;V40=T$5&amp;U$5&amp;V$5,T40&amp;U40&amp;V40=T$5&amp;V$5&amp;U$5,T40&amp;U40&amp;V40=U$5&amp;T$5&amp;V$5,T40&amp;U40&amp;V40=U$5&amp;V$5&amp;T$5,T40&amp;U40&amp;V40=V$5&amp;T$5&amp;U$5,T40&amp;U40&amp;V40=V$5&amp;U$5&amp;T$5),2,0),IF(AND(T40=T$5,U$6&gt;=$D$129),1,0),IF(AND(U40=T$5,U$6&gt;=$D$129),1,0),IF(AND(V40=T$5,U$6&gt;=$D$129),1,0),IF(T40&amp;W40=W$5,4,0),IF(AND(T40=T$5,U$6&lt;=$D$104),-0.5,0),IF(AND(U40=T$5,U$6&lt;=$D$104),-0.5,0),IF(AND(V40=T$5,U$6&lt;=$D$104),-0.5,0))</f>
        <v/>
      </c>
      <c r="Y40" s="416" t="n">
        <v>4</v>
      </c>
      <c r="Z40" s="417" t="n">
        <v>7</v>
      </c>
      <c r="AA40" s="417" t="n">
        <v>1</v>
      </c>
      <c r="AB40" s="417" t="n"/>
      <c r="AC40" s="602">
        <f>SUM(IF(Y40=Y$5,4,0),IF(Y40&amp;Z40=Y$5&amp;Z$5,1,0),
IF(AND(Y40=Y$5,Z$6&gt;=$D$115),1,0),
IF(AND(Z40=Y$5,Z$6&gt;=$D$115),1,0),
IF(AND(AA40=Y$5,Z$6&gt;=$D$115),1,0),
IF(Y40&amp;AB40=AC$5,1,0),
IF(Z40=Y$5,2,0),
IF(AA40=Y$5,1,0),
IF(OR(Y40&amp;Z40&amp;AA40=Y$5&amp;Z$5&amp;AA$5,Y40&amp;Z40&amp;AA40=Y$5&amp;AA$5&amp;Z$5,Y40&amp;Z40&amp;AA40=Z$5&amp;Y$5&amp;AA$5,Y40&amp;Z40&amp;AA40=Z$5&amp;AA$5&amp;Y$5,Y40&amp;Z40&amp;AA40=AA$5&amp;Y$5&amp;Z$5,Y40&amp;Z40&amp;AA40=AA$5&amp;Z$5&amp;Y$5),2,0),IF(AND(Y40=Y$5,Z$6&gt;=$D$129),1,0),IF(AND(Z40=Y$5,Z$6&gt;=$D$129),1,0),IF(AND(AA40=Y$5,Z$6&gt;=$D$129),1,0),IF(Y40&amp;AB40=AB$5,4,0),IF(AND(Y40=Y$5,Z$6&lt;=$D$104),-0.5,0),IF(AND(Z40=Y$5,Z$6&lt;=$D$104),-0.5,0),IF(AND(AA40=Y$5,Z$6&lt;=$D$104),-0.5,0))</f>
        <v/>
      </c>
      <c r="AD40" s="416" t="n">
        <v>5</v>
      </c>
      <c r="AE40" s="417" t="n">
        <v>4</v>
      </c>
      <c r="AF40" s="417" t="n">
        <v>10</v>
      </c>
      <c r="AG40" s="417" t="n"/>
      <c r="AH40" s="602">
        <f>SUM(IF(AD40=AD$5,4,0),IF(AD40&amp;AE40=AD$5&amp;AE$5,1,0),
IF(AND(AD40=AD$5,AE$6&gt;=$D$115),1,0),
IF(AND(AE40=AD$5,AE$6&gt;=$D$115),1,0),
IF(AND(AF40=AD$5,AE$6&gt;=$D$115),1,0),
IF(AD40&amp;AG40=AH$5,1,0),
IF(AE40=AD$5,2,0),
IF(AF40=AD$5,1,0),
IF(OR(AD40&amp;AE40&amp;AF40=AD$5&amp;AE$5&amp;AF$5,AD40&amp;AE40&amp;AF40=AD$5&amp;AF$5&amp;AE$5,AD40&amp;AE40&amp;AF40=AE$5&amp;AD$5&amp;AF$5,AD40&amp;AE40&amp;AF40=AE$5&amp;AF$5&amp;AD$5,AD40&amp;AE40&amp;AF40=AF$5&amp;AD$5&amp;AE$5,AD40&amp;AE40&amp;AF40=AF$5&amp;AE$5&amp;AD$5),2,0),IF(AND(AD40=AD$5,AE$6&gt;=$D$129),1,0),IF(AND(AE40=AD$5,AE$6&gt;=$D$129),1,0),IF(AND(AF40=AD$5,AE$6&gt;=$D$129),1,0),IF(AD40&amp;AG40=AG$5,4,0),IF(AND(AD40=AD$5,AE$6&lt;=$D$104),-0.5,0),IF(AND(AE40=AD$5,AE$6&lt;=$D$104),-0.5,0),IF(AND(AF40=AD$5,AE$6&lt;=$D$104),-0.5,0))</f>
        <v/>
      </c>
      <c r="AI40" s="416" t="n">
        <v>7</v>
      </c>
      <c r="AJ40" s="417" t="n">
        <v>6</v>
      </c>
      <c r="AK40" s="417" t="n">
        <v>9</v>
      </c>
      <c r="AL40" s="417" t="inlineStr">
        <is>
          <t>F</t>
        </is>
      </c>
      <c r="AM40" s="602">
        <f>SUM(IF(AI40=AI$5,4,0),IF(AI40&amp;AJ40=AI$5&amp;AJ$5,1,0),
IF(AND(AI40=AI$5,AJ$6&gt;=$D$115),1,0),
IF(AND(AJ40=AI$5,AJ$6&gt;=$D$115),1,0),
IF(AND(AK40=AI$5,AJ$6&gt;=$D$115),1,0),
IF(AI40&amp;AL40=AM$5,1,0),
IF(AJ40=AI$5,2,0),
IF(AK40=AI$5,1,0),
IF(OR(AI40&amp;AJ40&amp;AK40=AI$5&amp;AJ$5&amp;AK$5,AI40&amp;AJ40&amp;AK40=AI$5&amp;AK$5&amp;AJ$5,AI40&amp;AJ40&amp;AK40=AJ$5&amp;AI$5&amp;AK$5,AI40&amp;AJ40&amp;AK40=AJ$5&amp;AK$5&amp;AI$5,AI40&amp;AJ40&amp;AK40=AK$5&amp;AI$5&amp;AJ$5,AI40&amp;AJ40&amp;AK40=AK$5&amp;AJ$5&amp;AI$5),2,0),IF(AND(AI40=AI$5,AJ$6&gt;=$D$129),1,0),IF(AND(AJ40=AI$5,AJ$6&gt;=$D$129),1,0),IF(AND(AK40=AI$5,AJ$6&gt;=$D$129),1,0),IF(AI40&amp;AL40=AL$5,4,0),IF(AND(AI40=AI$5,AJ$6&lt;=$D$104),-0.5,0),IF(AND(AJ40=AI$5,AJ$6&lt;=$D$104),-0.5,0),IF(AND(AK40=AI$5,AJ$6&lt;=$D$104),-0.5,0))</f>
        <v/>
      </c>
      <c r="AN40" s="416" t="n">
        <v>1</v>
      </c>
      <c r="AO40" s="417" t="n">
        <v>8</v>
      </c>
      <c r="AP40" s="417" t="n">
        <v>2</v>
      </c>
      <c r="AQ40" s="417" t="n"/>
      <c r="AR40" s="602">
        <f>SUM(IF(AN40=AN$5,4,0),IF(AN40&amp;AO40=AN$5&amp;AO$5,1,0),
IF(AND(AN40=AN$5,AO$6&gt;=$D$115),1,0),
IF(AND(AO40=AN$5,AO$6&gt;=$D$115),1,0),
IF(AND(AP40=AN$5,AO$6&gt;=$D$115),1,0),
IF(AN40&amp;AQ40=AR$5,1,0),
IF(AO40=AN$5,2,0),
IF(AP40=AN$5,1,0),
IF(OR(AN40&amp;AO40&amp;AP40=AN$5&amp;AO$5&amp;AP$5,AN40&amp;AO40&amp;AP40=AN$5&amp;AP$5&amp;AO$5,AN40&amp;AO40&amp;AP40=AO$5&amp;AN$5&amp;AP$5,AN40&amp;AO40&amp;AP40=AO$5&amp;AP$5&amp;AN$5,AN40&amp;AO40&amp;AP40=AP$5&amp;AN$5&amp;AO$5,AN40&amp;AO40&amp;AP40=AP$5&amp;AO$5&amp;AN$5),2,0),IF(AND(AN40=AN$5,AO$6&gt;=$D$129),1,0),IF(AND(AO40=AN$5,AO$6&gt;=$D$129),1,0),IF(AND(AP40=AN$5,AO$6&gt;=$D$129),1,0),IF(AN40&amp;AQ40=AQ$5,4,0),IF(AND(AN40=AN$5,AO$6&lt;=$D$104),-0.5,0),IF(AND(AO40=AN$5,AO$6&lt;=$D$104),-0.5,0),IF(AND(AP40=AN$5,AO$6&lt;=$D$104),-0.5,0))</f>
        <v/>
      </c>
      <c r="AS40" s="416" t="n">
        <v>11</v>
      </c>
      <c r="AT40" s="417" t="n">
        <v>2</v>
      </c>
      <c r="AU40" s="417" t="n">
        <v>6</v>
      </c>
      <c r="AV40" s="417" t="n"/>
      <c r="AW40" s="602">
        <f>SUM(IF(AS40=AS$5,4,0),IF(AS40&amp;AT40=AS$5&amp;AT$5,1,0),
IF(AND(AS40=AS$5,AT$6&gt;=$D$115),1,0),
IF(AND(AT40=AS$5,AT$6&gt;=$D$115),1,0),
IF(AND(AU40=AS$5,AT$6&gt;=$D$115),1,0),
IF(AS40&amp;AV40=AW$5,1,0),
IF(AT40=AS$5,2,0),
IF(AU40=AS$5,1,0),
IF(OR(AS40&amp;AT40&amp;AU40=AS$5&amp;AT$5&amp;AU$5,AS40&amp;AT40&amp;AU40=AS$5&amp;AU$5&amp;AT$5,AS40&amp;AT40&amp;AU40=AT$5&amp;AS$5&amp;AU$5,AS40&amp;AT40&amp;AU40=AT$5&amp;AU$5&amp;AS$5,AS40&amp;AT40&amp;AU40=AU$5&amp;AS$5&amp;AT$5,AS40&amp;AT40&amp;AU40=AU$5&amp;AT$5&amp;AS$5),2,0),IF(AND(AS40=AS$5,AT$6&gt;=$D$129),1,0),IF(AND(AT40=AS$5,AT$6&gt;=$D$129),1,0),IF(AND(AU40=AS$5,AT$6&gt;=$D$129),1,0),IF(AS40&amp;AV40=AV$5,4,0),IF(AND(AS40=AS$5,AT$6&lt;=$D$104),-0.5,0),IF(AND(AT40=AS$5,AT$6&lt;=$D$104),-0.5,0),IF(AND(AU40=AS$5,AT$6&lt;=$D$104),-0.5,0))</f>
        <v/>
      </c>
      <c r="AX40" s="416" t="n">
        <v>1</v>
      </c>
      <c r="AY40" s="417" t="n">
        <v>10</v>
      </c>
      <c r="AZ40" s="417" t="n">
        <v>6</v>
      </c>
      <c r="BA40" s="417" t="n"/>
      <c r="BB40" s="602">
        <f>SUM(IF(AX40=AX$5,4,0),IF(AX40&amp;AY40=AX$5&amp;AY$5,1,0),
IF(AND(AX40=AX$5,AY$6&gt;=$D$115),1,0),
IF(AND(AY40=AX$5,AY$6&gt;=$D$115),1,0),
IF(AND(AZ40=AX$5,AY$6&gt;=$D$115),1,0),
IF(AX40&amp;BA40=BB$5,1,0),
IF(AY40=AX$5,2,0),
IF(AZ40=AX$5,1,0),
IF(OR(AX40&amp;AY40&amp;AZ40=AX$5&amp;AY$5&amp;AZ$5,AX40&amp;AY40&amp;AZ40=AX$5&amp;AZ$5&amp;AY$5,AX40&amp;AY40&amp;AZ40=AY$5&amp;AX$5&amp;AZ$5,AX40&amp;AY40&amp;AZ40=AY$5&amp;AZ$5&amp;AX$5,AX40&amp;AY40&amp;AZ40=AZ$5&amp;AX$5&amp;AY$5,AX40&amp;AY40&amp;AZ40=AZ$5&amp;AY$5&amp;AX$5),2,0),IF(AND(AX40=AX$5,AY$6&gt;=$D$129),1,0),IF(AND(AY40=AX$5,AY$6&gt;=$D$129),1,0),IF(AND(AZ40=AX$5,AY$6&gt;=$D$129),1,0),IF(AX40&amp;BA40=BA$5,4,0),IF(AND(AX40=AX$5,AY$6&lt;=$D$104),-0.5,0),IF(AND(AY40=AX$5,AY$6&lt;=$D$104),-0.5,0),IF(AND(AZ40=AX$5,AY$6&lt;=$D$104),-0.5,0))</f>
        <v/>
      </c>
      <c r="BC40" s="416" t="n">
        <v>7</v>
      </c>
      <c r="BD40" s="417" t="n">
        <v>5</v>
      </c>
      <c r="BE40" s="417" t="n">
        <v>6</v>
      </c>
      <c r="BF40" s="417" t="inlineStr">
        <is>
          <t>F</t>
        </is>
      </c>
      <c r="BG40" s="602">
        <f>SUM(IF(BC40=BC$5,4,0),IF(BC40&amp;BD40=BC$5&amp;BD$5,1,0),
IF(AND(BC40=BC$5,BD$6&gt;=$D$115),1,0),
IF(AND(BD40=BC$5,BD$6&gt;=$D$115),1,0),
IF(AND(BE40=BC$5,BD$6&gt;=$D$115),1,0),
IF(BC40&amp;BF40=BG$5,1,0),
IF(BD40=BC$5,2,0),
IF(BE40=BC$5,1,0),
IF(OR(BC40&amp;BD40&amp;BE40=BC$5&amp;BD$5&amp;BE$5,BC40&amp;BD40&amp;BE40=BC$5&amp;BE$5&amp;BD$5,BC40&amp;BD40&amp;BE40=BD$5&amp;BC$5&amp;BE$5,BC40&amp;BD40&amp;BE40=BD$5&amp;BE$5&amp;BC$5,BC40&amp;BD40&amp;BE40=BE$5&amp;BC$5&amp;BD$5,BC40&amp;BD40&amp;BE40=BE$5&amp;BD$5&amp;BC$5),2,0),IF(AND(BC40=BC$5,BD$6&gt;=$D$129),1,0),IF(AND(BD40=BC$5,BD$6&gt;=$D$129),1,0),IF(AND(BE40=BC$5,BD$6&gt;=$D$129),1,0),IF(BC40&amp;BF40=BF$5,4,0),IF(AND(BC40=BC$5,BD$6&lt;=$D$104),-0.5,0),IF(AND(BD40=BC$5,BD$6&lt;=$D$104),-0.5,0),IF(AND(BE40=BC$5,BD$6&lt;=$D$104),-0.5,0))</f>
        <v/>
      </c>
      <c r="BH40" s="416" t="n">
        <v>1</v>
      </c>
      <c r="BI40" s="417" t="n">
        <v>6</v>
      </c>
      <c r="BJ40" s="417" t="n">
        <v>2</v>
      </c>
      <c r="BK40" s="417" t="n"/>
      <c r="BL40" s="602">
        <f>SUM(IF(BH40=BH$5,4,0),IF(BH40&amp;BI40=BH$5&amp;BI$5,1,0),
IF(AND(BH40=BH$5,BI$6&gt;=$D$115),1,0),
IF(AND(BI40=BH$5,BI$6&gt;=$D$115),1,0),
IF(AND(BJ40=BH$5,BI$6&gt;=$D$115),1,0),
IF(BH40&amp;BK40=BL$5,1,0),
IF(BI40=BH$5,2,0),
IF(BJ40=BH$5,1,0),
IF(OR(BH40&amp;BI40&amp;BJ40=BH$5&amp;BI$5&amp;BJ$5,BH40&amp;BI40&amp;BJ40=BH$5&amp;BJ$5&amp;BI$5,BH40&amp;BI40&amp;BJ40=BI$5&amp;BH$5&amp;BJ$5,BH40&amp;BI40&amp;BJ40=BI$5&amp;BJ$5&amp;BH$5,BH40&amp;BI40&amp;BJ40=BJ$5&amp;BH$5&amp;BI$5,BH40&amp;BI40&amp;BJ40=BJ$5&amp;BI$5&amp;BH$5),2,0),IF(AND(BH40=BH$5,BI$6&gt;=$D$129),1,0),IF(AND(BI40=BH$5,BI$6&gt;=$D$129),1,0),IF(AND(BJ40=BH$5,BI$6&gt;=$D$129),1,0),IF(BH40&amp;BK40=BK$5,4,0),IF(AND(BH40=BH$5,BI$6&lt;=$D$104),-0.5,0),IF(AND(BI40=BH$5,BI$6&lt;=$D$104),-0.5,0),IF(AND(BJ40=BH$5,BI$6&lt;=$D$104),-0.5,0))</f>
        <v/>
      </c>
      <c r="BM40" s="416" t="n">
        <v>4</v>
      </c>
      <c r="BN40" s="417" t="n"/>
      <c r="BO40" s="417" t="n"/>
      <c r="BP40" s="417" t="inlineStr">
        <is>
          <t>SF</t>
        </is>
      </c>
      <c r="BQ40" s="602">
        <f>SUM(IF(BM40=BM$5,4,0),IF(BM40&amp;BN40=BM$5&amp;BN$5,1,0),
IF(AND(BM40=BM$5,BN$6&gt;=$D$115),1,0),
IF(AND(BN40=BM$5,BN$6&gt;=$D$115),1,0),
IF(AND(BO40=BM$5,BN$6&gt;=$D$115),1,0),
IF(BM40&amp;BP40=BQ$5,1,0),
IF(BN40=BM$5,2,0),
IF(BO40=BM$5,1,0),
IF(OR(BM40&amp;BN40&amp;BO40=BM$5&amp;BN$5&amp;BO$5,BM40&amp;BN40&amp;BO40=BM$5&amp;BO$5&amp;BN$5,BM40&amp;BN40&amp;BO40=BN$5&amp;BM$5&amp;BO$5,BM40&amp;BN40&amp;BO40=BN$5&amp;BO$5&amp;BM$5,BM40&amp;BN40&amp;BO40=BO$5&amp;BM$5&amp;BN$5,BM40&amp;BN40&amp;BO40=BO$5&amp;BN$5&amp;BM$5),2,0),IF(AND(BM40=BM$5,BN$6&gt;=$D$129),1,0),IF(AND(BN40=BM$5,BN$6&gt;=$D$129),1,0),IF(AND(BO40=BM$5,BN$6&gt;=$D$129),1,0),IF(BM40&amp;BP40=BP$5,4,0),IF(AND(BM40=BM$5,BN$6&lt;=$D$104),-0.5,0),IF(AND(BN40=BM$5,BN$6&lt;=$D$104),-0.5,0),IF(AND(BO40=BM$5,BN$6&lt;=$D$104),-0.5,0))</f>
        <v/>
      </c>
      <c r="BR40" s="416" t="n">
        <v>5</v>
      </c>
      <c r="BS40" s="417" t="n">
        <v>2</v>
      </c>
      <c r="BT40" s="417" t="n">
        <v>11</v>
      </c>
      <c r="BU40" s="417" t="n"/>
      <c r="BV40" s="602">
        <f>SUM(IF(BR40=BR$5,4,0),IF(BR40&amp;BS40=BR$5&amp;BS$5,1,0),
IF(AND(BR40=BR$5,BS$6&gt;=$D$115),1,0),
IF(AND(BS40=BR$5,BS$6&gt;=$D$115),1,0),
IF(AND(BT40=BR$5,BS$6&gt;=$D$115),1,0),
IF(BR40&amp;BU40=BV$5,1,0),
IF(BS40=BR$5,2,0),
IF(BT40=BR$5,1,0),
IF(OR(BR40&amp;BS40&amp;BT40=BR$5&amp;BS$5&amp;BT$5,BR40&amp;BS40&amp;BT40=BR$5&amp;BT$5&amp;BS$5,BR40&amp;BS40&amp;BT40=BS$5&amp;BR$5&amp;BT$5,BR40&amp;BS40&amp;BT40=BS$5&amp;BT$5&amp;BR$5,BR40&amp;BS40&amp;BT40=BT$5&amp;BR$5&amp;BS$5,BR40&amp;BS40&amp;BT40=BT$5&amp;BS$5&amp;BR$5),2,0),IF(AND(BR40=BR$5,BS$6&gt;=$D$129),1,0),IF(AND(BS40=BR$5,BS$6&gt;=$D$129),1,0),IF(AND(BT40=BR$5,BS$6&gt;=$D$129),1,0),IF(BR40&amp;BU40=BU$5,4,0),IF(AND(BR40=BR$5,BS$6&lt;=$D$104),-0.5,0),IF(AND(BS40=BR$5,BS$6&lt;=$D$104),-0.5,0),IF(AND(BT40=BR$5,BS$6&lt;=$D$104),-0.5,0))</f>
        <v/>
      </c>
      <c r="BW40" s="416" t="n"/>
      <c r="BX40" s="417" t="n"/>
      <c r="BY40" s="417" t="n"/>
      <c r="BZ40" s="417" t="n"/>
      <c r="CA40" s="602">
        <f>SUM(IF(BW40=BW$5,4,0),IF(BW40&amp;BX40=BW$5&amp;BX$5,1,0),
IF(AND(BW40=BW$5,BX$6&gt;=$D$115),1,0),
IF(AND(BX40=BW$5,BX$6&gt;=$D$115),1,0),
IF(AND(BY40=BW$5,BX$6&gt;=$D$115),1,0),
IF(BW40&amp;BZ40=CA$5,1,0),
IF(BX40=BW$5,2,0),
IF(BY40=BW$5,1,0),
IF(OR(BW40&amp;BX40&amp;BY40=BW$5&amp;BX$5&amp;BY$5,BW40&amp;BX40&amp;BY40=BW$5&amp;BY$5&amp;BX$5,BW40&amp;BX40&amp;BY40=BX$5&amp;BW$5&amp;BY$5,BW40&amp;BX40&amp;BY40=BX$5&amp;BY$5&amp;BW$5,BW40&amp;BX40&amp;BY40=BY$5&amp;BW$5&amp;BX$5,BW40&amp;BX40&amp;BY40=BY$5&amp;BX$5&amp;BW$5),2,0),IF(AND(BW40=BW$5,BX$6&gt;=$D$129),1,0),IF(AND(BX40=BW$5,BX$6&gt;=$D$129),1,0),IF(AND(BY40=BW$5,BX$6&gt;=$D$129),1,0),IF(BW40&amp;BZ40=BZ$5,4,0),IF(AND(BW40=BW$5,BX$6&lt;=$D$104),-0.5,0),IF(AND(BX40=BW$5,BX$6&lt;=$D$104),-0.5,0),IF(AND(BY40=BW$5,BX$6&lt;=$D$104),-0.5,0))</f>
        <v/>
      </c>
      <c r="CB40" s="416" t="n"/>
      <c r="CC40" s="417" t="n"/>
      <c r="CD40" s="417" t="n"/>
      <c r="CE40" s="417" t="n"/>
      <c r="CF40" s="602">
        <f>SUM(IF(CB40=CB$5,4,0),IF(CB40&amp;CC40=CB$5&amp;CC$5,1,0),
IF(AND(CB40=CB$5,CC$6&gt;=$D$115),1,0),
IF(AND(CC40=CB$5,CC$6&gt;=$D$115),1,0),
IF(AND(CD40=CB$5,CC$6&gt;=$D$115),1,0),
IF(CB40&amp;CE40=CF$5,1,0),
IF(CC40=CB$5,2,0),
IF(CD40=CB$5,1,0),
IF(OR(CB40&amp;CC40&amp;CD40=CB$5&amp;CC$5&amp;CD$5,CB40&amp;CC40&amp;CD40=CB$5&amp;CD$5&amp;CC$5,CB40&amp;CC40&amp;CD40=CC$5&amp;CB$5&amp;CD$5,CB40&amp;CC40&amp;CD40=CC$5&amp;CD$5&amp;CB$5,CB40&amp;CC40&amp;CD40=CD$5&amp;CB$5&amp;CC$5,CB40&amp;CC40&amp;CD40=CD$5&amp;CC$5&amp;CB$5),2,0),IF(AND(CB40=CB$5,CC$6&gt;=$D$129),1,0),IF(AND(CC40=CB$5,CC$6&gt;=$D$129),1,0),IF(AND(CD40=CB$5,CC$6&gt;=$D$129),1,0),IF(CB40&amp;CE40=CE$5,4,0),IF(AND(CB40=CB$5,CC$6&lt;=$D$104),-0.5,0),IF(AND(CC40=CB$5,CC$6&lt;=$D$104),-0.5,0),IF(AND(CD40=CB$5,CC$6&lt;=$D$104),-0.5,0))</f>
        <v/>
      </c>
      <c r="CG40" s="164">
        <f>IF(SEMANA2[[#This Row],[1]]="",0,$B$4)</f>
        <v/>
      </c>
      <c r="CH40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0" s="166">
        <f>IF(SEMANA2[[#This Row],[Columna14]]=0,0,(CH40/CG40))</f>
        <v/>
      </c>
      <c r="CJ40" s="165">
        <f>IF(SEMANA2[[#This Row],[1]]="",0,$B$4)</f>
        <v/>
      </c>
      <c r="CK40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0" s="166">
        <f>IF(SEMANA2[[#This Row],[Columna14]]=0,0,(CK40/CJ40))</f>
        <v/>
      </c>
      <c r="CM40" s="164">
        <f>IF(SEMANA2[[#This Row],[1]]="",0,$B$4)</f>
        <v/>
      </c>
      <c r="CN40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0" s="166">
        <f>IF(SEMANA2[[#This Row],[Columna14]]=0,0,(CN40/CM40))</f>
        <v/>
      </c>
      <c r="CP40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0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Row],[Columna25]],$AX$5,BA40,"SF")+COUNTIFS(SEMANA2[[#This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0" s="166">
        <f>IFERROR(IF(SEMANA2[[#This Row],[Columna14]]=0,0,(CQ40/CP40)),0)</f>
        <v/>
      </c>
      <c r="CS40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0" s="95">
        <f>_xlfn.XLOOKUP(SEMANA2[[#This Row],[COD]],BASE01[COD],BASE01[Columna33])</f>
        <v/>
      </c>
      <c r="CU40" s="604">
        <f>SUM(CS40,CT40)</f>
        <v/>
      </c>
      <c r="CV40" s="450">
        <f>IF(SEMANA2[[#This Row],[TIPO]]="PREMIO",$O$3,"0,00")</f>
        <v/>
      </c>
      <c r="CW40" s="576" t="n"/>
      <c r="CY40" s="392">
        <f>IF(CZ40="","",$CZ$25)</f>
        <v/>
      </c>
      <c r="CZ40" s="392" t="n"/>
      <c r="DA40" s="392">
        <f t="array" ref="DA40">IF(CZ40="", "", IF((INDEX(E$8:CE$57, MATCH(CZ40, C$8:C$57, 0), ($CZ$25-1)*5 + 1) &amp; "") = (INDEX(E$5:CE$5, 1, ($CZ$25-1)*5 + 1) &amp; ""), 1, IF((INDEX(E$8:CE$57, MATCH(CZ40, C$8:C$57, 0), ($CZ$25-1)*5 + 2) &amp; "") = (INDEX(E$5:CE$5, 1, ($CZ$25-1)*5 + 1) &amp; ""), 2, IF((INDEX(E$8:CE$57, MATCH(CZ40, C$8:C$57, 0), ($CZ$25-1)*5 + 3) &amp; "") = (INDEX(E$5:CE$5, 1, ($CZ$25-1)*5 + 1) &amp; ""), 3, ""))))</f>
        <v/>
      </c>
      <c r="DB40" s="605">
        <f>SEMANA2[[#This Row],[COD]]</f>
        <v/>
      </c>
      <c r="DC40" s="395">
        <f t="array" ref="DC40">IFERROR(IF(AND(INDEX($E$8:$CE$57, MATCH($C40, $C$8:$C$57, 0), (COLUMNS($DC40:DC40)-1)*5 + 1) = INDEX($E$5:$CE$5, 1, (COLUMNS($DC40:DC40)-1)*5 + 1), INDEX($E$8:$CE$57, MATCH($C40, $C$8:$C$57, 0), (COLUMNS($DC40:DC40)-1)*5 + 4) = "F"), INDEX($CZ$8:$CZ$23, COLUMNS($DC40:DC40)), "0"), "")</f>
        <v/>
      </c>
      <c r="DD40" s="395">
        <f t="array" ref="DD40">IFERROR(IF(AND(INDEX($E$8:$CE$57, MATCH($C40, $C$8:$C$57, 0), (COLUMNS($DC40:DD40)-1)*5 + 1) = INDEX($E$5:$CE$5, 1, (COLUMNS($DC40:DD40)-1)*5 + 1), INDEX($E$8:$CE$57, MATCH($C40, $C$8:$C$57, 0), (COLUMNS($DC40:DD40)-1)*5 + 4) = "F"), INDEX($CZ$8:$CZ$23, COLUMNS($DC40:DD40)), "0"), "")</f>
        <v/>
      </c>
      <c r="DE40" s="395">
        <f t="array" ref="DE40">IFERROR(IF(AND(INDEX($E$8:$CE$57, MATCH($C40, $C$8:$C$57, 0), (COLUMNS($DC40:DE40)-1)*5 + 1) = INDEX($E$5:$CE$5, 1, (COLUMNS($DC40:DE40)-1)*5 + 1), INDEX($E$8:$CE$57, MATCH($C40, $C$8:$C$57, 0), (COLUMNS($DC40:DE40)-1)*5 + 4) = "F"), INDEX($CZ$8:$CZ$23, COLUMNS($DC40:DE40)), "0"), "")</f>
        <v/>
      </c>
      <c r="DF40" s="395">
        <f t="array" ref="DF40">IFERROR(IF(AND(INDEX($E$8:$CE$57, MATCH($C40, $C$8:$C$57, 0), (COLUMNS($DC40:DF40)-1)*5 + 1) = INDEX($E$5:$CE$5, 1, (COLUMNS($DC40:DF40)-1)*5 + 1), INDEX($E$8:$CE$57, MATCH($C40, $C$8:$C$57, 0), (COLUMNS($DC40:DF40)-1)*5 + 4) = "F"), INDEX($CZ$8:$CZ$23, COLUMNS($DC40:DF40)), "0"), "")</f>
        <v/>
      </c>
      <c r="DG40" s="395">
        <f t="array" ref="DG40">IFERROR(IF(AND(INDEX($E$8:$CE$57, MATCH($C40, $C$8:$C$57, 0), (COLUMNS($DC40:DG40)-1)*5 + 1) = INDEX($E$5:$CE$5, 1, (COLUMNS($DC40:DG40)-1)*5 + 1), INDEX($E$8:$CE$57, MATCH($C40, $C$8:$C$57, 0), (COLUMNS($DC40:DG40)-1)*5 + 4) = "F"), INDEX($CZ$8:$CZ$23, COLUMNS($DC40:DG40)), "0"), "")</f>
        <v/>
      </c>
      <c r="DH40" s="395">
        <f t="array" ref="DH40">IFERROR(IF(AND(INDEX($E$8:$CE$57, MATCH($C40, $C$8:$C$57, 0), (COLUMNS($DC40:DH40)-1)*5 + 1) = INDEX($E$5:$CE$5, 1, (COLUMNS($DC40:DH40)-1)*5 + 1), INDEX($E$8:$CE$57, MATCH($C40, $C$8:$C$57, 0), (COLUMNS($DC40:DH40)-1)*5 + 4) = "F"), INDEX($CZ$8:$CZ$23, COLUMNS($DC40:DH40)), "0"), "")</f>
        <v/>
      </c>
      <c r="DI40" s="395">
        <f t="array" ref="DI40">IFERROR(IF(AND(INDEX($E$8:$CE$57, MATCH($C40, $C$8:$C$57, 0), (COLUMNS($DC40:DI40)-1)*5 + 1) = INDEX($E$5:$CE$5, 1, (COLUMNS($DC40:DI40)-1)*5 + 1), INDEX($E$8:$CE$57, MATCH($C40, $C$8:$C$57, 0), (COLUMNS($DC40:DI40)-1)*5 + 4) = "F"), INDEX($CZ$8:$CZ$23, COLUMNS($DC40:DI40)), "0"), "")</f>
        <v/>
      </c>
      <c r="DJ40" s="395">
        <f t="array" ref="DJ40">IFERROR(IF(AND(INDEX($E$8:$CE$57, MATCH($C40, $C$8:$C$57, 0), (COLUMNS($DC40:DJ40)-1)*5 + 1) = INDEX($E$5:$CE$5, 1, (COLUMNS($DC40:DJ40)-1)*5 + 1), INDEX($E$8:$CE$57, MATCH($C40, $C$8:$C$57, 0), (COLUMNS($DC40:DJ40)-1)*5 + 4) = "F"), INDEX($CZ$8:$CZ$23, COLUMNS($DC40:DJ40)), "0"), "")</f>
        <v/>
      </c>
      <c r="DK40" s="395">
        <f t="array" ref="DK40">IFERROR(IF(AND(INDEX($E$8:$CE$57, MATCH($C40, $C$8:$C$57, 0), (COLUMNS($DC40:DK40)-1)*5 + 1) = INDEX($E$5:$CE$5, 1, (COLUMNS($DC40:DK40)-1)*5 + 1), INDEX($E$8:$CE$57, MATCH($C40, $C$8:$C$57, 0), (COLUMNS($DC40:DK40)-1)*5 + 4) = "F"), INDEX($CZ$8:$CZ$23, COLUMNS($DC40:DK40)), "0"), "")</f>
        <v/>
      </c>
      <c r="DL40" s="395">
        <f t="array" ref="DL40">IFERROR(IF(AND(INDEX($E$8:$CE$57, MATCH($C40, $C$8:$C$57, 0), (COLUMNS($DC40:DL40)-1)*5 + 1) = INDEX($E$5:$CE$5, 1, (COLUMNS($DC40:DL40)-1)*5 + 1), INDEX($E$8:$CE$57, MATCH($C40, $C$8:$C$57, 0), (COLUMNS($DC40:DL40)-1)*5 + 4) = "F"), INDEX($CZ$8:$CZ$23, COLUMNS($DC40:DL40)), "0"), "")</f>
        <v/>
      </c>
      <c r="DM40" s="395">
        <f t="array" ref="DM40">IFERROR(IF(AND(INDEX($E$8:$CE$57, MATCH($C40, $C$8:$C$57, 0), (COLUMNS($DC40:DM40)-1)*5 + 1) = INDEX($E$5:$CE$5, 1, (COLUMNS($DC40:DM40)-1)*5 + 1), INDEX($E$8:$CE$57, MATCH($C40, $C$8:$C$57, 0), (COLUMNS($DC40:DM40)-1)*5 + 4) = "F"), INDEX($CZ$8:$CZ$23, COLUMNS($DC40:DM40)), "0"), "")</f>
        <v/>
      </c>
      <c r="DN40" s="395">
        <f t="array" ref="DN40">IFERROR(IF(AND(INDEX($E$8:$CE$57, MATCH($C40, $C$8:$C$57, 0), (COLUMNS($DC40:DN40)-1)*5 + 1) = INDEX($E$5:$CE$5, 1, (COLUMNS($DC40:DN40)-1)*5 + 1), INDEX($E$8:$CE$57, MATCH($C40, $C$8:$C$57, 0), (COLUMNS($DC40:DN40)-1)*5 + 4) = "F"), INDEX($CZ$8:$CZ$23, COLUMNS($DC40:DN40)), "0"), "")</f>
        <v/>
      </c>
      <c r="DO40" s="395">
        <f t="array" ref="DO40">IFERROR(IF(AND(INDEX($E$8:$CE$57, MATCH($C40, $C$8:$C$57, 0), (COLUMNS($DC40:DO40)-1)*5 + 1) = INDEX($E$5:$CE$5, 1, (COLUMNS($DC40:DO40)-1)*5 + 1), INDEX($E$8:$CE$57, MATCH($C40, $C$8:$C$57, 0), (COLUMNS($DC40:DO40)-1)*5 + 4) = "F"), INDEX($CZ$8:$CZ$23, COLUMNS($DC40:DO40)), "0"), "")</f>
        <v/>
      </c>
      <c r="DP40" s="395">
        <f t="array" ref="DP40">IFERROR(IF(AND(INDEX($E$8:$CE$57, MATCH($C40, $C$8:$C$57, 0), (COLUMNS($DC40:DP40)-1)*5 + 1) = INDEX($E$5:$CE$5, 1, (COLUMNS($DC40:DP40)-1)*5 + 1), INDEX($E$8:$CE$57, MATCH($C40, $C$8:$C$57, 0), (COLUMNS($DC40:DP40)-1)*5 + 4) = "F"), INDEX($CZ$8:$CZ$23, COLUMNS($DC40:DP40)), "0"), "")</f>
        <v/>
      </c>
      <c r="DQ40" s="395">
        <f t="array" ref="DQ40">IFERROR(IF(AND(INDEX($E$8:$CE$57, MATCH($C40, $C$8:$C$57, 0), (COLUMNS($DC40:DQ40)-1)*5 + 1) = INDEX($E$5:$CE$5, 1, (COLUMNS($DC40:DQ40)-1)*5 + 1), INDEX($E$8:$CE$57, MATCH($C40, $C$8:$C$57, 0), (COLUMNS($DC40:DQ40)-1)*5 + 4) = "F"), INDEX($CZ$8:$CZ$23, COLUMNS($DC40:DQ40)), "0"), "")</f>
        <v/>
      </c>
      <c r="DR40" s="395">
        <f t="array" ref="DR40">IFERROR(IF(AND(INDEX($E$8:$CE$57, MATCH($C40, $C$8:$C$57, 0), (COLUMNS($DC40:DR40)-1)*5 + 1) = INDEX($E$5:$CE$5, 1, (COLUMNS($DC40:DR40)-1)*5 + 1), INDEX($E$8:$CE$57, MATCH($C40, $C$8:$C$57, 0), (COLUMNS($DC40:DR40)-1)*5 + 4) = "F"), INDEX($CZ$8:$CZ$23, COLUMNS($DC40:DR40)), "0"), "")</f>
        <v/>
      </c>
      <c r="DT40" s="605">
        <f>SEMANA2[[#This Row],[COD]]</f>
        <v/>
      </c>
      <c r="DU40" s="395">
        <f t="array" ref="DU40">IFERROR(IF(AND(INDEX($E$8:$CE$57, MATCH($C40, $C$8:$C$57, 0), (COLUMNS($DU40:DU40)-1)*5 + 1) = INDEX($E$5:$CE$5, 1, (COLUMNS($DU40:DU40)-1)*5 + 1), INDEX($E$8:$CE$57, MATCH($C40, $C$8:$C$57, 0), (COLUMNS($DU40:DU40)-1)*5 + 4) = "SF"), INDEX($CZ$8:$CZ$23, COLUMNS($DU40:DU40)), "0"), "")</f>
        <v/>
      </c>
      <c r="DV40" s="395">
        <f t="array" ref="DV40">IFERROR(IF(AND(INDEX($E$8:$CE$57, MATCH($C40, $C$8:$C$57, 0), (COLUMNS($DU40:DV40)-1)*5 + 1) = INDEX($E$5:$CE$5, 1, (COLUMNS($DU40:DV40)-1)*5 + 1), INDEX($E$8:$CE$57, MATCH($C40, $C$8:$C$57, 0), (COLUMNS($DU40:DV40)-1)*5 + 4) = "SF"), INDEX($CZ$8:$CZ$23, COLUMNS($DU40:DV40)), "0"), "")</f>
        <v/>
      </c>
      <c r="DW40" s="395">
        <f t="array" ref="DW40">IFERROR(IF(AND(INDEX($E$8:$CE$57, MATCH($C40, $C$8:$C$57, 0), (COLUMNS($DU40:DW40)-1)*5 + 1) = INDEX($E$5:$CE$5, 1, (COLUMNS($DU40:DW40)-1)*5 + 1), INDEX($E$8:$CE$57, MATCH($C40, $C$8:$C$57, 0), (COLUMNS($DU40:DW40)-1)*5 + 4) = "SF"), INDEX($CZ$8:$CZ$23, COLUMNS($DU40:DW40)), "0"), "")</f>
        <v/>
      </c>
      <c r="DX40" s="395">
        <f t="array" ref="DX40">IFERROR(IF(AND(INDEX($E$8:$CE$57, MATCH($C40, $C$8:$C$57, 0), (COLUMNS($DU40:DX40)-1)*5 + 1) = INDEX($E$5:$CE$5, 1, (COLUMNS($DU40:DX40)-1)*5 + 1), INDEX($E$8:$CE$57, MATCH($C40, $C$8:$C$57, 0), (COLUMNS($DU40:DX40)-1)*5 + 4) = "SF"), INDEX($CZ$8:$CZ$23, COLUMNS($DU40:DX40)), "0"), "")</f>
        <v/>
      </c>
      <c r="DY40" s="395">
        <f t="array" ref="DY40">IFERROR(IF(AND(INDEX($E$8:$CE$57, MATCH($C40, $C$8:$C$57, 0), (COLUMNS($DU40:DY40)-1)*5 + 1) = INDEX($E$5:$CE$5, 1, (COLUMNS($DU40:DY40)-1)*5 + 1), INDEX($E$8:$CE$57, MATCH($C40, $C$8:$C$57, 0), (COLUMNS($DU40:DY40)-1)*5 + 4) = "SF"), INDEX($CZ$8:$CZ$23, COLUMNS($DU40:DY40)), "0"), "")</f>
        <v/>
      </c>
      <c r="DZ40" s="395">
        <f t="array" ref="DZ40">IFERROR(IF(AND(INDEX($E$8:$CE$57, MATCH($C40, $C$8:$C$57, 0), (COLUMNS($DU40:DZ40)-1)*5 + 1) = INDEX($E$5:$CE$5, 1, (COLUMNS($DU40:DZ40)-1)*5 + 1), INDEX($E$8:$CE$57, MATCH($C40, $C$8:$C$57, 0), (COLUMNS($DU40:DZ40)-1)*5 + 4) = "SF"), INDEX($CZ$8:$CZ$23, COLUMNS($DU40:DZ40)), "0"), "")</f>
        <v/>
      </c>
      <c r="EA40" s="395">
        <f t="array" ref="EA40">IFERROR(IF(AND(INDEX($E$8:$CE$57, MATCH($C40, $C$8:$C$57, 0), (COLUMNS($DU40:EA40)-1)*5 + 1) = INDEX($E$5:$CE$5, 1, (COLUMNS($DU40:EA40)-1)*5 + 1), INDEX($E$8:$CE$57, MATCH($C40, $C$8:$C$57, 0), (COLUMNS($DU40:EA40)-1)*5 + 4) = "SF"), INDEX($CZ$8:$CZ$23, COLUMNS($DU40:EA40)), "0"), "")</f>
        <v/>
      </c>
      <c r="EB40" s="395">
        <f t="array" ref="EB40">IFERROR(IF(AND(INDEX($E$8:$CE$57, MATCH($C40, $C$8:$C$57, 0), (COLUMNS($DU40:EB40)-1)*5 + 1) = INDEX($E$5:$CE$5, 1, (COLUMNS($DU40:EB40)-1)*5 + 1), INDEX($E$8:$CE$57, MATCH($C40, $C$8:$C$57, 0), (COLUMNS($DU40:EB40)-1)*5 + 4) = "SF"), INDEX($CZ$8:$CZ$23, COLUMNS($DU40:EB40)), "0"), "")</f>
        <v/>
      </c>
      <c r="EC40" s="395">
        <f t="array" ref="EC40">IFERROR(IF(AND(INDEX($E$8:$CE$57, MATCH($C40, $C$8:$C$57, 0), (COLUMNS($DU40:EC40)-1)*5 + 1) = INDEX($E$5:$CE$5, 1, (COLUMNS($DU40:EC40)-1)*5 + 1), INDEX($E$8:$CE$57, MATCH($C40, $C$8:$C$57, 0), (COLUMNS($DU40:EC40)-1)*5 + 4) = "SF"), INDEX($CZ$8:$CZ$23, COLUMNS($DU40:EC40)), "0"), "")</f>
        <v/>
      </c>
      <c r="ED40" s="395">
        <f t="array" ref="ED40">IFERROR(IF(AND(INDEX($E$8:$CE$57, MATCH($C40, $C$8:$C$57, 0), (COLUMNS($DU40:ED40)-1)*5 + 1) = INDEX($E$5:$CE$5, 1, (COLUMNS($DU40:ED40)-1)*5 + 1), INDEX($E$8:$CE$57, MATCH($C40, $C$8:$C$57, 0), (COLUMNS($DU40:ED40)-1)*5 + 4) = "SF"), INDEX($CZ$8:$CZ$23, COLUMNS($DU40:ED40)), "0"), "")</f>
        <v/>
      </c>
      <c r="EE40" s="395">
        <f t="array" ref="EE40">IFERROR(IF(AND(INDEX($E$8:$CE$57, MATCH($C40, $C$8:$C$57, 0), (COLUMNS($DU40:EE40)-1)*5 + 1) = INDEX($E$5:$CE$5, 1, (COLUMNS($DU40:EE40)-1)*5 + 1), INDEX($E$8:$CE$57, MATCH($C40, $C$8:$C$57, 0), (COLUMNS($DU40:EE40)-1)*5 + 4) = "SF"), INDEX($CZ$8:$CZ$23, COLUMNS($DU40:EE40)), "0"), "")</f>
        <v/>
      </c>
      <c r="EF40" s="395">
        <f t="array" ref="EF40">IFERROR(IF(AND(INDEX($E$8:$CE$57, MATCH($C40, $C$8:$C$57, 0), (COLUMNS($DU40:EF40)-1)*5 + 1) = INDEX($E$5:$CE$5, 1, (COLUMNS($DU40:EF40)-1)*5 + 1), INDEX($E$8:$CE$57, MATCH($C40, $C$8:$C$57, 0), (COLUMNS($DU40:EF40)-1)*5 + 4) = "SF"), INDEX($CZ$8:$CZ$23, COLUMNS($DU40:EF40)), "0"), "")</f>
        <v/>
      </c>
      <c r="EG40" s="395">
        <f t="array" ref="EG40">IFERROR(IF(AND(INDEX($E$8:$CE$57, MATCH($C40, $C$8:$C$57, 0), (COLUMNS($DU40:EG40)-1)*5 + 1) = INDEX($E$5:$CE$5, 1, (COLUMNS($DU40:EG40)-1)*5 + 1), INDEX($E$8:$CE$57, MATCH($C40, $C$8:$C$57, 0), (COLUMNS($DU40:EG40)-1)*5 + 4) = "SF"), INDEX($CZ$8:$CZ$23, COLUMNS($DU40:EG40)), "0"), "")</f>
        <v/>
      </c>
      <c r="EH40" s="395">
        <f t="array" ref="EH40">IFERROR(IF(AND(INDEX($E$8:$CE$57, MATCH($C40, $C$8:$C$57, 0), (COLUMNS($DU40:EH40)-1)*5 + 1) = INDEX($E$5:$CE$5, 1, (COLUMNS($DU40:EH40)-1)*5 + 1), INDEX($E$8:$CE$57, MATCH($C40, $C$8:$C$57, 0), (COLUMNS($DU40:EH40)-1)*5 + 4) = "SF"), INDEX($CZ$8:$CZ$23, COLUMNS($DU40:EH40)), "0"), "")</f>
        <v/>
      </c>
      <c r="EI40" s="395">
        <f t="array" ref="EI40">IFERROR(IF(AND(INDEX($E$8:$CE$57, MATCH($C40, $C$8:$C$57, 0), (COLUMNS($DU40:EI40)-1)*5 + 1) = INDEX($E$5:$CE$5, 1, (COLUMNS($DU40:EI40)-1)*5 + 1), INDEX($E$8:$CE$57, MATCH($C40, $C$8:$C$57, 0), (COLUMNS($DU40:EI40)-1)*5 + 4) = "SF"), INDEX($CZ$8:$CZ$23, COLUMNS($DU40:EI40)), "0"), "")</f>
        <v/>
      </c>
      <c r="EJ40" s="395">
        <f t="array" ref="EJ40">IFERROR(IF(AND(INDEX($E$8:$CE$57, MATCH($C40, $C$8:$C$57, 0), (COLUMNS($DU40:EJ40)-1)*5 + 1) = INDEX($E$5:$CE$5, 1, (COLUMNS($DU40:EJ40)-1)*5 + 1), INDEX($E$8:$CE$57, MATCH($C40, $C$8:$C$57, 0), (COLUMNS($DU40:EJ40)-1)*5 + 4) = "SF"), INDEX($CZ$8:$CZ$23, COLUMNS($DU40:EJ40)), "0"), "")</f>
        <v/>
      </c>
    </row>
    <row r="41" ht="20.1" customHeight="1" s="568">
      <c r="A41" s="576" t="n"/>
      <c r="B41" s="449">
        <f>IF(SEMANA2[[#This Row],[COD]]&lt;&gt;"",B40+1,"")</f>
        <v/>
      </c>
      <c r="C41" s="622" t="inlineStr">
        <is>
          <t>COD 34</t>
        </is>
      </c>
      <c r="D41" s="415">
        <f t="array" ref="D4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1" s="416" t="n">
        <v>2</v>
      </c>
      <c r="F41" s="417" t="n">
        <v>4</v>
      </c>
      <c r="G41" s="417" t="n">
        <v>9</v>
      </c>
      <c r="H41" s="417" t="n"/>
      <c r="I41" s="602">
        <f>SUM(IF(E41=E$5,4,0),IF(E41&amp;F41=E$5&amp;F$5,1,0),
IF(AND(E41=E$5,F$6&gt;=$D$115),1,0),
IF(AND(F41=E$5,F$6&gt;=$D$115),1,0),
IF(AND(G41=E$5,F$6&gt;=$D$115),1,0),
IF(E41&amp;H41=I$5,1,0),
IF(F41=E$5,2,0),
IF(G41=E$5,1,0),
IF(OR(E41&amp;F41&amp;G41=E$5&amp;F$5&amp;G$5,E41&amp;F41&amp;G41=E$5&amp;G$5&amp;F$5,E41&amp;F41&amp;G41=F$5&amp;E$5&amp;G$5,E41&amp;F41&amp;G41=F$5&amp;G$5&amp;E$5,E41&amp;F41&amp;G41=G$5&amp;E$5&amp;F$5,E41&amp;F41&amp;G41=G$5&amp;F$5&amp;E$5),2,0),IF(AND(E41=E$5,F$6&gt;=$D$129),1,0),IF(AND(F41=E$5,F$6&gt;=$D$129),1,0),IF(AND(G41=E$5,F$6&gt;=$D$129),1,0),IF(E41&amp;H41=H$5,4,0),IF(AND(E41=E$5,F$6&lt;=$D$104),-0.5,0),IF(AND(F41=E$5,F$6&lt;=$D$104),-0.5,0),IF(AND(G41=E$5,F$6&lt;=$D$104),-0.5,0))</f>
        <v/>
      </c>
      <c r="J41" s="416" t="n">
        <v>1</v>
      </c>
      <c r="K41" s="417" t="n">
        <v>10</v>
      </c>
      <c r="L41" s="417" t="n">
        <v>7</v>
      </c>
      <c r="M41" s="417" t="n"/>
      <c r="N41" s="602">
        <f>SUM(IF(J41=J$5,4,0),IF(J41&amp;K41=J$5&amp;K$5,1,0),
IF(AND(J41=J$5,K$6&gt;=$D$115),1,0),
IF(AND(K41=J$5,K$6&gt;=$D$115),1,0),
IF(AND(L41=J$5,K$6&gt;=$D$115),1,0),
IF(J41&amp;M41=N$5,1,0),
IF(K41=J$5,2,0),
IF(L41=J$5,1,0),
IF(OR(J41&amp;K41&amp;L41=J$5&amp;K$5&amp;L$5,J41&amp;K41&amp;L41=J$5&amp;L$5&amp;K$5,J41&amp;K41&amp;L41=K$5&amp;J$5&amp;L$5,J41&amp;K41&amp;L41=K$5&amp;L$5&amp;J$5,J41&amp;K41&amp;L41=L$5&amp;J$5&amp;K$5,J41&amp;K41&amp;L41=L$5&amp;K$5&amp;J$5),2,0),IF(AND(J41=J$5,K$6&gt;=$D$129),1,0),IF(AND(K41=J$5,K$6&gt;=$D$129),1,0),IF(AND(L41=J$5,K$6&gt;=$D$129),1,0),IF(J41&amp;M41=M$5,4,0),IF(AND(J41=J$5,K$6&lt;=$D$104),-0.5,0),IF(AND(K41=J$5,K$6&lt;=$D$104),-0.5,0),IF(AND(L41=J$5,K$6&lt;=$D$104),-0.5,0))</f>
        <v/>
      </c>
      <c r="O41" s="416" t="n">
        <v>5</v>
      </c>
      <c r="P41" s="417" t="n">
        <v>3</v>
      </c>
      <c r="Q41" s="417" t="n">
        <v>1</v>
      </c>
      <c r="R41" s="417" t="n"/>
      <c r="S41" s="602">
        <f>SUM(IF(O41=O$5,4,0),IF(O41&amp;P41=O$5&amp;P$5,1,0),
IF(AND(O41=O$5,P$6&gt;=$D$115),1,0),
IF(AND(P41=O$5,P$6&gt;=$D$115),1,0),
IF(AND(Q41=O$5,P$6&gt;=$D$115),1,0),
IF(O41&amp;R41=S$5,1,0),
IF(P41=O$5,2,0),
IF(Q41=O$5,1,0),
IF(OR(O41&amp;P41&amp;Q41=O$5&amp;P$5&amp;Q$5,O41&amp;P41&amp;Q41=O$5&amp;Q$5&amp;P$5,O41&amp;P41&amp;Q41=P$5&amp;O$5&amp;Q$5,O41&amp;P41&amp;Q41=P$5&amp;Q$5&amp;O$5,O41&amp;P41&amp;Q41=Q$5&amp;O$5&amp;P$5,O41&amp;P41&amp;Q41=Q$5&amp;P$5&amp;O$5),2,0),IF(AND(O41=O$5,P$6&gt;=$D$129),1,0),IF(AND(P41=O$5,P$6&gt;=$D$129),1,0),IF(AND(Q41=O$5,P$6&gt;=$D$129),1,0),IF(O41&amp;R41=R$5,4,0),IF(AND(O41=O$5,P$6&lt;=$D$104),-0.5,0),IF(AND(P41=O$5,P$6&lt;=$D$104),-0.5,0),IF(AND(Q41=O$5,P$6&lt;=$D$104),-0.5,0))</f>
        <v/>
      </c>
      <c r="T41" s="416" t="n">
        <v>3</v>
      </c>
      <c r="U41" s="417" t="n">
        <v>5</v>
      </c>
      <c r="V41" s="417" t="n">
        <v>4</v>
      </c>
      <c r="W41" s="417" t="n"/>
      <c r="X41" s="602">
        <f>SUM(IF(T41=T$5,4,0),IF(T41&amp;U41=T$5&amp;U$5,1,0),
IF(AND(T41=T$5,U$6&gt;=$D$115),1,0),
IF(AND(U41=T$5,U$6&gt;=$D$115),1,0),
IF(AND(V41=T$5,U$6&gt;=$D$115),1,0),
IF(T41&amp;W41=X$5,1,0),
IF(U41=T$5,2,0),
IF(V41=T$5,1,0),
IF(OR(T41&amp;U41&amp;V41=T$5&amp;U$5&amp;V$5,T41&amp;U41&amp;V41=T$5&amp;V$5&amp;U$5,T41&amp;U41&amp;V41=U$5&amp;T$5&amp;V$5,T41&amp;U41&amp;V41=U$5&amp;V$5&amp;T$5,T41&amp;U41&amp;V41=V$5&amp;T$5&amp;U$5,T41&amp;U41&amp;V41=V$5&amp;U$5&amp;T$5),2,0),IF(AND(T41=T$5,U$6&gt;=$D$129),1,0),IF(AND(U41=T$5,U$6&gt;=$D$129),1,0),IF(AND(V41=T$5,U$6&gt;=$D$129),1,0),IF(T41&amp;W41=W$5,4,0),IF(AND(T41=T$5,U$6&lt;=$D$104),-0.5,0),IF(AND(U41=T$5,U$6&lt;=$D$104),-0.5,0),IF(AND(V41=T$5,U$6&lt;=$D$104),-0.5,0))</f>
        <v/>
      </c>
      <c r="Y41" s="416" t="n">
        <v>1</v>
      </c>
      <c r="Z41" s="417" t="n">
        <v>2</v>
      </c>
      <c r="AA41" s="417" t="n">
        <v>7</v>
      </c>
      <c r="AB41" s="417" t="n"/>
      <c r="AC41" s="602">
        <f>SUM(IF(Y41=Y$5,4,0),IF(Y41&amp;Z41=Y$5&amp;Z$5,1,0),
IF(AND(Y41=Y$5,Z$6&gt;=$D$115),1,0),
IF(AND(Z41=Y$5,Z$6&gt;=$D$115),1,0),
IF(AND(AA41=Y$5,Z$6&gt;=$D$115),1,0),
IF(Y41&amp;AB41=AC$5,1,0),
IF(Z41=Y$5,2,0),
IF(AA41=Y$5,1,0),
IF(OR(Y41&amp;Z41&amp;AA41=Y$5&amp;Z$5&amp;AA$5,Y41&amp;Z41&amp;AA41=Y$5&amp;AA$5&amp;Z$5,Y41&amp;Z41&amp;AA41=Z$5&amp;Y$5&amp;AA$5,Y41&amp;Z41&amp;AA41=Z$5&amp;AA$5&amp;Y$5,Y41&amp;Z41&amp;AA41=AA$5&amp;Y$5&amp;Z$5,Y41&amp;Z41&amp;AA41=AA$5&amp;Z$5&amp;Y$5),2,0),IF(AND(Y41=Y$5,Z$6&gt;=$D$129),1,0),IF(AND(Z41=Y$5,Z$6&gt;=$D$129),1,0),IF(AND(AA41=Y$5,Z$6&gt;=$D$129),1,0),IF(Y41&amp;AB41=AB$5,4,0),IF(AND(Y41=Y$5,Z$6&lt;=$D$104),-0.5,0),IF(AND(Z41=Y$5,Z$6&lt;=$D$104),-0.5,0),IF(AND(AA41=Y$5,Z$6&lt;=$D$104),-0.5,0))</f>
        <v/>
      </c>
      <c r="AD41" s="416" t="n">
        <v>5</v>
      </c>
      <c r="AE41" s="417" t="n">
        <v>7</v>
      </c>
      <c r="AF41" s="417" t="n">
        <v>6</v>
      </c>
      <c r="AG41" s="417" t="n"/>
      <c r="AH41" s="602">
        <f>SUM(IF(AD41=AD$5,4,0),IF(AD41&amp;AE41=AD$5&amp;AE$5,1,0),
IF(AND(AD41=AD$5,AE$6&gt;=$D$115),1,0),
IF(AND(AE41=AD$5,AE$6&gt;=$D$115),1,0),
IF(AND(AF41=AD$5,AE$6&gt;=$D$115),1,0),
IF(AD41&amp;AG41=AH$5,1,0),
IF(AE41=AD$5,2,0),
IF(AF41=AD$5,1,0),
IF(OR(AD41&amp;AE41&amp;AF41=AD$5&amp;AE$5&amp;AF$5,AD41&amp;AE41&amp;AF41=AD$5&amp;AF$5&amp;AE$5,AD41&amp;AE41&amp;AF41=AE$5&amp;AD$5&amp;AF$5,AD41&amp;AE41&amp;AF41=AE$5&amp;AF$5&amp;AD$5,AD41&amp;AE41&amp;AF41=AF$5&amp;AD$5&amp;AE$5,AD41&amp;AE41&amp;AF41=AF$5&amp;AE$5&amp;AD$5),2,0),IF(AND(AD41=AD$5,AE$6&gt;=$D$129),1,0),IF(AND(AE41=AD$5,AE$6&gt;=$D$129),1,0),IF(AND(AF41=AD$5,AE$6&gt;=$D$129),1,0),IF(AD41&amp;AG41=AG$5,4,0),IF(AND(AD41=AD$5,AE$6&lt;=$D$104),-0.5,0),IF(AND(AE41=AD$5,AE$6&lt;=$D$104),-0.5,0),IF(AND(AF41=AD$5,AE$6&lt;=$D$104),-0.5,0))</f>
        <v/>
      </c>
      <c r="AI41" s="416" t="n">
        <v>7</v>
      </c>
      <c r="AJ41" s="417" t="n">
        <v>6</v>
      </c>
      <c r="AK41" s="417" t="n">
        <v>2</v>
      </c>
      <c r="AL41" s="417" t="inlineStr">
        <is>
          <t>F</t>
        </is>
      </c>
      <c r="AM41" s="602">
        <f>SUM(IF(AI41=AI$5,4,0),IF(AI41&amp;AJ41=AI$5&amp;AJ$5,1,0),
IF(AND(AI41=AI$5,AJ$6&gt;=$D$115),1,0),
IF(AND(AJ41=AI$5,AJ$6&gt;=$D$115),1,0),
IF(AND(AK41=AI$5,AJ$6&gt;=$D$115),1,0),
IF(AI41&amp;AL41=AM$5,1,0),
IF(AJ41=AI$5,2,0),
IF(AK41=AI$5,1,0),
IF(OR(AI41&amp;AJ41&amp;AK41=AI$5&amp;AJ$5&amp;AK$5,AI41&amp;AJ41&amp;AK41=AI$5&amp;AK$5&amp;AJ$5,AI41&amp;AJ41&amp;AK41=AJ$5&amp;AI$5&amp;AK$5,AI41&amp;AJ41&amp;AK41=AJ$5&amp;AK$5&amp;AI$5,AI41&amp;AJ41&amp;AK41=AK$5&amp;AI$5&amp;AJ$5,AI41&amp;AJ41&amp;AK41=AK$5&amp;AJ$5&amp;AI$5),2,0),IF(AND(AI41=AI$5,AJ$6&gt;=$D$129),1,0),IF(AND(AJ41=AI$5,AJ$6&gt;=$D$129),1,0),IF(AND(AK41=AI$5,AJ$6&gt;=$D$129),1,0),IF(AI41&amp;AL41=AL$5,4,0),IF(AND(AI41=AI$5,AJ$6&lt;=$D$104),-0.5,0),IF(AND(AJ41=AI$5,AJ$6&lt;=$D$104),-0.5,0),IF(AND(AK41=AI$5,AJ$6&lt;=$D$104),-0.5,0))</f>
        <v/>
      </c>
      <c r="AN41" s="416" t="n">
        <v>8</v>
      </c>
      <c r="AO41" s="417" t="n">
        <v>1</v>
      </c>
      <c r="AP41" s="417" t="n">
        <v>4</v>
      </c>
      <c r="AQ41" s="417" t="n"/>
      <c r="AR41" s="602">
        <f>SUM(IF(AN41=AN$5,4,0),IF(AN41&amp;AO41=AN$5&amp;AO$5,1,0),
IF(AND(AN41=AN$5,AO$6&gt;=$D$115),1,0),
IF(AND(AO41=AN$5,AO$6&gt;=$D$115),1,0),
IF(AND(AP41=AN$5,AO$6&gt;=$D$115),1,0),
IF(AN41&amp;AQ41=AR$5,1,0),
IF(AO41=AN$5,2,0),
IF(AP41=AN$5,1,0),
IF(OR(AN41&amp;AO41&amp;AP41=AN$5&amp;AO$5&amp;AP$5,AN41&amp;AO41&amp;AP41=AN$5&amp;AP$5&amp;AO$5,AN41&amp;AO41&amp;AP41=AO$5&amp;AN$5&amp;AP$5,AN41&amp;AO41&amp;AP41=AO$5&amp;AP$5&amp;AN$5,AN41&amp;AO41&amp;AP41=AP$5&amp;AN$5&amp;AO$5,AN41&amp;AO41&amp;AP41=AP$5&amp;AO$5&amp;AN$5),2,0),IF(AND(AN41=AN$5,AO$6&gt;=$D$129),1,0),IF(AND(AO41=AN$5,AO$6&gt;=$D$129),1,0),IF(AND(AP41=AN$5,AO$6&gt;=$D$129),1,0),IF(AN41&amp;AQ41=AQ$5,4,0),IF(AND(AN41=AN$5,AO$6&lt;=$D$104),-0.5,0),IF(AND(AO41=AN$5,AO$6&lt;=$D$104),-0.5,0),IF(AND(AP41=AN$5,AO$6&lt;=$D$104),-0.5,0))</f>
        <v/>
      </c>
      <c r="AS41" s="416" t="n">
        <v>2</v>
      </c>
      <c r="AT41" s="417" t="n">
        <v>1</v>
      </c>
      <c r="AU41" s="417" t="n">
        <v>11</v>
      </c>
      <c r="AV41" s="417" t="n"/>
      <c r="AW41" s="602">
        <f>SUM(IF(AS41=AS$5,4,0),IF(AS41&amp;AT41=AS$5&amp;AT$5,1,0),
IF(AND(AS41=AS$5,AT$6&gt;=$D$115),1,0),
IF(AND(AT41=AS$5,AT$6&gt;=$D$115),1,0),
IF(AND(AU41=AS$5,AT$6&gt;=$D$115),1,0),
IF(AS41&amp;AV41=AW$5,1,0),
IF(AT41=AS$5,2,0),
IF(AU41=AS$5,1,0),
IF(OR(AS41&amp;AT41&amp;AU41=AS$5&amp;AT$5&amp;AU$5,AS41&amp;AT41&amp;AU41=AS$5&amp;AU$5&amp;AT$5,AS41&amp;AT41&amp;AU41=AT$5&amp;AS$5&amp;AU$5,AS41&amp;AT41&amp;AU41=AT$5&amp;AU$5&amp;AS$5,AS41&amp;AT41&amp;AU41=AU$5&amp;AS$5&amp;AT$5,AS41&amp;AT41&amp;AU41=AU$5&amp;AT$5&amp;AS$5),2,0),IF(AND(AS41=AS$5,AT$6&gt;=$D$129),1,0),IF(AND(AT41=AS$5,AT$6&gt;=$D$129),1,0),IF(AND(AU41=AS$5,AT$6&gt;=$D$129),1,0),IF(AS41&amp;AV41=AV$5,4,0),IF(AND(AS41=AS$5,AT$6&lt;=$D$104),-0.5,0),IF(AND(AT41=AS$5,AT$6&lt;=$D$104),-0.5,0),IF(AND(AU41=AS$5,AT$6&lt;=$D$104),-0.5,0))</f>
        <v/>
      </c>
      <c r="AX41" s="416" t="n">
        <v>7</v>
      </c>
      <c r="AY41" s="417" t="n">
        <v>3</v>
      </c>
      <c r="AZ41" s="417" t="n">
        <v>5</v>
      </c>
      <c r="BA41" s="417" t="n"/>
      <c r="BB41" s="602">
        <f>SUM(IF(AX41=AX$5,4,0),IF(AX41&amp;AY41=AX$5&amp;AY$5,1,0),
IF(AND(AX41=AX$5,AY$6&gt;=$D$115),1,0),
IF(AND(AY41=AX$5,AY$6&gt;=$D$115),1,0),
IF(AND(AZ41=AX$5,AY$6&gt;=$D$115),1,0),
IF(AX41&amp;BA41=BB$5,1,0),
IF(AY41=AX$5,2,0),
IF(AZ41=AX$5,1,0),
IF(OR(AX41&amp;AY41&amp;AZ41=AX$5&amp;AY$5&amp;AZ$5,AX41&amp;AY41&amp;AZ41=AX$5&amp;AZ$5&amp;AY$5,AX41&amp;AY41&amp;AZ41=AY$5&amp;AX$5&amp;AZ$5,AX41&amp;AY41&amp;AZ41=AY$5&amp;AZ$5&amp;AX$5,AX41&amp;AY41&amp;AZ41=AZ$5&amp;AX$5&amp;AY$5,AX41&amp;AY41&amp;AZ41=AZ$5&amp;AY$5&amp;AX$5),2,0),IF(AND(AX41=AX$5,AY$6&gt;=$D$129),1,0),IF(AND(AY41=AX$5,AY$6&gt;=$D$129),1,0),IF(AND(AZ41=AX$5,AY$6&gt;=$D$129),1,0),IF(AX41&amp;BA41=BA$5,4,0),IF(AND(AX41=AX$5,AY$6&lt;=$D$104),-0.5,0),IF(AND(AY41=AX$5,AY$6&lt;=$D$104),-0.5,0),IF(AND(AZ41=AX$5,AY$6&lt;=$D$104),-0.5,0))</f>
        <v/>
      </c>
      <c r="BC41" s="416" t="n">
        <v>1</v>
      </c>
      <c r="BD41" s="417" t="n">
        <v>6</v>
      </c>
      <c r="BE41" s="417" t="n">
        <v>2</v>
      </c>
      <c r="BF41" s="417" t="inlineStr">
        <is>
          <t>F</t>
        </is>
      </c>
      <c r="BG41" s="602">
        <f>SUM(IF(BC41=BC$5,4,0),IF(BC41&amp;BD41=BC$5&amp;BD$5,1,0),
IF(AND(BC41=BC$5,BD$6&gt;=$D$115),1,0),
IF(AND(BD41=BC$5,BD$6&gt;=$D$115),1,0),
IF(AND(BE41=BC$5,BD$6&gt;=$D$115),1,0),
IF(BC41&amp;BF41=BG$5,1,0),
IF(BD41=BC$5,2,0),
IF(BE41=BC$5,1,0),
IF(OR(BC41&amp;BD41&amp;BE41=BC$5&amp;BD$5&amp;BE$5,BC41&amp;BD41&amp;BE41=BC$5&amp;BE$5&amp;BD$5,BC41&amp;BD41&amp;BE41=BD$5&amp;BC$5&amp;BE$5,BC41&amp;BD41&amp;BE41=BD$5&amp;BE$5&amp;BC$5,BC41&amp;BD41&amp;BE41=BE$5&amp;BC$5&amp;BD$5,BC41&amp;BD41&amp;BE41=BE$5&amp;BD$5&amp;BC$5),2,0),IF(AND(BC41=BC$5,BD$6&gt;=$D$129),1,0),IF(AND(BD41=BC$5,BD$6&gt;=$D$129),1,0),IF(AND(BE41=BC$5,BD$6&gt;=$D$129),1,0),IF(BC41&amp;BF41=BF$5,4,0),IF(AND(BC41=BC$5,BD$6&lt;=$D$104),-0.5,0),IF(AND(BD41=BC$5,BD$6&lt;=$D$104),-0.5,0),IF(AND(BE41=BC$5,BD$6&lt;=$D$104),-0.5,0))</f>
        <v/>
      </c>
      <c r="BH41" s="416" t="n">
        <v>4</v>
      </c>
      <c r="BI41" s="417" t="n">
        <v>9</v>
      </c>
      <c r="BJ41" s="417" t="n">
        <v>1</v>
      </c>
      <c r="BK41" s="417" t="n"/>
      <c r="BL41" s="602">
        <f>SUM(IF(BH41=BH$5,4,0),IF(BH41&amp;BI41=BH$5&amp;BI$5,1,0),
IF(AND(BH41=BH$5,BI$6&gt;=$D$115),1,0),
IF(AND(BI41=BH$5,BI$6&gt;=$D$115),1,0),
IF(AND(BJ41=BH$5,BI$6&gt;=$D$115),1,0),
IF(BH41&amp;BK41=BL$5,1,0),
IF(BI41=BH$5,2,0),
IF(BJ41=BH$5,1,0),
IF(OR(BH41&amp;BI41&amp;BJ41=BH$5&amp;BI$5&amp;BJ$5,BH41&amp;BI41&amp;BJ41=BH$5&amp;BJ$5&amp;BI$5,BH41&amp;BI41&amp;BJ41=BI$5&amp;BH$5&amp;BJ$5,BH41&amp;BI41&amp;BJ41=BI$5&amp;BJ$5&amp;BH$5,BH41&amp;BI41&amp;BJ41=BJ$5&amp;BH$5&amp;BI$5,BH41&amp;BI41&amp;BJ41=BJ$5&amp;BI$5&amp;BH$5),2,0),IF(AND(BH41=BH$5,BI$6&gt;=$D$129),1,0),IF(AND(BI41=BH$5,BI$6&gt;=$D$129),1,0),IF(AND(BJ41=BH$5,BI$6&gt;=$D$129),1,0),IF(BH41&amp;BK41=BK$5,4,0),IF(AND(BH41=BH$5,BI$6&lt;=$D$104),-0.5,0),IF(AND(BI41=BH$5,BI$6&lt;=$D$104),-0.5,0),IF(AND(BJ41=BH$5,BI$6&lt;=$D$104),-0.5,0))</f>
        <v/>
      </c>
      <c r="BM41" s="416" t="n">
        <v>5</v>
      </c>
      <c r="BN41" s="417" t="n"/>
      <c r="BO41" s="417" t="n"/>
      <c r="BP41" s="417" t="inlineStr">
        <is>
          <t>SF</t>
        </is>
      </c>
      <c r="BQ41" s="602">
        <f>SUM(IF(BM41=BM$5,4,0),IF(BM41&amp;BN41=BM$5&amp;BN$5,1,0),
IF(AND(BM41=BM$5,BN$6&gt;=$D$115),1,0),
IF(AND(BN41=BM$5,BN$6&gt;=$D$115),1,0),
IF(AND(BO41=BM$5,BN$6&gt;=$D$115),1,0),
IF(BM41&amp;BP41=BQ$5,1,0),
IF(BN41=BM$5,2,0),
IF(BO41=BM$5,1,0),
IF(OR(BM41&amp;BN41&amp;BO41=BM$5&amp;BN$5&amp;BO$5,BM41&amp;BN41&amp;BO41=BM$5&amp;BO$5&amp;BN$5,BM41&amp;BN41&amp;BO41=BN$5&amp;BM$5&amp;BO$5,BM41&amp;BN41&amp;BO41=BN$5&amp;BO$5&amp;BM$5,BM41&amp;BN41&amp;BO41=BO$5&amp;BM$5&amp;BN$5,BM41&amp;BN41&amp;BO41=BO$5&amp;BN$5&amp;BM$5),2,0),IF(AND(BM41=BM$5,BN$6&gt;=$D$129),1,0),IF(AND(BN41=BM$5,BN$6&gt;=$D$129),1,0),IF(AND(BO41=BM$5,BN$6&gt;=$D$129),1,0),IF(BM41&amp;BP41=BP$5,4,0),IF(AND(BM41=BM$5,BN$6&lt;=$D$104),-0.5,0),IF(AND(BN41=BM$5,BN$6&lt;=$D$104),-0.5,0),IF(AND(BO41=BM$5,BN$6&lt;=$D$104),-0.5,0))</f>
        <v/>
      </c>
      <c r="BR41" s="416" t="n"/>
      <c r="BS41" s="417" t="n"/>
      <c r="BT41" s="417" t="n"/>
      <c r="BU41" s="417" t="n"/>
      <c r="BV41" s="602">
        <f>SUM(IF(BR41=BR$5,4,0),IF(BR41&amp;BS41=BR$5&amp;BS$5,1,0),
IF(AND(BR41=BR$5,BS$6&gt;=$D$115),1,0),
IF(AND(BS41=BR$5,BS$6&gt;=$D$115),1,0),
IF(AND(BT41=BR$5,BS$6&gt;=$D$115),1,0),
IF(BR41&amp;BU41=BV$5,1,0),
IF(BS41=BR$5,2,0),
IF(BT41=BR$5,1,0),
IF(OR(BR41&amp;BS41&amp;BT41=BR$5&amp;BS$5&amp;BT$5,BR41&amp;BS41&amp;BT41=BR$5&amp;BT$5&amp;BS$5,BR41&amp;BS41&amp;BT41=BS$5&amp;BR$5&amp;BT$5,BR41&amp;BS41&amp;BT41=BS$5&amp;BT$5&amp;BR$5,BR41&amp;BS41&amp;BT41=BT$5&amp;BR$5&amp;BS$5,BR41&amp;BS41&amp;BT41=BT$5&amp;BS$5&amp;BR$5),2,0),IF(AND(BR41=BR$5,BS$6&gt;=$D$129),1,0),IF(AND(BS41=BR$5,BS$6&gt;=$D$129),1,0),IF(AND(BT41=BR$5,BS$6&gt;=$D$129),1,0),IF(BR41&amp;BU41=BU$5,4,0),IF(AND(BR41=BR$5,BS$6&lt;=$D$104),-0.5,0),IF(AND(BS41=BR$5,BS$6&lt;=$D$104),-0.5,0),IF(AND(BT41=BR$5,BS$6&lt;=$D$104),-0.5,0))</f>
        <v/>
      </c>
      <c r="BW41" s="416" t="n"/>
      <c r="BX41" s="417" t="n"/>
      <c r="BY41" s="417" t="n"/>
      <c r="BZ41" s="417" t="n"/>
      <c r="CA41" s="602">
        <f>SUM(IF(BW41=BW$5,4,0),IF(BW41&amp;BX41=BW$5&amp;BX$5,1,0),
IF(AND(BW41=BW$5,BX$6&gt;=$D$115),1,0),
IF(AND(BX41=BW$5,BX$6&gt;=$D$115),1,0),
IF(AND(BY41=BW$5,BX$6&gt;=$D$115),1,0),
IF(BW41&amp;BZ41=CA$5,1,0),
IF(BX41=BW$5,2,0),
IF(BY41=BW$5,1,0),
IF(OR(BW41&amp;BX41&amp;BY41=BW$5&amp;BX$5&amp;BY$5,BW41&amp;BX41&amp;BY41=BW$5&amp;BY$5&amp;BX$5,BW41&amp;BX41&amp;BY41=BX$5&amp;BW$5&amp;BY$5,BW41&amp;BX41&amp;BY41=BX$5&amp;BY$5&amp;BW$5,BW41&amp;BX41&amp;BY41=BY$5&amp;BW$5&amp;BX$5,BW41&amp;BX41&amp;BY41=BY$5&amp;BX$5&amp;BW$5),2,0),IF(AND(BW41=BW$5,BX$6&gt;=$D$129),1,0),IF(AND(BX41=BW$5,BX$6&gt;=$D$129),1,0),IF(AND(BY41=BW$5,BX$6&gt;=$D$129),1,0),IF(BW41&amp;BZ41=BZ$5,4,0),IF(AND(BW41=BW$5,BX$6&lt;=$D$104),-0.5,0),IF(AND(BX41=BW$5,BX$6&lt;=$D$104),-0.5,0),IF(AND(BY41=BW$5,BX$6&lt;=$D$104),-0.5,0))</f>
        <v/>
      </c>
      <c r="CB41" s="416" t="n"/>
      <c r="CC41" s="417" t="n"/>
      <c r="CD41" s="417" t="n"/>
      <c r="CE41" s="417" t="n"/>
      <c r="CF41" s="602">
        <f>SUM(IF(CB41=CB$5,4,0),IF(CB41&amp;CC41=CB$5&amp;CC$5,1,0),
IF(AND(CB41=CB$5,CC$6&gt;=$D$115),1,0),
IF(AND(CC41=CB$5,CC$6&gt;=$D$115),1,0),
IF(AND(CD41=CB$5,CC$6&gt;=$D$115),1,0),
IF(CB41&amp;CE41=CF$5,1,0),
IF(CC41=CB$5,2,0),
IF(CD41=CB$5,1,0),
IF(OR(CB41&amp;CC41&amp;CD41=CB$5&amp;CC$5&amp;CD$5,CB41&amp;CC41&amp;CD41=CB$5&amp;CD$5&amp;CC$5,CB41&amp;CC41&amp;CD41=CC$5&amp;CB$5&amp;CD$5,CB41&amp;CC41&amp;CD41=CC$5&amp;CD$5&amp;CB$5,CB41&amp;CC41&amp;CD41=CD$5&amp;CB$5&amp;CC$5,CB41&amp;CC41&amp;CD41=CD$5&amp;CC$5&amp;CB$5),2,0),IF(AND(CB41=CB$5,CC$6&gt;=$D$129),1,0),IF(AND(CC41=CB$5,CC$6&gt;=$D$129),1,0),IF(AND(CD41=CB$5,CC$6&gt;=$D$129),1,0),IF(CB41&amp;CE41=CE$5,4,0),IF(AND(CB41=CB$5,CC$6&lt;=$D$104),-0.5,0),IF(AND(CC41=CB$5,CC$6&lt;=$D$104),-0.5,0),IF(AND(CD41=CB$5,CC$6&lt;=$D$104),-0.5,0))</f>
        <v/>
      </c>
      <c r="CG41" s="164">
        <f>IF(SEMANA2[[#This Row],[1]]="",0,$B$4)</f>
        <v/>
      </c>
      <c r="CH41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1" s="166">
        <f>IF(SEMANA2[[#This Row],[Columna14]]=0,0,(CH41/CG41))</f>
        <v/>
      </c>
      <c r="CJ41" s="165">
        <f>IF(SEMANA2[[#This Row],[1]]="",0,$B$4)</f>
        <v/>
      </c>
      <c r="CK41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1" s="166">
        <f>IF(SEMANA2[[#This Row],[Columna14]]=0,0,(CK41/CJ41))</f>
        <v/>
      </c>
      <c r="CM41" s="164">
        <f>IF(SEMANA2[[#This Row],[1]]="",0,$B$4)</f>
        <v/>
      </c>
      <c r="CN41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1" s="166">
        <f>IF(SEMANA2[[#This Row],[Columna14]]=0,0,(CN41/CM41))</f>
        <v/>
      </c>
      <c r="CP41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1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Row],[Columna25]],$AX$5,BA41,"SF")+COUNTIFS(SEMANA2[[#This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1" s="166">
        <f>IFERROR(IF(SEMANA2[[#This Row],[Columna14]]=0,0,(CQ41/CP41)),0)</f>
        <v/>
      </c>
      <c r="CS41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1" s="95">
        <f>_xlfn.XLOOKUP(SEMANA2[[#This Row],[COD]],BASE01[COD],BASE01[Columna33])</f>
        <v/>
      </c>
      <c r="CU41" s="604">
        <f>SUM(CS41,CT41)</f>
        <v/>
      </c>
      <c r="CV41" s="450">
        <f>IF(SEMANA2[[#This Row],[TIPO]]="PREMIO",$O$3,"0,00")</f>
        <v/>
      </c>
      <c r="CW41" s="576" t="n"/>
      <c r="CY41" s="392">
        <f>IF(CZ41="","",$CZ$25)</f>
        <v/>
      </c>
      <c r="CZ41" s="392" t="n"/>
      <c r="DA41" s="392">
        <f t="array" ref="DA41">IF(CZ41="", "", IF((INDEX(E$8:CE$57, MATCH(CZ41, C$8:C$57, 0), ($CZ$25-1)*5 + 1) &amp; "") = (INDEX(E$5:CE$5, 1, ($CZ$25-1)*5 + 1) &amp; ""), 1, IF((INDEX(E$8:CE$57, MATCH(CZ41, C$8:C$57, 0), ($CZ$25-1)*5 + 2) &amp; "") = (INDEX(E$5:CE$5, 1, ($CZ$25-1)*5 + 1) &amp; ""), 2, IF((INDEX(E$8:CE$57, MATCH(CZ41, C$8:C$57, 0), ($CZ$25-1)*5 + 3) &amp; "") = (INDEX(E$5:CE$5, 1, ($CZ$25-1)*5 + 1) &amp; ""), 3, ""))))</f>
        <v/>
      </c>
      <c r="DB41" s="605">
        <f>SEMANA2[[#This Row],[COD]]</f>
        <v/>
      </c>
      <c r="DC41" s="395">
        <f t="array" ref="DC41">IFERROR(IF(AND(INDEX($E$8:$CE$57, MATCH($C41, $C$8:$C$57, 0), (COLUMNS($DC41:DC41)-1)*5 + 1) = INDEX($E$5:$CE$5, 1, (COLUMNS($DC41:DC41)-1)*5 + 1), INDEX($E$8:$CE$57, MATCH($C41, $C$8:$C$57, 0), (COLUMNS($DC41:DC41)-1)*5 + 4) = "F"), INDEX($CZ$8:$CZ$23, COLUMNS($DC41:DC41)), "0"), "")</f>
        <v/>
      </c>
      <c r="DD41" s="395">
        <f t="array" ref="DD41">IFERROR(IF(AND(INDEX($E$8:$CE$57, MATCH($C41, $C$8:$C$57, 0), (COLUMNS($DC41:DD41)-1)*5 + 1) = INDEX($E$5:$CE$5, 1, (COLUMNS($DC41:DD41)-1)*5 + 1), INDEX($E$8:$CE$57, MATCH($C41, $C$8:$C$57, 0), (COLUMNS($DC41:DD41)-1)*5 + 4) = "F"), INDEX($CZ$8:$CZ$23, COLUMNS($DC41:DD41)), "0"), "")</f>
        <v/>
      </c>
      <c r="DE41" s="395">
        <f t="array" ref="DE41">IFERROR(IF(AND(INDEX($E$8:$CE$57, MATCH($C41, $C$8:$C$57, 0), (COLUMNS($DC41:DE41)-1)*5 + 1) = INDEX($E$5:$CE$5, 1, (COLUMNS($DC41:DE41)-1)*5 + 1), INDEX($E$8:$CE$57, MATCH($C41, $C$8:$C$57, 0), (COLUMNS($DC41:DE41)-1)*5 + 4) = "F"), INDEX($CZ$8:$CZ$23, COLUMNS($DC41:DE41)), "0"), "")</f>
        <v/>
      </c>
      <c r="DF41" s="395">
        <f t="array" ref="DF41">IFERROR(IF(AND(INDEX($E$8:$CE$57, MATCH($C41, $C$8:$C$57, 0), (COLUMNS($DC41:DF41)-1)*5 + 1) = INDEX($E$5:$CE$5, 1, (COLUMNS($DC41:DF41)-1)*5 + 1), INDEX($E$8:$CE$57, MATCH($C41, $C$8:$C$57, 0), (COLUMNS($DC41:DF41)-1)*5 + 4) = "F"), INDEX($CZ$8:$CZ$23, COLUMNS($DC41:DF41)), "0"), "")</f>
        <v/>
      </c>
      <c r="DG41" s="395">
        <f t="array" ref="DG41">IFERROR(IF(AND(INDEX($E$8:$CE$57, MATCH($C41, $C$8:$C$57, 0), (COLUMNS($DC41:DG41)-1)*5 + 1) = INDEX($E$5:$CE$5, 1, (COLUMNS($DC41:DG41)-1)*5 + 1), INDEX($E$8:$CE$57, MATCH($C41, $C$8:$C$57, 0), (COLUMNS($DC41:DG41)-1)*5 + 4) = "F"), INDEX($CZ$8:$CZ$23, COLUMNS($DC41:DG41)), "0"), "")</f>
        <v/>
      </c>
      <c r="DH41" s="395">
        <f t="array" ref="DH41">IFERROR(IF(AND(INDEX($E$8:$CE$57, MATCH($C41, $C$8:$C$57, 0), (COLUMNS($DC41:DH41)-1)*5 + 1) = INDEX($E$5:$CE$5, 1, (COLUMNS($DC41:DH41)-1)*5 + 1), INDEX($E$8:$CE$57, MATCH($C41, $C$8:$C$57, 0), (COLUMNS($DC41:DH41)-1)*5 + 4) = "F"), INDEX($CZ$8:$CZ$23, COLUMNS($DC41:DH41)), "0"), "")</f>
        <v/>
      </c>
      <c r="DI41" s="395">
        <f t="array" ref="DI41">IFERROR(IF(AND(INDEX($E$8:$CE$57, MATCH($C41, $C$8:$C$57, 0), (COLUMNS($DC41:DI41)-1)*5 + 1) = INDEX($E$5:$CE$5, 1, (COLUMNS($DC41:DI41)-1)*5 + 1), INDEX($E$8:$CE$57, MATCH($C41, $C$8:$C$57, 0), (COLUMNS($DC41:DI41)-1)*5 + 4) = "F"), INDEX($CZ$8:$CZ$23, COLUMNS($DC41:DI41)), "0"), "")</f>
        <v/>
      </c>
      <c r="DJ41" s="395">
        <f t="array" ref="DJ41">IFERROR(IF(AND(INDEX($E$8:$CE$57, MATCH($C41, $C$8:$C$57, 0), (COLUMNS($DC41:DJ41)-1)*5 + 1) = INDEX($E$5:$CE$5, 1, (COLUMNS($DC41:DJ41)-1)*5 + 1), INDEX($E$8:$CE$57, MATCH($C41, $C$8:$C$57, 0), (COLUMNS($DC41:DJ41)-1)*5 + 4) = "F"), INDEX($CZ$8:$CZ$23, COLUMNS($DC41:DJ41)), "0"), "")</f>
        <v/>
      </c>
      <c r="DK41" s="395">
        <f t="array" ref="DK41">IFERROR(IF(AND(INDEX($E$8:$CE$57, MATCH($C41, $C$8:$C$57, 0), (COLUMNS($DC41:DK41)-1)*5 + 1) = INDEX($E$5:$CE$5, 1, (COLUMNS($DC41:DK41)-1)*5 + 1), INDEX($E$8:$CE$57, MATCH($C41, $C$8:$C$57, 0), (COLUMNS($DC41:DK41)-1)*5 + 4) = "F"), INDEX($CZ$8:$CZ$23, COLUMNS($DC41:DK41)), "0"), "")</f>
        <v/>
      </c>
      <c r="DL41" s="395">
        <f t="array" ref="DL41">IFERROR(IF(AND(INDEX($E$8:$CE$57, MATCH($C41, $C$8:$C$57, 0), (COLUMNS($DC41:DL41)-1)*5 + 1) = INDEX($E$5:$CE$5, 1, (COLUMNS($DC41:DL41)-1)*5 + 1), INDEX($E$8:$CE$57, MATCH($C41, $C$8:$C$57, 0), (COLUMNS($DC41:DL41)-1)*5 + 4) = "F"), INDEX($CZ$8:$CZ$23, COLUMNS($DC41:DL41)), "0"), "")</f>
        <v/>
      </c>
      <c r="DM41" s="395">
        <f t="array" ref="DM41">IFERROR(IF(AND(INDEX($E$8:$CE$57, MATCH($C41, $C$8:$C$57, 0), (COLUMNS($DC41:DM41)-1)*5 + 1) = INDEX($E$5:$CE$5, 1, (COLUMNS($DC41:DM41)-1)*5 + 1), INDEX($E$8:$CE$57, MATCH($C41, $C$8:$C$57, 0), (COLUMNS($DC41:DM41)-1)*5 + 4) = "F"), INDEX($CZ$8:$CZ$23, COLUMNS($DC41:DM41)), "0"), "")</f>
        <v/>
      </c>
      <c r="DN41" s="395">
        <f t="array" ref="DN41">IFERROR(IF(AND(INDEX($E$8:$CE$57, MATCH($C41, $C$8:$C$57, 0), (COLUMNS($DC41:DN41)-1)*5 + 1) = INDEX($E$5:$CE$5, 1, (COLUMNS($DC41:DN41)-1)*5 + 1), INDEX($E$8:$CE$57, MATCH($C41, $C$8:$C$57, 0), (COLUMNS($DC41:DN41)-1)*5 + 4) = "F"), INDEX($CZ$8:$CZ$23, COLUMNS($DC41:DN41)), "0"), "")</f>
        <v/>
      </c>
      <c r="DO41" s="395">
        <f t="array" ref="DO41">IFERROR(IF(AND(INDEX($E$8:$CE$57, MATCH($C41, $C$8:$C$57, 0), (COLUMNS($DC41:DO41)-1)*5 + 1) = INDEX($E$5:$CE$5, 1, (COLUMNS($DC41:DO41)-1)*5 + 1), INDEX($E$8:$CE$57, MATCH($C41, $C$8:$C$57, 0), (COLUMNS($DC41:DO41)-1)*5 + 4) = "F"), INDEX($CZ$8:$CZ$23, COLUMNS($DC41:DO41)), "0"), "")</f>
        <v/>
      </c>
      <c r="DP41" s="395">
        <f t="array" ref="DP41">IFERROR(IF(AND(INDEX($E$8:$CE$57, MATCH($C41, $C$8:$C$57, 0), (COLUMNS($DC41:DP41)-1)*5 + 1) = INDEX($E$5:$CE$5, 1, (COLUMNS($DC41:DP41)-1)*5 + 1), INDEX($E$8:$CE$57, MATCH($C41, $C$8:$C$57, 0), (COLUMNS($DC41:DP41)-1)*5 + 4) = "F"), INDEX($CZ$8:$CZ$23, COLUMNS($DC41:DP41)), "0"), "")</f>
        <v/>
      </c>
      <c r="DQ41" s="395">
        <f t="array" ref="DQ41">IFERROR(IF(AND(INDEX($E$8:$CE$57, MATCH($C41, $C$8:$C$57, 0), (COLUMNS($DC41:DQ41)-1)*5 + 1) = INDEX($E$5:$CE$5, 1, (COLUMNS($DC41:DQ41)-1)*5 + 1), INDEX($E$8:$CE$57, MATCH($C41, $C$8:$C$57, 0), (COLUMNS($DC41:DQ41)-1)*5 + 4) = "F"), INDEX($CZ$8:$CZ$23, COLUMNS($DC41:DQ41)), "0"), "")</f>
        <v/>
      </c>
      <c r="DR41" s="395">
        <f t="array" ref="DR41">IFERROR(IF(AND(INDEX($E$8:$CE$57, MATCH($C41, $C$8:$C$57, 0), (COLUMNS($DC41:DR41)-1)*5 + 1) = INDEX($E$5:$CE$5, 1, (COLUMNS($DC41:DR41)-1)*5 + 1), INDEX($E$8:$CE$57, MATCH($C41, $C$8:$C$57, 0), (COLUMNS($DC41:DR41)-1)*5 + 4) = "F"), INDEX($CZ$8:$CZ$23, COLUMNS($DC41:DR41)), "0"), "")</f>
        <v/>
      </c>
      <c r="DT41" s="605">
        <f>SEMANA2[[#This Row],[COD]]</f>
        <v/>
      </c>
      <c r="DU41" s="395">
        <f t="array" ref="DU41">IFERROR(IF(AND(INDEX($E$8:$CE$57, MATCH($C41, $C$8:$C$57, 0), (COLUMNS($DU41:DU41)-1)*5 + 1) = INDEX($E$5:$CE$5, 1, (COLUMNS($DU41:DU41)-1)*5 + 1), INDEX($E$8:$CE$57, MATCH($C41, $C$8:$C$57, 0), (COLUMNS($DU41:DU41)-1)*5 + 4) = "SF"), INDEX($CZ$8:$CZ$23, COLUMNS($DU41:DU41)), "0"), "")</f>
        <v/>
      </c>
      <c r="DV41" s="395">
        <f t="array" ref="DV41">IFERROR(IF(AND(INDEX($E$8:$CE$57, MATCH($C41, $C$8:$C$57, 0), (COLUMNS($DU41:DV41)-1)*5 + 1) = INDEX($E$5:$CE$5, 1, (COLUMNS($DU41:DV41)-1)*5 + 1), INDEX($E$8:$CE$57, MATCH($C41, $C$8:$C$57, 0), (COLUMNS($DU41:DV41)-1)*5 + 4) = "SF"), INDEX($CZ$8:$CZ$23, COLUMNS($DU41:DV41)), "0"), "")</f>
        <v/>
      </c>
      <c r="DW41" s="395">
        <f t="array" ref="DW41">IFERROR(IF(AND(INDEX($E$8:$CE$57, MATCH($C41, $C$8:$C$57, 0), (COLUMNS($DU41:DW41)-1)*5 + 1) = INDEX($E$5:$CE$5, 1, (COLUMNS($DU41:DW41)-1)*5 + 1), INDEX($E$8:$CE$57, MATCH($C41, $C$8:$C$57, 0), (COLUMNS($DU41:DW41)-1)*5 + 4) = "SF"), INDEX($CZ$8:$CZ$23, COLUMNS($DU41:DW41)), "0"), "")</f>
        <v/>
      </c>
      <c r="DX41" s="395">
        <f t="array" ref="DX41">IFERROR(IF(AND(INDEX($E$8:$CE$57, MATCH($C41, $C$8:$C$57, 0), (COLUMNS($DU41:DX41)-1)*5 + 1) = INDEX($E$5:$CE$5, 1, (COLUMNS($DU41:DX41)-1)*5 + 1), INDEX($E$8:$CE$57, MATCH($C41, $C$8:$C$57, 0), (COLUMNS($DU41:DX41)-1)*5 + 4) = "SF"), INDEX($CZ$8:$CZ$23, COLUMNS($DU41:DX41)), "0"), "")</f>
        <v/>
      </c>
      <c r="DY41" s="395">
        <f t="array" ref="DY41">IFERROR(IF(AND(INDEX($E$8:$CE$57, MATCH($C41, $C$8:$C$57, 0), (COLUMNS($DU41:DY41)-1)*5 + 1) = INDEX($E$5:$CE$5, 1, (COLUMNS($DU41:DY41)-1)*5 + 1), INDEX($E$8:$CE$57, MATCH($C41, $C$8:$C$57, 0), (COLUMNS($DU41:DY41)-1)*5 + 4) = "SF"), INDEX($CZ$8:$CZ$23, COLUMNS($DU41:DY41)), "0"), "")</f>
        <v/>
      </c>
      <c r="DZ41" s="395">
        <f t="array" ref="DZ41">IFERROR(IF(AND(INDEX($E$8:$CE$57, MATCH($C41, $C$8:$C$57, 0), (COLUMNS($DU41:DZ41)-1)*5 + 1) = INDEX($E$5:$CE$5, 1, (COLUMNS($DU41:DZ41)-1)*5 + 1), INDEX($E$8:$CE$57, MATCH($C41, $C$8:$C$57, 0), (COLUMNS($DU41:DZ41)-1)*5 + 4) = "SF"), INDEX($CZ$8:$CZ$23, COLUMNS($DU41:DZ41)), "0"), "")</f>
        <v/>
      </c>
      <c r="EA41" s="395">
        <f t="array" ref="EA41">IFERROR(IF(AND(INDEX($E$8:$CE$57, MATCH($C41, $C$8:$C$57, 0), (COLUMNS($DU41:EA41)-1)*5 + 1) = INDEX($E$5:$CE$5, 1, (COLUMNS($DU41:EA41)-1)*5 + 1), INDEX($E$8:$CE$57, MATCH($C41, $C$8:$C$57, 0), (COLUMNS($DU41:EA41)-1)*5 + 4) = "SF"), INDEX($CZ$8:$CZ$23, COLUMNS($DU41:EA41)), "0"), "")</f>
        <v/>
      </c>
      <c r="EB41" s="395">
        <f t="array" ref="EB41">IFERROR(IF(AND(INDEX($E$8:$CE$57, MATCH($C41, $C$8:$C$57, 0), (COLUMNS($DU41:EB41)-1)*5 + 1) = INDEX($E$5:$CE$5, 1, (COLUMNS($DU41:EB41)-1)*5 + 1), INDEX($E$8:$CE$57, MATCH($C41, $C$8:$C$57, 0), (COLUMNS($DU41:EB41)-1)*5 + 4) = "SF"), INDEX($CZ$8:$CZ$23, COLUMNS($DU41:EB41)), "0"), "")</f>
        <v/>
      </c>
      <c r="EC41" s="395">
        <f t="array" ref="EC41">IFERROR(IF(AND(INDEX($E$8:$CE$57, MATCH($C41, $C$8:$C$57, 0), (COLUMNS($DU41:EC41)-1)*5 + 1) = INDEX($E$5:$CE$5, 1, (COLUMNS($DU41:EC41)-1)*5 + 1), INDEX($E$8:$CE$57, MATCH($C41, $C$8:$C$57, 0), (COLUMNS($DU41:EC41)-1)*5 + 4) = "SF"), INDEX($CZ$8:$CZ$23, COLUMNS($DU41:EC41)), "0"), "")</f>
        <v/>
      </c>
      <c r="ED41" s="395">
        <f t="array" ref="ED41">IFERROR(IF(AND(INDEX($E$8:$CE$57, MATCH($C41, $C$8:$C$57, 0), (COLUMNS($DU41:ED41)-1)*5 + 1) = INDEX($E$5:$CE$5, 1, (COLUMNS($DU41:ED41)-1)*5 + 1), INDEX($E$8:$CE$57, MATCH($C41, $C$8:$C$57, 0), (COLUMNS($DU41:ED41)-1)*5 + 4) = "SF"), INDEX($CZ$8:$CZ$23, COLUMNS($DU41:ED41)), "0"), "")</f>
        <v/>
      </c>
      <c r="EE41" s="395">
        <f t="array" ref="EE41">IFERROR(IF(AND(INDEX($E$8:$CE$57, MATCH($C41, $C$8:$C$57, 0), (COLUMNS($DU41:EE41)-1)*5 + 1) = INDEX($E$5:$CE$5, 1, (COLUMNS($DU41:EE41)-1)*5 + 1), INDEX($E$8:$CE$57, MATCH($C41, $C$8:$C$57, 0), (COLUMNS($DU41:EE41)-1)*5 + 4) = "SF"), INDEX($CZ$8:$CZ$23, COLUMNS($DU41:EE41)), "0"), "")</f>
        <v/>
      </c>
      <c r="EF41" s="395">
        <f t="array" ref="EF41">IFERROR(IF(AND(INDEX($E$8:$CE$57, MATCH($C41, $C$8:$C$57, 0), (COLUMNS($DU41:EF41)-1)*5 + 1) = INDEX($E$5:$CE$5, 1, (COLUMNS($DU41:EF41)-1)*5 + 1), INDEX($E$8:$CE$57, MATCH($C41, $C$8:$C$57, 0), (COLUMNS($DU41:EF41)-1)*5 + 4) = "SF"), INDEX($CZ$8:$CZ$23, COLUMNS($DU41:EF41)), "0"), "")</f>
        <v/>
      </c>
      <c r="EG41" s="395">
        <f t="array" ref="EG41">IFERROR(IF(AND(INDEX($E$8:$CE$57, MATCH($C41, $C$8:$C$57, 0), (COLUMNS($DU41:EG41)-1)*5 + 1) = INDEX($E$5:$CE$5, 1, (COLUMNS($DU41:EG41)-1)*5 + 1), INDEX($E$8:$CE$57, MATCH($C41, $C$8:$C$57, 0), (COLUMNS($DU41:EG41)-1)*5 + 4) = "SF"), INDEX($CZ$8:$CZ$23, COLUMNS($DU41:EG41)), "0"), "")</f>
        <v/>
      </c>
      <c r="EH41" s="395">
        <f t="array" ref="EH41">IFERROR(IF(AND(INDEX($E$8:$CE$57, MATCH($C41, $C$8:$C$57, 0), (COLUMNS($DU41:EH41)-1)*5 + 1) = INDEX($E$5:$CE$5, 1, (COLUMNS($DU41:EH41)-1)*5 + 1), INDEX($E$8:$CE$57, MATCH($C41, $C$8:$C$57, 0), (COLUMNS($DU41:EH41)-1)*5 + 4) = "SF"), INDEX($CZ$8:$CZ$23, COLUMNS($DU41:EH41)), "0"), "")</f>
        <v/>
      </c>
      <c r="EI41" s="395">
        <f t="array" ref="EI41">IFERROR(IF(AND(INDEX($E$8:$CE$57, MATCH($C41, $C$8:$C$57, 0), (COLUMNS($DU41:EI41)-1)*5 + 1) = INDEX($E$5:$CE$5, 1, (COLUMNS($DU41:EI41)-1)*5 + 1), INDEX($E$8:$CE$57, MATCH($C41, $C$8:$C$57, 0), (COLUMNS($DU41:EI41)-1)*5 + 4) = "SF"), INDEX($CZ$8:$CZ$23, COLUMNS($DU41:EI41)), "0"), "")</f>
        <v/>
      </c>
      <c r="EJ41" s="395">
        <f t="array" ref="EJ41">IFERROR(IF(AND(INDEX($E$8:$CE$57, MATCH($C41, $C$8:$C$57, 0), (COLUMNS($DU41:EJ41)-1)*5 + 1) = INDEX($E$5:$CE$5, 1, (COLUMNS($DU41:EJ41)-1)*5 + 1), INDEX($E$8:$CE$57, MATCH($C41, $C$8:$C$57, 0), (COLUMNS($DU41:EJ41)-1)*5 + 4) = "SF"), INDEX($CZ$8:$CZ$23, COLUMNS($DU41:EJ41)), "0"), "")</f>
        <v/>
      </c>
    </row>
    <row r="42" ht="20.1" customHeight="1" s="568">
      <c r="A42" s="576" t="n"/>
      <c r="B42" s="449">
        <f>IF(SEMANA2[[#This Row],[COD]]&lt;&gt;"",B41+1,"")</f>
        <v/>
      </c>
      <c r="C42" s="622" t="inlineStr">
        <is>
          <t>COD 35</t>
        </is>
      </c>
      <c r="D42" s="415">
        <f t="array" ref="D42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2" s="416" t="n">
        <v>2</v>
      </c>
      <c r="F42" s="418" t="n">
        <v>9</v>
      </c>
      <c r="G42" s="418" t="n">
        <v>6</v>
      </c>
      <c r="H42" s="418" t="n"/>
      <c r="I42" s="602">
        <f>SUM(IF(E42=E$5,4,0),IF(E42&amp;F42=E$5&amp;F$5,1,0),
IF(AND(E42=E$5,F$6&gt;=$D$115),1,0),
IF(AND(F42=E$5,F$6&gt;=$D$115),1,0),
IF(AND(G42=E$5,F$6&gt;=$D$115),1,0),
IF(E42&amp;H42=I$5,1,0),
IF(F42=E$5,2,0),
IF(G42=E$5,1,0),
IF(OR(E42&amp;F42&amp;G42=E$5&amp;F$5&amp;G$5,E42&amp;F42&amp;G42=E$5&amp;G$5&amp;F$5,E42&amp;F42&amp;G42=F$5&amp;E$5&amp;G$5,E42&amp;F42&amp;G42=F$5&amp;G$5&amp;E$5,E42&amp;F42&amp;G42=G$5&amp;E$5&amp;F$5,E42&amp;F42&amp;G42=G$5&amp;F$5&amp;E$5),2,0),IF(AND(E42=E$5,F$6&gt;=$D$129),1,0),IF(AND(F42=E$5,F$6&gt;=$D$129),1,0),IF(AND(G42=E$5,F$6&gt;=$D$129),1,0),IF(E42&amp;H42=H$5,4,0),IF(AND(E42=E$5,F$6&lt;=$D$104),-0.5,0),IF(AND(F42=E$5,F$6&lt;=$D$104),-0.5,0),IF(AND(G42=E$5,F$6&lt;=$D$104),-0.5,0))</f>
        <v/>
      </c>
      <c r="J42" s="416" t="n">
        <v>2</v>
      </c>
      <c r="K42" s="418" t="n"/>
      <c r="L42" s="418" t="n"/>
      <c r="M42" s="418" t="inlineStr">
        <is>
          <t>SF</t>
        </is>
      </c>
      <c r="N42" s="602">
        <f>SUM(IF(J42=J$5,4,0),IF(J42&amp;K42=J$5&amp;K$5,1,0),
IF(AND(J42=J$5,K$6&gt;=$D$115),1,0),
IF(AND(K42=J$5,K$6&gt;=$D$115),1,0),
IF(AND(L42=J$5,K$6&gt;=$D$115),1,0),
IF(J42&amp;M42=N$5,1,0),
IF(K42=J$5,2,0),
IF(L42=J$5,1,0),
IF(OR(J42&amp;K42&amp;L42=J$5&amp;K$5&amp;L$5,J42&amp;K42&amp;L42=J$5&amp;L$5&amp;K$5,J42&amp;K42&amp;L42=K$5&amp;J$5&amp;L$5,J42&amp;K42&amp;L42=K$5&amp;L$5&amp;J$5,J42&amp;K42&amp;L42=L$5&amp;J$5&amp;K$5,J42&amp;K42&amp;L42=L$5&amp;K$5&amp;J$5),2,0),IF(AND(J42=J$5,K$6&gt;=$D$129),1,0),IF(AND(K42=J$5,K$6&gt;=$D$129),1,0),IF(AND(L42=J$5,K$6&gt;=$D$129),1,0),IF(J42&amp;M42=M$5,4,0),IF(AND(J42=J$5,K$6&lt;=$D$104),-0.5,0),IF(AND(K42=J$5,K$6&lt;=$D$104),-0.5,0),IF(AND(L42=J$5,K$6&lt;=$D$104),-0.5,0))</f>
        <v/>
      </c>
      <c r="O42" s="416" t="n">
        <v>7</v>
      </c>
      <c r="P42" s="418" t="n">
        <v>5</v>
      </c>
      <c r="Q42" s="418" t="n">
        <v>1</v>
      </c>
      <c r="R42" s="418" t="n"/>
      <c r="S42" s="602">
        <f>SUM(IF(O42=O$5,4,0),IF(O42&amp;P42=O$5&amp;P$5,1,0),
IF(AND(O42=O$5,P$6&gt;=$D$115),1,0),
IF(AND(P42=O$5,P$6&gt;=$D$115),1,0),
IF(AND(Q42=O$5,P$6&gt;=$D$115),1,0),
IF(O42&amp;R42=S$5,1,0),
IF(P42=O$5,2,0),
IF(Q42=O$5,1,0),
IF(OR(O42&amp;P42&amp;Q42=O$5&amp;P$5&amp;Q$5,O42&amp;P42&amp;Q42=O$5&amp;Q$5&amp;P$5,O42&amp;P42&amp;Q42=P$5&amp;O$5&amp;Q$5,O42&amp;P42&amp;Q42=P$5&amp;Q$5&amp;O$5,O42&amp;P42&amp;Q42=Q$5&amp;O$5&amp;P$5,O42&amp;P42&amp;Q42=Q$5&amp;P$5&amp;O$5),2,0),IF(AND(O42=O$5,P$6&gt;=$D$129),1,0),IF(AND(P42=O$5,P$6&gt;=$D$129),1,0),IF(AND(Q42=O$5,P$6&gt;=$D$129),1,0),IF(O42&amp;R42=R$5,4,0),IF(AND(O42=O$5,P$6&lt;=$D$104),-0.5,0),IF(AND(P42=O$5,P$6&lt;=$D$104),-0.5,0),IF(AND(Q42=O$5,P$6&lt;=$D$104),-0.5,0))</f>
        <v/>
      </c>
      <c r="T42" s="416" t="n">
        <v>3</v>
      </c>
      <c r="U42" s="418" t="n">
        <v>4</v>
      </c>
      <c r="V42" s="418" t="n">
        <v>5</v>
      </c>
      <c r="W42" s="418" t="n"/>
      <c r="X42" s="602">
        <f>SUM(IF(T42=T$5,4,0),IF(T42&amp;U42=T$5&amp;U$5,1,0),
IF(AND(T42=T$5,U$6&gt;=$D$115),1,0),
IF(AND(U42=T$5,U$6&gt;=$D$115),1,0),
IF(AND(V42=T$5,U$6&gt;=$D$115),1,0),
IF(T42&amp;W42=X$5,1,0),
IF(U42=T$5,2,0),
IF(V42=T$5,1,0),
IF(OR(T42&amp;U42&amp;V42=T$5&amp;U$5&amp;V$5,T42&amp;U42&amp;V42=T$5&amp;V$5&amp;U$5,T42&amp;U42&amp;V42=U$5&amp;T$5&amp;V$5,T42&amp;U42&amp;V42=U$5&amp;V$5&amp;T$5,T42&amp;U42&amp;V42=V$5&amp;T$5&amp;U$5,T42&amp;U42&amp;V42=V$5&amp;U$5&amp;T$5),2,0),IF(AND(T42=T$5,U$6&gt;=$D$129),1,0),IF(AND(U42=T$5,U$6&gt;=$D$129),1,0),IF(AND(V42=T$5,U$6&gt;=$D$129),1,0),IF(T42&amp;W42=W$5,4,0),IF(AND(T42=T$5,U$6&lt;=$D$104),-0.5,0),IF(AND(U42=T$5,U$6&lt;=$D$104),-0.5,0),IF(AND(V42=T$5,U$6&lt;=$D$104),-0.5,0))</f>
        <v/>
      </c>
      <c r="Y42" s="416" t="n">
        <v>2</v>
      </c>
      <c r="Z42" s="418" t="n">
        <v>1</v>
      </c>
      <c r="AA42" s="418" t="n">
        <v>4</v>
      </c>
      <c r="AB42" s="418" t="n"/>
      <c r="AC42" s="602">
        <f>SUM(IF(Y42=Y$5,4,0),IF(Y42&amp;Z42=Y$5&amp;Z$5,1,0),
IF(AND(Y42=Y$5,Z$6&gt;=$D$115),1,0),
IF(AND(Z42=Y$5,Z$6&gt;=$D$115),1,0),
IF(AND(AA42=Y$5,Z$6&gt;=$D$115),1,0),
IF(Y42&amp;AB42=AC$5,1,0),
IF(Z42=Y$5,2,0),
IF(AA42=Y$5,1,0),
IF(OR(Y42&amp;Z42&amp;AA42=Y$5&amp;Z$5&amp;AA$5,Y42&amp;Z42&amp;AA42=Y$5&amp;AA$5&amp;Z$5,Y42&amp;Z42&amp;AA42=Z$5&amp;Y$5&amp;AA$5,Y42&amp;Z42&amp;AA42=Z$5&amp;AA$5&amp;Y$5,Y42&amp;Z42&amp;AA42=AA$5&amp;Y$5&amp;Z$5,Y42&amp;Z42&amp;AA42=AA$5&amp;Z$5&amp;Y$5),2,0),IF(AND(Y42=Y$5,Z$6&gt;=$D$129),1,0),IF(AND(Z42=Y$5,Z$6&gt;=$D$129),1,0),IF(AND(AA42=Y$5,Z$6&gt;=$D$129),1,0),IF(Y42&amp;AB42=AB$5,4,0),IF(AND(Y42=Y$5,Z$6&lt;=$D$104),-0.5,0),IF(AND(Z42=Y$5,Z$6&lt;=$D$104),-0.5,0),IF(AND(AA42=Y$5,Z$6&lt;=$D$104),-0.5,0))</f>
        <v/>
      </c>
      <c r="AD42" s="416" t="n">
        <v>4</v>
      </c>
      <c r="AE42" s="418" t="n">
        <v>5</v>
      </c>
      <c r="AF42" s="418" t="n">
        <v>7</v>
      </c>
      <c r="AG42" s="418" t="n"/>
      <c r="AH42" s="602">
        <f>SUM(IF(AD42=AD$5,4,0),IF(AD42&amp;AE42=AD$5&amp;AE$5,1,0),
IF(AND(AD42=AD$5,AE$6&gt;=$D$115),1,0),
IF(AND(AE42=AD$5,AE$6&gt;=$D$115),1,0),
IF(AND(AF42=AD$5,AE$6&gt;=$D$115),1,0),
IF(AD42&amp;AG42=AH$5,1,0),
IF(AE42=AD$5,2,0),
IF(AF42=AD$5,1,0),
IF(OR(AD42&amp;AE42&amp;AF42=AD$5&amp;AE$5&amp;AF$5,AD42&amp;AE42&amp;AF42=AD$5&amp;AF$5&amp;AE$5,AD42&amp;AE42&amp;AF42=AE$5&amp;AD$5&amp;AF$5,AD42&amp;AE42&amp;AF42=AE$5&amp;AF$5&amp;AD$5,AD42&amp;AE42&amp;AF42=AF$5&amp;AD$5&amp;AE$5,AD42&amp;AE42&amp;AF42=AF$5&amp;AE$5&amp;AD$5),2,0),IF(AND(AD42=AD$5,AE$6&gt;=$D$129),1,0),IF(AND(AE42=AD$5,AE$6&gt;=$D$129),1,0),IF(AND(AF42=AD$5,AE$6&gt;=$D$129),1,0),IF(AD42&amp;AG42=AG$5,4,0),IF(AND(AD42=AD$5,AE$6&lt;=$D$104),-0.5,0),IF(AND(AE42=AD$5,AE$6&lt;=$D$104),-0.5,0),IF(AND(AF42=AD$5,AE$6&lt;=$D$104),-0.5,0))</f>
        <v/>
      </c>
      <c r="AI42" s="416" t="n">
        <v>7</v>
      </c>
      <c r="AJ42" s="418" t="n">
        <v>6</v>
      </c>
      <c r="AK42" s="418" t="n">
        <v>1</v>
      </c>
      <c r="AL42" s="418" t="inlineStr">
        <is>
          <t>F</t>
        </is>
      </c>
      <c r="AM42" s="602">
        <f>SUM(IF(AI42=AI$5,4,0),IF(AI42&amp;AJ42=AI$5&amp;AJ$5,1,0),
IF(AND(AI42=AI$5,AJ$6&gt;=$D$115),1,0),
IF(AND(AJ42=AI$5,AJ$6&gt;=$D$115),1,0),
IF(AND(AK42=AI$5,AJ$6&gt;=$D$115),1,0),
IF(AI42&amp;AL42=AM$5,1,0),
IF(AJ42=AI$5,2,0),
IF(AK42=AI$5,1,0),
IF(OR(AI42&amp;AJ42&amp;AK42=AI$5&amp;AJ$5&amp;AK$5,AI42&amp;AJ42&amp;AK42=AI$5&amp;AK$5&amp;AJ$5,AI42&amp;AJ42&amp;AK42=AJ$5&amp;AI$5&amp;AK$5,AI42&amp;AJ42&amp;AK42=AJ$5&amp;AK$5&amp;AI$5,AI42&amp;AJ42&amp;AK42=AK$5&amp;AI$5&amp;AJ$5,AI42&amp;AJ42&amp;AK42=AK$5&amp;AJ$5&amp;AI$5),2,0),IF(AND(AI42=AI$5,AJ$6&gt;=$D$129),1,0),IF(AND(AJ42=AI$5,AJ$6&gt;=$D$129),1,0),IF(AND(AK42=AI$5,AJ$6&gt;=$D$129),1,0),IF(AI42&amp;AL42=AL$5,4,0),IF(AND(AI42=AI$5,AJ$6&lt;=$D$104),-0.5,0),IF(AND(AJ42=AI$5,AJ$6&lt;=$D$104),-0.5,0),IF(AND(AK42=AI$5,AJ$6&lt;=$D$104),-0.5,0))</f>
        <v/>
      </c>
      <c r="AN42" s="416" t="n">
        <v>8</v>
      </c>
      <c r="AO42" s="418" t="n">
        <v>1</v>
      </c>
      <c r="AP42" s="418" t="n">
        <v>2</v>
      </c>
      <c r="AQ42" s="418" t="n"/>
      <c r="AR42" s="602">
        <f>SUM(IF(AN42=AN$5,4,0),IF(AN42&amp;AO42=AN$5&amp;AO$5,1,0),
IF(AND(AN42=AN$5,AO$6&gt;=$D$115),1,0),
IF(AND(AO42=AN$5,AO$6&gt;=$D$115),1,0),
IF(AND(AP42=AN$5,AO$6&gt;=$D$115),1,0),
IF(AN42&amp;AQ42=AR$5,1,0),
IF(AO42=AN$5,2,0),
IF(AP42=AN$5,1,0),
IF(OR(AN42&amp;AO42&amp;AP42=AN$5&amp;AO$5&amp;AP$5,AN42&amp;AO42&amp;AP42=AN$5&amp;AP$5&amp;AO$5,AN42&amp;AO42&amp;AP42=AO$5&amp;AN$5&amp;AP$5,AN42&amp;AO42&amp;AP42=AO$5&amp;AP$5&amp;AN$5,AN42&amp;AO42&amp;AP42=AP$5&amp;AN$5&amp;AO$5,AN42&amp;AO42&amp;AP42=AP$5&amp;AO$5&amp;AN$5),2,0),IF(AND(AN42=AN$5,AO$6&gt;=$D$129),1,0),IF(AND(AO42=AN$5,AO$6&gt;=$D$129),1,0),IF(AND(AP42=AN$5,AO$6&gt;=$D$129),1,0),IF(AN42&amp;AQ42=AQ$5,4,0),IF(AND(AN42=AN$5,AO$6&lt;=$D$104),-0.5,0),IF(AND(AO42=AN$5,AO$6&lt;=$D$104),-0.5,0),IF(AND(AP42=AN$5,AO$6&lt;=$D$104),-0.5,0))</f>
        <v/>
      </c>
      <c r="AS42" s="416" t="n">
        <v>10</v>
      </c>
      <c r="AT42" s="418" t="n">
        <v>2</v>
      </c>
      <c r="AU42" s="418" t="n">
        <v>9</v>
      </c>
      <c r="AV42" s="418" t="n"/>
      <c r="AW42" s="602">
        <f>SUM(IF(AS42=AS$5,4,0),IF(AS42&amp;AT42=AS$5&amp;AT$5,1,0),
IF(AND(AS42=AS$5,AT$6&gt;=$D$115),1,0),
IF(AND(AT42=AS$5,AT$6&gt;=$D$115),1,0),
IF(AND(AU42=AS$5,AT$6&gt;=$D$115),1,0),
IF(AS42&amp;AV42=AW$5,1,0),
IF(AT42=AS$5,2,0),
IF(AU42=AS$5,1,0),
IF(OR(AS42&amp;AT42&amp;AU42=AS$5&amp;AT$5&amp;AU$5,AS42&amp;AT42&amp;AU42=AS$5&amp;AU$5&amp;AT$5,AS42&amp;AT42&amp;AU42=AT$5&amp;AS$5&amp;AU$5,AS42&amp;AT42&amp;AU42=AT$5&amp;AU$5&amp;AS$5,AS42&amp;AT42&amp;AU42=AU$5&amp;AS$5&amp;AT$5,AS42&amp;AT42&amp;AU42=AU$5&amp;AT$5&amp;AS$5),2,0),IF(AND(AS42=AS$5,AT$6&gt;=$D$129),1,0),IF(AND(AT42=AS$5,AT$6&gt;=$D$129),1,0),IF(AND(AU42=AS$5,AT$6&gt;=$D$129),1,0),IF(AS42&amp;AV42=AV$5,4,0),IF(AND(AS42=AS$5,AT$6&lt;=$D$104),-0.5,0),IF(AND(AT42=AS$5,AT$6&lt;=$D$104),-0.5,0),IF(AND(AU42=AS$5,AT$6&lt;=$D$104),-0.5,0))</f>
        <v/>
      </c>
      <c r="AX42" s="416" t="n">
        <v>1</v>
      </c>
      <c r="AY42" s="418" t="n">
        <v>10</v>
      </c>
      <c r="AZ42" s="418" t="n">
        <v>2</v>
      </c>
      <c r="BA42" s="418" t="n"/>
      <c r="BB42" s="602">
        <f>SUM(IF(AX42=AX$5,4,0),IF(AX42&amp;AY42=AX$5&amp;AY$5,1,0),
IF(AND(AX42=AX$5,AY$6&gt;=$D$115),1,0),
IF(AND(AY42=AX$5,AY$6&gt;=$D$115),1,0),
IF(AND(AZ42=AX$5,AY$6&gt;=$D$115),1,0),
IF(AX42&amp;BA42=BB$5,1,0),
IF(AY42=AX$5,2,0),
IF(AZ42=AX$5,1,0),
IF(OR(AX42&amp;AY42&amp;AZ42=AX$5&amp;AY$5&amp;AZ$5,AX42&amp;AY42&amp;AZ42=AX$5&amp;AZ$5&amp;AY$5,AX42&amp;AY42&amp;AZ42=AY$5&amp;AX$5&amp;AZ$5,AX42&amp;AY42&amp;AZ42=AY$5&amp;AZ$5&amp;AX$5,AX42&amp;AY42&amp;AZ42=AZ$5&amp;AX$5&amp;AY$5,AX42&amp;AY42&amp;AZ42=AZ$5&amp;AY$5&amp;AX$5),2,0),IF(AND(AX42=AX$5,AY$6&gt;=$D$129),1,0),IF(AND(AY42=AX$5,AY$6&gt;=$D$129),1,0),IF(AND(AZ42=AX$5,AY$6&gt;=$D$129),1,0),IF(AX42&amp;BA42=BA$5,4,0),IF(AND(AX42=AX$5,AY$6&lt;=$D$104),-0.5,0),IF(AND(AY42=AX$5,AY$6&lt;=$D$104),-0.5,0),IF(AND(AZ42=AX$5,AY$6&lt;=$D$104),-0.5,0))</f>
        <v/>
      </c>
      <c r="BC42" s="416" t="n">
        <v>7</v>
      </c>
      <c r="BD42" s="418" t="n">
        <v>3</v>
      </c>
      <c r="BE42" s="418" t="n">
        <v>2</v>
      </c>
      <c r="BF42" s="418" t="n"/>
      <c r="BG42" s="602">
        <f>SUM(IF(BC42=BC$5,4,0),IF(BC42&amp;BD42=BC$5&amp;BD$5,1,0),
IF(AND(BC42=BC$5,BD$6&gt;=$D$115),1,0),
IF(AND(BD42=BC$5,BD$6&gt;=$D$115),1,0),
IF(AND(BE42=BC$5,BD$6&gt;=$D$115),1,0),
IF(BC42&amp;BF42=BG$5,1,0),
IF(BD42=BC$5,2,0),
IF(BE42=BC$5,1,0),
IF(OR(BC42&amp;BD42&amp;BE42=BC$5&amp;BD$5&amp;BE$5,BC42&amp;BD42&amp;BE42=BC$5&amp;BE$5&amp;BD$5,BC42&amp;BD42&amp;BE42=BD$5&amp;BC$5&amp;BE$5,BC42&amp;BD42&amp;BE42=BD$5&amp;BE$5&amp;BC$5,BC42&amp;BD42&amp;BE42=BE$5&amp;BC$5&amp;BD$5,BC42&amp;BD42&amp;BE42=BE$5&amp;BD$5&amp;BC$5),2,0),IF(AND(BC42=BC$5,BD$6&gt;=$D$129),1,0),IF(AND(BD42=BC$5,BD$6&gt;=$D$129),1,0),IF(AND(BE42=BC$5,BD$6&gt;=$D$129),1,0),IF(BC42&amp;BF42=BF$5,4,0),IF(AND(BC42=BC$5,BD$6&lt;=$D$104),-0.5,0),IF(AND(BD42=BC$5,BD$6&lt;=$D$104),-0.5,0),IF(AND(BE42=BC$5,BD$6&lt;=$D$104),-0.5,0))</f>
        <v/>
      </c>
      <c r="BH42" s="416" t="n">
        <v>6</v>
      </c>
      <c r="BI42" s="418" t="n">
        <v>1</v>
      </c>
      <c r="BJ42" s="418" t="n">
        <v>8</v>
      </c>
      <c r="BK42" s="418" t="inlineStr">
        <is>
          <t>F</t>
        </is>
      </c>
      <c r="BL42" s="602">
        <f>SUM(IF(BH42=BH$5,4,0),IF(BH42&amp;BI42=BH$5&amp;BI$5,1,0),
IF(AND(BH42=BH$5,BI$6&gt;=$D$115),1,0),
IF(AND(BI42=BH$5,BI$6&gt;=$D$115),1,0),
IF(AND(BJ42=BH$5,BI$6&gt;=$D$115),1,0),
IF(BH42&amp;BK42=BL$5,1,0),
IF(BI42=BH$5,2,0),
IF(BJ42=BH$5,1,0),
IF(OR(BH42&amp;BI42&amp;BJ42=BH$5&amp;BI$5&amp;BJ$5,BH42&amp;BI42&amp;BJ42=BH$5&amp;BJ$5&amp;BI$5,BH42&amp;BI42&amp;BJ42=BI$5&amp;BH$5&amp;BJ$5,BH42&amp;BI42&amp;BJ42=BI$5&amp;BJ$5&amp;BH$5,BH42&amp;BI42&amp;BJ42=BJ$5&amp;BH$5&amp;BI$5,BH42&amp;BI42&amp;BJ42=BJ$5&amp;BI$5&amp;BH$5),2,0),IF(AND(BH42=BH$5,BI$6&gt;=$D$129),1,0),IF(AND(BI42=BH$5,BI$6&gt;=$D$129),1,0),IF(AND(BJ42=BH$5,BI$6&gt;=$D$129),1,0),IF(BH42&amp;BK42=BK$5,4,0),IF(AND(BH42=BH$5,BI$6&lt;=$D$104),-0.5,0),IF(AND(BI42=BH$5,BI$6&lt;=$D$104),-0.5,0),IF(AND(BJ42=BH$5,BI$6&lt;=$D$104),-0.5,0))</f>
        <v/>
      </c>
      <c r="BM42" s="416" t="n">
        <v>3</v>
      </c>
      <c r="BN42" s="418" t="n">
        <v>4</v>
      </c>
      <c r="BO42" s="418" t="n">
        <v>9</v>
      </c>
      <c r="BP42" s="418" t="n"/>
      <c r="BQ42" s="602">
        <f>SUM(IF(BM42=BM$5,4,0),IF(BM42&amp;BN42=BM$5&amp;BN$5,1,0),
IF(AND(BM42=BM$5,BN$6&gt;=$D$115),1,0),
IF(AND(BN42=BM$5,BN$6&gt;=$D$115),1,0),
IF(AND(BO42=BM$5,BN$6&gt;=$D$115),1,0),
IF(BM42&amp;BP42=BQ$5,1,0),
IF(BN42=BM$5,2,0),
IF(BO42=BM$5,1,0),
IF(OR(BM42&amp;BN42&amp;BO42=BM$5&amp;BN$5&amp;BO$5,BM42&amp;BN42&amp;BO42=BM$5&amp;BO$5&amp;BN$5,BM42&amp;BN42&amp;BO42=BN$5&amp;BM$5&amp;BO$5,BM42&amp;BN42&amp;BO42=BN$5&amp;BO$5&amp;BM$5,BM42&amp;BN42&amp;BO42=BO$5&amp;BM$5&amp;BN$5,BM42&amp;BN42&amp;BO42=BO$5&amp;BN$5&amp;BM$5),2,0),IF(AND(BM42=BM$5,BN$6&gt;=$D$129),1,0),IF(AND(BN42=BM$5,BN$6&gt;=$D$129),1,0),IF(AND(BO42=BM$5,BN$6&gt;=$D$129),1,0),IF(BM42&amp;BP42=BP$5,4,0),IF(AND(BM42=BM$5,BN$6&lt;=$D$104),-0.5,0),IF(AND(BN42=BM$5,BN$6&lt;=$D$104),-0.5,0),IF(AND(BO42=BM$5,BN$6&lt;=$D$104),-0.5,0))</f>
        <v/>
      </c>
      <c r="BR42" s="416" t="n">
        <v>2</v>
      </c>
      <c r="BS42" s="418" t="n">
        <v>11</v>
      </c>
      <c r="BT42" s="418" t="n">
        <v>7</v>
      </c>
      <c r="BU42" s="418" t="n"/>
      <c r="BV42" s="602">
        <f>SUM(IF(BR42=BR$5,4,0),IF(BR42&amp;BS42=BR$5&amp;BS$5,1,0),
IF(AND(BR42=BR$5,BS$6&gt;=$D$115),1,0),
IF(AND(BS42=BR$5,BS$6&gt;=$D$115),1,0),
IF(AND(BT42=BR$5,BS$6&gt;=$D$115),1,0),
IF(BR42&amp;BU42=BV$5,1,0),
IF(BS42=BR$5,2,0),
IF(BT42=BR$5,1,0),
IF(OR(BR42&amp;BS42&amp;BT42=BR$5&amp;BS$5&amp;BT$5,BR42&amp;BS42&amp;BT42=BR$5&amp;BT$5&amp;BS$5,BR42&amp;BS42&amp;BT42=BS$5&amp;BR$5&amp;BT$5,BR42&amp;BS42&amp;BT42=BS$5&amp;BT$5&amp;BR$5,BR42&amp;BS42&amp;BT42=BT$5&amp;BR$5&amp;BS$5,BR42&amp;BS42&amp;BT42=BT$5&amp;BS$5&amp;BR$5),2,0),IF(AND(BR42=BR$5,BS$6&gt;=$D$129),1,0),IF(AND(BS42=BR$5,BS$6&gt;=$D$129),1,0),IF(AND(BT42=BR$5,BS$6&gt;=$D$129),1,0),IF(BR42&amp;BU42=BU$5,4,0),IF(AND(BR42=BR$5,BS$6&lt;=$D$104),-0.5,0),IF(AND(BS42=BR$5,BS$6&lt;=$D$104),-0.5,0),IF(AND(BT42=BR$5,BS$6&lt;=$D$104),-0.5,0))</f>
        <v/>
      </c>
      <c r="BW42" s="416" t="n"/>
      <c r="BX42" s="418" t="n"/>
      <c r="BY42" s="418" t="n"/>
      <c r="BZ42" s="418" t="n"/>
      <c r="CA42" s="602">
        <f>SUM(IF(BW42=BW$5,4,0),IF(BW42&amp;BX42=BW$5&amp;BX$5,1,0),
IF(AND(BW42=BW$5,BX$6&gt;=$D$115),1,0),
IF(AND(BX42=BW$5,BX$6&gt;=$D$115),1,0),
IF(AND(BY42=BW$5,BX$6&gt;=$D$115),1,0),
IF(BW42&amp;BZ42=CA$5,1,0),
IF(BX42=BW$5,2,0),
IF(BY42=BW$5,1,0),
IF(OR(BW42&amp;BX42&amp;BY42=BW$5&amp;BX$5&amp;BY$5,BW42&amp;BX42&amp;BY42=BW$5&amp;BY$5&amp;BX$5,BW42&amp;BX42&amp;BY42=BX$5&amp;BW$5&amp;BY$5,BW42&amp;BX42&amp;BY42=BX$5&amp;BY$5&amp;BW$5,BW42&amp;BX42&amp;BY42=BY$5&amp;BW$5&amp;BX$5,BW42&amp;BX42&amp;BY42=BY$5&amp;BX$5&amp;BW$5),2,0),IF(AND(BW42=BW$5,BX$6&gt;=$D$129),1,0),IF(AND(BX42=BW$5,BX$6&gt;=$D$129),1,0),IF(AND(BY42=BW$5,BX$6&gt;=$D$129),1,0),IF(BW42&amp;BZ42=BZ$5,4,0),IF(AND(BW42=BW$5,BX$6&lt;=$D$104),-0.5,0),IF(AND(BX42=BW$5,BX$6&lt;=$D$104),-0.5,0),IF(AND(BY42=BW$5,BX$6&lt;=$D$104),-0.5,0))</f>
        <v/>
      </c>
      <c r="CB42" s="416" t="n"/>
      <c r="CC42" s="418" t="n"/>
      <c r="CD42" s="418" t="n"/>
      <c r="CE42" s="418" t="n"/>
      <c r="CF42" s="602">
        <f>SUM(IF(CB42=CB$5,4,0),IF(CB42&amp;CC42=CB$5&amp;CC$5,1,0),
IF(AND(CB42=CB$5,CC$6&gt;=$D$115),1,0),
IF(AND(CC42=CB$5,CC$6&gt;=$D$115),1,0),
IF(AND(CD42=CB$5,CC$6&gt;=$D$115),1,0),
IF(CB42&amp;CE42=CF$5,1,0),
IF(CC42=CB$5,2,0),
IF(CD42=CB$5,1,0),
IF(OR(CB42&amp;CC42&amp;CD42=CB$5&amp;CC$5&amp;CD$5,CB42&amp;CC42&amp;CD42=CB$5&amp;CD$5&amp;CC$5,CB42&amp;CC42&amp;CD42=CC$5&amp;CB$5&amp;CD$5,CB42&amp;CC42&amp;CD42=CC$5&amp;CD$5&amp;CB$5,CB42&amp;CC42&amp;CD42=CD$5&amp;CB$5&amp;CC$5,CB42&amp;CC42&amp;CD42=CD$5&amp;CC$5&amp;CB$5),2,0),IF(AND(CB42=CB$5,CC$6&gt;=$D$129),1,0),IF(AND(CC42=CB$5,CC$6&gt;=$D$129),1,0),IF(AND(CD42=CB$5,CC$6&gt;=$D$129),1,0),IF(CB42&amp;CE42=CE$5,4,0),IF(AND(CB42=CB$5,CC$6&lt;=$D$104),-0.5,0),IF(AND(CC42=CB$5,CC$6&lt;=$D$104),-0.5,0),IF(AND(CD42=CB$5,CC$6&lt;=$D$104),-0.5,0))</f>
        <v/>
      </c>
      <c r="CG42" s="164">
        <f>IF(SEMANA2[[#This Row],[1]]="",0,$B$4)</f>
        <v/>
      </c>
      <c r="CH42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2" s="166">
        <f>IF(SEMANA2[[#This Row],[Columna14]]=0,0,(CH42/CG42))</f>
        <v/>
      </c>
      <c r="CJ42" s="165">
        <f>IF(SEMANA2[[#This Row],[1]]="",0,$B$4)</f>
        <v/>
      </c>
      <c r="CK42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2" s="166">
        <f>IF(SEMANA2[[#This Row],[Columna14]]=0,0,(CK42/CJ42))</f>
        <v/>
      </c>
      <c r="CM42" s="164">
        <f>IF(SEMANA2[[#This Row],[1]]="",0,$B$4)</f>
        <v/>
      </c>
      <c r="CN42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2" s="166">
        <f>IF(SEMANA2[[#This Row],[Columna14]]=0,0,(CN42/CM42))</f>
        <v/>
      </c>
      <c r="CP42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2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Row],[Columna25]],$AX$5,BA42,"SF")+COUNTIFS(SEMANA2[[#This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2" s="166">
        <f>IFERROR(IF(SEMANA2[[#This Row],[Columna14]]=0,0,(CQ42/CP42)),0)</f>
        <v/>
      </c>
      <c r="CS42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2" s="95">
        <f>_xlfn.XLOOKUP(SEMANA2[[#This Row],[COD]],BASE01[COD],BASE01[Columna33])</f>
        <v/>
      </c>
      <c r="CU42" s="604">
        <f>SUM(CS42,CT42)</f>
        <v/>
      </c>
      <c r="CV42" s="450">
        <f>IF(SEMANA2[[#This Row],[TIPO]]="PREMIO",$O$3,"0,00")</f>
        <v/>
      </c>
      <c r="CW42" s="576" t="n"/>
      <c r="CY42" s="392">
        <f>IF(CZ42="","",$CZ$25)</f>
        <v/>
      </c>
      <c r="CZ42" s="392" t="n"/>
      <c r="DA42" s="392">
        <f t="array" ref="DA42">IF(CZ42="", "", IF((INDEX(E$8:CE$57, MATCH(CZ42, C$8:C$57, 0), ($CZ$25-1)*5 + 1) &amp; "") = (INDEX(E$5:CE$5, 1, ($CZ$25-1)*5 + 1) &amp; ""), 1, IF((INDEX(E$8:CE$57, MATCH(CZ42, C$8:C$57, 0), ($CZ$25-1)*5 + 2) &amp; "") = (INDEX(E$5:CE$5, 1, ($CZ$25-1)*5 + 1) &amp; ""), 2, IF((INDEX(E$8:CE$57, MATCH(CZ42, C$8:C$57, 0), ($CZ$25-1)*5 + 3) &amp; "") = (INDEX(E$5:CE$5, 1, ($CZ$25-1)*5 + 1) &amp; ""), 3, ""))))</f>
        <v/>
      </c>
      <c r="DB42" s="605">
        <f>SEMANA2[[#This Row],[COD]]</f>
        <v/>
      </c>
      <c r="DC42" s="395">
        <f t="array" ref="DC42">IFERROR(IF(AND(INDEX($E$8:$CE$57, MATCH($C42, $C$8:$C$57, 0), (COLUMNS($DC42:DC42)-1)*5 + 1) = INDEX($E$5:$CE$5, 1, (COLUMNS($DC42:DC42)-1)*5 + 1), INDEX($E$8:$CE$57, MATCH($C42, $C$8:$C$57, 0), (COLUMNS($DC42:DC42)-1)*5 + 4) = "F"), INDEX($CZ$8:$CZ$23, COLUMNS($DC42:DC42)), "0"), "")</f>
        <v/>
      </c>
      <c r="DD42" s="395">
        <f t="array" ref="DD42">IFERROR(IF(AND(INDEX($E$8:$CE$57, MATCH($C42, $C$8:$C$57, 0), (COLUMNS($DC42:DD42)-1)*5 + 1) = INDEX($E$5:$CE$5, 1, (COLUMNS($DC42:DD42)-1)*5 + 1), INDEX($E$8:$CE$57, MATCH($C42, $C$8:$C$57, 0), (COLUMNS($DC42:DD42)-1)*5 + 4) = "F"), INDEX($CZ$8:$CZ$23, COLUMNS($DC42:DD42)), "0"), "")</f>
        <v/>
      </c>
      <c r="DE42" s="395">
        <f t="array" ref="DE42">IFERROR(IF(AND(INDEX($E$8:$CE$57, MATCH($C42, $C$8:$C$57, 0), (COLUMNS($DC42:DE42)-1)*5 + 1) = INDEX($E$5:$CE$5, 1, (COLUMNS($DC42:DE42)-1)*5 + 1), INDEX($E$8:$CE$57, MATCH($C42, $C$8:$C$57, 0), (COLUMNS($DC42:DE42)-1)*5 + 4) = "F"), INDEX($CZ$8:$CZ$23, COLUMNS($DC42:DE42)), "0"), "")</f>
        <v/>
      </c>
      <c r="DF42" s="395">
        <f t="array" ref="DF42">IFERROR(IF(AND(INDEX($E$8:$CE$57, MATCH($C42, $C$8:$C$57, 0), (COLUMNS($DC42:DF42)-1)*5 + 1) = INDEX($E$5:$CE$5, 1, (COLUMNS($DC42:DF42)-1)*5 + 1), INDEX($E$8:$CE$57, MATCH($C42, $C$8:$C$57, 0), (COLUMNS($DC42:DF42)-1)*5 + 4) = "F"), INDEX($CZ$8:$CZ$23, COLUMNS($DC42:DF42)), "0"), "")</f>
        <v/>
      </c>
      <c r="DG42" s="395">
        <f t="array" ref="DG42">IFERROR(IF(AND(INDEX($E$8:$CE$57, MATCH($C42, $C$8:$C$57, 0), (COLUMNS($DC42:DG42)-1)*5 + 1) = INDEX($E$5:$CE$5, 1, (COLUMNS($DC42:DG42)-1)*5 + 1), INDEX($E$8:$CE$57, MATCH($C42, $C$8:$C$57, 0), (COLUMNS($DC42:DG42)-1)*5 + 4) = "F"), INDEX($CZ$8:$CZ$23, COLUMNS($DC42:DG42)), "0"), "")</f>
        <v/>
      </c>
      <c r="DH42" s="395">
        <f t="array" ref="DH42">IFERROR(IF(AND(INDEX($E$8:$CE$57, MATCH($C42, $C$8:$C$57, 0), (COLUMNS($DC42:DH42)-1)*5 + 1) = INDEX($E$5:$CE$5, 1, (COLUMNS($DC42:DH42)-1)*5 + 1), INDEX($E$8:$CE$57, MATCH($C42, $C$8:$C$57, 0), (COLUMNS($DC42:DH42)-1)*5 + 4) = "F"), INDEX($CZ$8:$CZ$23, COLUMNS($DC42:DH42)), "0"), "")</f>
        <v/>
      </c>
      <c r="DI42" s="395">
        <f t="array" ref="DI42">IFERROR(IF(AND(INDEX($E$8:$CE$57, MATCH($C42, $C$8:$C$57, 0), (COLUMNS($DC42:DI42)-1)*5 + 1) = INDEX($E$5:$CE$5, 1, (COLUMNS($DC42:DI42)-1)*5 + 1), INDEX($E$8:$CE$57, MATCH($C42, $C$8:$C$57, 0), (COLUMNS($DC42:DI42)-1)*5 + 4) = "F"), INDEX($CZ$8:$CZ$23, COLUMNS($DC42:DI42)), "0"), "")</f>
        <v/>
      </c>
      <c r="DJ42" s="395">
        <f t="array" ref="DJ42">IFERROR(IF(AND(INDEX($E$8:$CE$57, MATCH($C42, $C$8:$C$57, 0), (COLUMNS($DC42:DJ42)-1)*5 + 1) = INDEX($E$5:$CE$5, 1, (COLUMNS($DC42:DJ42)-1)*5 + 1), INDEX($E$8:$CE$57, MATCH($C42, $C$8:$C$57, 0), (COLUMNS($DC42:DJ42)-1)*5 + 4) = "F"), INDEX($CZ$8:$CZ$23, COLUMNS($DC42:DJ42)), "0"), "")</f>
        <v/>
      </c>
      <c r="DK42" s="395">
        <f t="array" ref="DK42">IFERROR(IF(AND(INDEX($E$8:$CE$57, MATCH($C42, $C$8:$C$57, 0), (COLUMNS($DC42:DK42)-1)*5 + 1) = INDEX($E$5:$CE$5, 1, (COLUMNS($DC42:DK42)-1)*5 + 1), INDEX($E$8:$CE$57, MATCH($C42, $C$8:$C$57, 0), (COLUMNS($DC42:DK42)-1)*5 + 4) = "F"), INDEX($CZ$8:$CZ$23, COLUMNS($DC42:DK42)), "0"), "")</f>
        <v/>
      </c>
      <c r="DL42" s="395">
        <f t="array" ref="DL42">IFERROR(IF(AND(INDEX($E$8:$CE$57, MATCH($C42, $C$8:$C$57, 0), (COLUMNS($DC42:DL42)-1)*5 + 1) = INDEX($E$5:$CE$5, 1, (COLUMNS($DC42:DL42)-1)*5 + 1), INDEX($E$8:$CE$57, MATCH($C42, $C$8:$C$57, 0), (COLUMNS($DC42:DL42)-1)*5 + 4) = "F"), INDEX($CZ$8:$CZ$23, COLUMNS($DC42:DL42)), "0"), "")</f>
        <v/>
      </c>
      <c r="DM42" s="395">
        <f t="array" ref="DM42">IFERROR(IF(AND(INDEX($E$8:$CE$57, MATCH($C42, $C$8:$C$57, 0), (COLUMNS($DC42:DM42)-1)*5 + 1) = INDEX($E$5:$CE$5, 1, (COLUMNS($DC42:DM42)-1)*5 + 1), INDEX($E$8:$CE$57, MATCH($C42, $C$8:$C$57, 0), (COLUMNS($DC42:DM42)-1)*5 + 4) = "F"), INDEX($CZ$8:$CZ$23, COLUMNS($DC42:DM42)), "0"), "")</f>
        <v/>
      </c>
      <c r="DN42" s="395">
        <f t="array" ref="DN42">IFERROR(IF(AND(INDEX($E$8:$CE$57, MATCH($C42, $C$8:$C$57, 0), (COLUMNS($DC42:DN42)-1)*5 + 1) = INDEX($E$5:$CE$5, 1, (COLUMNS($DC42:DN42)-1)*5 + 1), INDEX($E$8:$CE$57, MATCH($C42, $C$8:$C$57, 0), (COLUMNS($DC42:DN42)-1)*5 + 4) = "F"), INDEX($CZ$8:$CZ$23, COLUMNS($DC42:DN42)), "0"), "")</f>
        <v/>
      </c>
      <c r="DO42" s="395">
        <f t="array" ref="DO42">IFERROR(IF(AND(INDEX($E$8:$CE$57, MATCH($C42, $C$8:$C$57, 0), (COLUMNS($DC42:DO42)-1)*5 + 1) = INDEX($E$5:$CE$5, 1, (COLUMNS($DC42:DO42)-1)*5 + 1), INDEX($E$8:$CE$57, MATCH($C42, $C$8:$C$57, 0), (COLUMNS($DC42:DO42)-1)*5 + 4) = "F"), INDEX($CZ$8:$CZ$23, COLUMNS($DC42:DO42)), "0"), "")</f>
        <v/>
      </c>
      <c r="DP42" s="395">
        <f t="array" ref="DP42">IFERROR(IF(AND(INDEX($E$8:$CE$57, MATCH($C42, $C$8:$C$57, 0), (COLUMNS($DC42:DP42)-1)*5 + 1) = INDEX($E$5:$CE$5, 1, (COLUMNS($DC42:DP42)-1)*5 + 1), INDEX($E$8:$CE$57, MATCH($C42, $C$8:$C$57, 0), (COLUMNS($DC42:DP42)-1)*5 + 4) = "F"), INDEX($CZ$8:$CZ$23, COLUMNS($DC42:DP42)), "0"), "")</f>
        <v/>
      </c>
      <c r="DQ42" s="395">
        <f t="array" ref="DQ42">IFERROR(IF(AND(INDEX($E$8:$CE$57, MATCH($C42, $C$8:$C$57, 0), (COLUMNS($DC42:DQ42)-1)*5 + 1) = INDEX($E$5:$CE$5, 1, (COLUMNS($DC42:DQ42)-1)*5 + 1), INDEX($E$8:$CE$57, MATCH($C42, $C$8:$C$57, 0), (COLUMNS($DC42:DQ42)-1)*5 + 4) = "F"), INDEX($CZ$8:$CZ$23, COLUMNS($DC42:DQ42)), "0"), "")</f>
        <v/>
      </c>
      <c r="DR42" s="395">
        <f t="array" ref="DR42">IFERROR(IF(AND(INDEX($E$8:$CE$57, MATCH($C42, $C$8:$C$57, 0), (COLUMNS($DC42:DR42)-1)*5 + 1) = INDEX($E$5:$CE$5, 1, (COLUMNS($DC42:DR42)-1)*5 + 1), INDEX($E$8:$CE$57, MATCH($C42, $C$8:$C$57, 0), (COLUMNS($DC42:DR42)-1)*5 + 4) = "F"), INDEX($CZ$8:$CZ$23, COLUMNS($DC42:DR42)), "0"), "")</f>
        <v/>
      </c>
      <c r="DT42" s="605">
        <f>SEMANA2[[#This Row],[COD]]</f>
        <v/>
      </c>
      <c r="DU42" s="395">
        <f t="array" ref="DU42">IFERROR(IF(AND(INDEX($E$8:$CE$57, MATCH($C42, $C$8:$C$57, 0), (COLUMNS($DU42:DU42)-1)*5 + 1) = INDEX($E$5:$CE$5, 1, (COLUMNS($DU42:DU42)-1)*5 + 1), INDEX($E$8:$CE$57, MATCH($C42, $C$8:$C$57, 0), (COLUMNS($DU42:DU42)-1)*5 + 4) = "SF"), INDEX($CZ$8:$CZ$23, COLUMNS($DU42:DU42)), "0"), "")</f>
        <v/>
      </c>
      <c r="DV42" s="395">
        <f t="array" ref="DV42">IFERROR(IF(AND(INDEX($E$8:$CE$57, MATCH($C42, $C$8:$C$57, 0), (COLUMNS($DU42:DV42)-1)*5 + 1) = INDEX($E$5:$CE$5, 1, (COLUMNS($DU42:DV42)-1)*5 + 1), INDEX($E$8:$CE$57, MATCH($C42, $C$8:$C$57, 0), (COLUMNS($DU42:DV42)-1)*5 + 4) = "SF"), INDEX($CZ$8:$CZ$23, COLUMNS($DU42:DV42)), "0"), "")</f>
        <v/>
      </c>
      <c r="DW42" s="395">
        <f t="array" ref="DW42">IFERROR(IF(AND(INDEX($E$8:$CE$57, MATCH($C42, $C$8:$C$57, 0), (COLUMNS($DU42:DW42)-1)*5 + 1) = INDEX($E$5:$CE$5, 1, (COLUMNS($DU42:DW42)-1)*5 + 1), INDEX($E$8:$CE$57, MATCH($C42, $C$8:$C$57, 0), (COLUMNS($DU42:DW42)-1)*5 + 4) = "SF"), INDEX($CZ$8:$CZ$23, COLUMNS($DU42:DW42)), "0"), "")</f>
        <v/>
      </c>
      <c r="DX42" s="395">
        <f t="array" ref="DX42">IFERROR(IF(AND(INDEX($E$8:$CE$57, MATCH($C42, $C$8:$C$57, 0), (COLUMNS($DU42:DX42)-1)*5 + 1) = INDEX($E$5:$CE$5, 1, (COLUMNS($DU42:DX42)-1)*5 + 1), INDEX($E$8:$CE$57, MATCH($C42, $C$8:$C$57, 0), (COLUMNS($DU42:DX42)-1)*5 + 4) = "SF"), INDEX($CZ$8:$CZ$23, COLUMNS($DU42:DX42)), "0"), "")</f>
        <v/>
      </c>
      <c r="DY42" s="395">
        <f t="array" ref="DY42">IFERROR(IF(AND(INDEX($E$8:$CE$57, MATCH($C42, $C$8:$C$57, 0), (COLUMNS($DU42:DY42)-1)*5 + 1) = INDEX($E$5:$CE$5, 1, (COLUMNS($DU42:DY42)-1)*5 + 1), INDEX($E$8:$CE$57, MATCH($C42, $C$8:$C$57, 0), (COLUMNS($DU42:DY42)-1)*5 + 4) = "SF"), INDEX($CZ$8:$CZ$23, COLUMNS($DU42:DY42)), "0"), "")</f>
        <v/>
      </c>
      <c r="DZ42" s="395">
        <f t="array" ref="DZ42">IFERROR(IF(AND(INDEX($E$8:$CE$57, MATCH($C42, $C$8:$C$57, 0), (COLUMNS($DU42:DZ42)-1)*5 + 1) = INDEX($E$5:$CE$5, 1, (COLUMNS($DU42:DZ42)-1)*5 + 1), INDEX($E$8:$CE$57, MATCH($C42, $C$8:$C$57, 0), (COLUMNS($DU42:DZ42)-1)*5 + 4) = "SF"), INDEX($CZ$8:$CZ$23, COLUMNS($DU42:DZ42)), "0"), "")</f>
        <v/>
      </c>
      <c r="EA42" s="395">
        <f t="array" ref="EA42">IFERROR(IF(AND(INDEX($E$8:$CE$57, MATCH($C42, $C$8:$C$57, 0), (COLUMNS($DU42:EA42)-1)*5 + 1) = INDEX($E$5:$CE$5, 1, (COLUMNS($DU42:EA42)-1)*5 + 1), INDEX($E$8:$CE$57, MATCH($C42, $C$8:$C$57, 0), (COLUMNS($DU42:EA42)-1)*5 + 4) = "SF"), INDEX($CZ$8:$CZ$23, COLUMNS($DU42:EA42)), "0"), "")</f>
        <v/>
      </c>
      <c r="EB42" s="395">
        <f t="array" ref="EB42">IFERROR(IF(AND(INDEX($E$8:$CE$57, MATCH($C42, $C$8:$C$57, 0), (COLUMNS($DU42:EB42)-1)*5 + 1) = INDEX($E$5:$CE$5, 1, (COLUMNS($DU42:EB42)-1)*5 + 1), INDEX($E$8:$CE$57, MATCH($C42, $C$8:$C$57, 0), (COLUMNS($DU42:EB42)-1)*5 + 4) = "SF"), INDEX($CZ$8:$CZ$23, COLUMNS($DU42:EB42)), "0"), "")</f>
        <v/>
      </c>
      <c r="EC42" s="395">
        <f t="array" ref="EC42">IFERROR(IF(AND(INDEX($E$8:$CE$57, MATCH($C42, $C$8:$C$57, 0), (COLUMNS($DU42:EC42)-1)*5 + 1) = INDEX($E$5:$CE$5, 1, (COLUMNS($DU42:EC42)-1)*5 + 1), INDEX($E$8:$CE$57, MATCH($C42, $C$8:$C$57, 0), (COLUMNS($DU42:EC42)-1)*5 + 4) = "SF"), INDEX($CZ$8:$CZ$23, COLUMNS($DU42:EC42)), "0"), "")</f>
        <v/>
      </c>
      <c r="ED42" s="395">
        <f t="array" ref="ED42">IFERROR(IF(AND(INDEX($E$8:$CE$57, MATCH($C42, $C$8:$C$57, 0), (COLUMNS($DU42:ED42)-1)*5 + 1) = INDEX($E$5:$CE$5, 1, (COLUMNS($DU42:ED42)-1)*5 + 1), INDEX($E$8:$CE$57, MATCH($C42, $C$8:$C$57, 0), (COLUMNS($DU42:ED42)-1)*5 + 4) = "SF"), INDEX($CZ$8:$CZ$23, COLUMNS($DU42:ED42)), "0"), "")</f>
        <v/>
      </c>
      <c r="EE42" s="395">
        <f t="array" ref="EE42">IFERROR(IF(AND(INDEX($E$8:$CE$57, MATCH($C42, $C$8:$C$57, 0), (COLUMNS($DU42:EE42)-1)*5 + 1) = INDEX($E$5:$CE$5, 1, (COLUMNS($DU42:EE42)-1)*5 + 1), INDEX($E$8:$CE$57, MATCH($C42, $C$8:$C$57, 0), (COLUMNS($DU42:EE42)-1)*5 + 4) = "SF"), INDEX($CZ$8:$CZ$23, COLUMNS($DU42:EE42)), "0"), "")</f>
        <v/>
      </c>
      <c r="EF42" s="395">
        <f t="array" ref="EF42">IFERROR(IF(AND(INDEX($E$8:$CE$57, MATCH($C42, $C$8:$C$57, 0), (COLUMNS($DU42:EF42)-1)*5 + 1) = INDEX($E$5:$CE$5, 1, (COLUMNS($DU42:EF42)-1)*5 + 1), INDEX($E$8:$CE$57, MATCH($C42, $C$8:$C$57, 0), (COLUMNS($DU42:EF42)-1)*5 + 4) = "SF"), INDEX($CZ$8:$CZ$23, COLUMNS($DU42:EF42)), "0"), "")</f>
        <v/>
      </c>
      <c r="EG42" s="395">
        <f t="array" ref="EG42">IFERROR(IF(AND(INDEX($E$8:$CE$57, MATCH($C42, $C$8:$C$57, 0), (COLUMNS($DU42:EG42)-1)*5 + 1) = INDEX($E$5:$CE$5, 1, (COLUMNS($DU42:EG42)-1)*5 + 1), INDEX($E$8:$CE$57, MATCH($C42, $C$8:$C$57, 0), (COLUMNS($DU42:EG42)-1)*5 + 4) = "SF"), INDEX($CZ$8:$CZ$23, COLUMNS($DU42:EG42)), "0"), "")</f>
        <v/>
      </c>
      <c r="EH42" s="395">
        <f t="array" ref="EH42">IFERROR(IF(AND(INDEX($E$8:$CE$57, MATCH($C42, $C$8:$C$57, 0), (COLUMNS($DU42:EH42)-1)*5 + 1) = INDEX($E$5:$CE$5, 1, (COLUMNS($DU42:EH42)-1)*5 + 1), INDEX($E$8:$CE$57, MATCH($C42, $C$8:$C$57, 0), (COLUMNS($DU42:EH42)-1)*5 + 4) = "SF"), INDEX($CZ$8:$CZ$23, COLUMNS($DU42:EH42)), "0"), "")</f>
        <v/>
      </c>
      <c r="EI42" s="395">
        <f t="array" ref="EI42">IFERROR(IF(AND(INDEX($E$8:$CE$57, MATCH($C42, $C$8:$C$57, 0), (COLUMNS($DU42:EI42)-1)*5 + 1) = INDEX($E$5:$CE$5, 1, (COLUMNS($DU42:EI42)-1)*5 + 1), INDEX($E$8:$CE$57, MATCH($C42, $C$8:$C$57, 0), (COLUMNS($DU42:EI42)-1)*5 + 4) = "SF"), INDEX($CZ$8:$CZ$23, COLUMNS($DU42:EI42)), "0"), "")</f>
        <v/>
      </c>
      <c r="EJ42" s="395">
        <f t="array" ref="EJ42">IFERROR(IF(AND(INDEX($E$8:$CE$57, MATCH($C42, $C$8:$C$57, 0), (COLUMNS($DU42:EJ42)-1)*5 + 1) = INDEX($E$5:$CE$5, 1, (COLUMNS($DU42:EJ42)-1)*5 + 1), INDEX($E$8:$CE$57, MATCH($C42, $C$8:$C$57, 0), (COLUMNS($DU42:EJ42)-1)*5 + 4) = "SF"), INDEX($CZ$8:$CZ$23, COLUMNS($DU42:EJ42)), "0"), "")</f>
        <v/>
      </c>
    </row>
    <row r="43" ht="20.1" customHeight="1" s="568">
      <c r="A43" s="576" t="n"/>
      <c r="B43" s="449">
        <f>IF(SEMANA2[[#This Row],[COD]]&lt;&gt;"",B42+1,"")</f>
        <v/>
      </c>
      <c r="C43" s="622" t="inlineStr">
        <is>
          <t>COD 36</t>
        </is>
      </c>
      <c r="D43" s="415">
        <f t="array" ref="D43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3" s="419" t="n">
        <v>9</v>
      </c>
      <c r="F43" s="420" t="n"/>
      <c r="G43" s="420" t="n"/>
      <c r="H43" s="420" t="inlineStr">
        <is>
          <t>SF</t>
        </is>
      </c>
      <c r="I43" s="602">
        <f>SUM(IF(E43=E$5,4,0),IF(E43&amp;F43=E$5&amp;F$5,1,0),
IF(AND(E43=E$5,F$6&gt;=$D$115),1,0),
IF(AND(F43=E$5,F$6&gt;=$D$115),1,0),
IF(AND(G43=E$5,F$6&gt;=$D$115),1,0),
IF(E43&amp;H43=I$5,1,0),
IF(F43=E$5,2,0),
IF(G43=E$5,1,0),
IF(OR(E43&amp;F43&amp;G43=E$5&amp;F$5&amp;G$5,E43&amp;F43&amp;G43=E$5&amp;G$5&amp;F$5,E43&amp;F43&amp;G43=F$5&amp;E$5&amp;G$5,E43&amp;F43&amp;G43=F$5&amp;G$5&amp;E$5,E43&amp;F43&amp;G43=G$5&amp;E$5&amp;F$5,E43&amp;F43&amp;G43=G$5&amp;F$5&amp;E$5),2,0),IF(AND(E43=E$5,F$6&gt;=$D$129),1,0),IF(AND(F43=E$5,F$6&gt;=$D$129),1,0),IF(AND(G43=E$5,F$6&gt;=$D$129),1,0),IF(E43&amp;H43=H$5,4,0),IF(AND(E43=E$5,F$6&lt;=$D$104),-0.5,0),IF(AND(F43=E$5,F$6&lt;=$D$104),-0.5,0),IF(AND(G43=E$5,F$6&lt;=$D$104),-0.5,0))</f>
        <v/>
      </c>
      <c r="J43" s="419" t="n">
        <v>1</v>
      </c>
      <c r="K43" s="420" t="n">
        <v>7</v>
      </c>
      <c r="L43" s="420" t="n">
        <v>4</v>
      </c>
      <c r="M43" s="420" t="inlineStr">
        <is>
          <t>F</t>
        </is>
      </c>
      <c r="N43" s="602">
        <f>SUM(IF(J43=J$5,4,0),IF(J43&amp;K43=J$5&amp;K$5,1,0),
IF(AND(J43=J$5,K$6&gt;=$D$115),1,0),
IF(AND(K43=J$5,K$6&gt;=$D$115),1,0),
IF(AND(L43=J$5,K$6&gt;=$D$115),1,0),
IF(J43&amp;M43=N$5,1,0),
IF(K43=J$5,2,0),
IF(L43=J$5,1,0),
IF(OR(J43&amp;K43&amp;L43=J$5&amp;K$5&amp;L$5,J43&amp;K43&amp;L43=J$5&amp;L$5&amp;K$5,J43&amp;K43&amp;L43=K$5&amp;J$5&amp;L$5,J43&amp;K43&amp;L43=K$5&amp;L$5&amp;J$5,J43&amp;K43&amp;L43=L$5&amp;J$5&amp;K$5,J43&amp;K43&amp;L43=L$5&amp;K$5&amp;J$5),2,0),IF(AND(J43=J$5,K$6&gt;=$D$129),1,0),IF(AND(K43=J$5,K$6&gt;=$D$129),1,0),IF(AND(L43=J$5,K$6&gt;=$D$129),1,0),IF(J43&amp;M43=M$5,4,0),IF(AND(J43=J$5,K$6&lt;=$D$104),-0.5,0),IF(AND(K43=J$5,K$6&lt;=$D$104),-0.5,0),IF(AND(L43=J$5,K$6&lt;=$D$104),-0.5,0))</f>
        <v/>
      </c>
      <c r="O43" s="419" t="n">
        <v>5</v>
      </c>
      <c r="P43" s="420" t="n">
        <v>1</v>
      </c>
      <c r="Q43" s="420" t="n">
        <v>7</v>
      </c>
      <c r="R43" s="420" t="n"/>
      <c r="S43" s="602">
        <f>SUM(IF(O43=O$5,4,0),IF(O43&amp;P43=O$5&amp;P$5,1,0),
IF(AND(O43=O$5,P$6&gt;=$D$115),1,0),
IF(AND(P43=O$5,P$6&gt;=$D$115),1,0),
IF(AND(Q43=O$5,P$6&gt;=$D$115),1,0),
IF(O43&amp;R43=S$5,1,0),
IF(P43=O$5,2,0),
IF(Q43=O$5,1,0),
IF(OR(O43&amp;P43&amp;Q43=O$5&amp;P$5&amp;Q$5,O43&amp;P43&amp;Q43=O$5&amp;Q$5&amp;P$5,O43&amp;P43&amp;Q43=P$5&amp;O$5&amp;Q$5,O43&amp;P43&amp;Q43=P$5&amp;Q$5&amp;O$5,O43&amp;P43&amp;Q43=Q$5&amp;O$5&amp;P$5,O43&amp;P43&amp;Q43=Q$5&amp;P$5&amp;O$5),2,0),IF(AND(O43=O$5,P$6&gt;=$D$129),1,0),IF(AND(P43=O$5,P$6&gt;=$D$129),1,0),IF(AND(Q43=O$5,P$6&gt;=$D$129),1,0),IF(O43&amp;R43=R$5,4,0),IF(AND(O43=O$5,P$6&lt;=$D$104),-0.5,0),IF(AND(P43=O$5,P$6&lt;=$D$104),-0.5,0),IF(AND(Q43=O$5,P$6&lt;=$D$104),-0.5,0))</f>
        <v/>
      </c>
      <c r="T43" s="419" t="n">
        <v>5</v>
      </c>
      <c r="U43" s="420" t="n">
        <v>3</v>
      </c>
      <c r="V43" s="420" t="n">
        <v>4</v>
      </c>
      <c r="W43" s="420" t="n"/>
      <c r="X43" s="602">
        <f>SUM(IF(T43=T$5,4,0),IF(T43&amp;U43=T$5&amp;U$5,1,0),
IF(AND(T43=T$5,U$6&gt;=$D$115),1,0),
IF(AND(U43=T$5,U$6&gt;=$D$115),1,0),
IF(AND(V43=T$5,U$6&gt;=$D$115),1,0),
IF(T43&amp;W43=X$5,1,0),
IF(U43=T$5,2,0),
IF(V43=T$5,1,0),
IF(OR(T43&amp;U43&amp;V43=T$5&amp;U$5&amp;V$5,T43&amp;U43&amp;V43=T$5&amp;V$5&amp;U$5,T43&amp;U43&amp;V43=U$5&amp;T$5&amp;V$5,T43&amp;U43&amp;V43=U$5&amp;V$5&amp;T$5,T43&amp;U43&amp;V43=V$5&amp;T$5&amp;U$5,T43&amp;U43&amp;V43=V$5&amp;U$5&amp;T$5),2,0),IF(AND(T43=T$5,U$6&gt;=$D$129),1,0),IF(AND(U43=T$5,U$6&gt;=$D$129),1,0),IF(AND(V43=T$5,U$6&gt;=$D$129),1,0),IF(T43&amp;W43=W$5,4,0),IF(AND(T43=T$5,U$6&lt;=$D$104),-0.5,0),IF(AND(U43=T$5,U$6&lt;=$D$104),-0.5,0),IF(AND(V43=T$5,U$6&lt;=$D$104),-0.5,0))</f>
        <v/>
      </c>
      <c r="Y43" s="419" t="n">
        <v>4</v>
      </c>
      <c r="Z43" s="420" t="n">
        <v>5</v>
      </c>
      <c r="AA43" s="420" t="n">
        <v>2</v>
      </c>
      <c r="AB43" s="420" t="n"/>
      <c r="AC43" s="602">
        <f>SUM(IF(Y43=Y$5,4,0),IF(Y43&amp;Z43=Y$5&amp;Z$5,1,0),
IF(AND(Y43=Y$5,Z$6&gt;=$D$115),1,0),
IF(AND(Z43=Y$5,Z$6&gt;=$D$115),1,0),
IF(AND(AA43=Y$5,Z$6&gt;=$D$115),1,0),
IF(Y43&amp;AB43=AC$5,1,0),
IF(Z43=Y$5,2,0),
IF(AA43=Y$5,1,0),
IF(OR(Y43&amp;Z43&amp;AA43=Y$5&amp;Z$5&amp;AA$5,Y43&amp;Z43&amp;AA43=Y$5&amp;AA$5&amp;Z$5,Y43&amp;Z43&amp;AA43=Z$5&amp;Y$5&amp;AA$5,Y43&amp;Z43&amp;AA43=Z$5&amp;AA$5&amp;Y$5,Y43&amp;Z43&amp;AA43=AA$5&amp;Y$5&amp;Z$5,Y43&amp;Z43&amp;AA43=AA$5&amp;Z$5&amp;Y$5),2,0),IF(AND(Y43=Y$5,Z$6&gt;=$D$129),1,0),IF(AND(Z43=Y$5,Z$6&gt;=$D$129),1,0),IF(AND(AA43=Y$5,Z$6&gt;=$D$129),1,0),IF(Y43&amp;AB43=AB$5,4,0),IF(AND(Y43=Y$5,Z$6&lt;=$D$104),-0.5,0),IF(AND(Z43=Y$5,Z$6&lt;=$D$104),-0.5,0),IF(AND(AA43=Y$5,Z$6&lt;=$D$104),-0.5,0))</f>
        <v/>
      </c>
      <c r="AD43" s="419" t="n">
        <v>10</v>
      </c>
      <c r="AE43" s="420" t="n">
        <v>4</v>
      </c>
      <c r="AF43" s="420" t="n">
        <v>5</v>
      </c>
      <c r="AG43" s="420" t="n"/>
      <c r="AH43" s="602">
        <f>SUM(IF(AD43=AD$5,4,0),IF(AD43&amp;AE43=AD$5&amp;AE$5,1,0),
IF(AND(AD43=AD$5,AE$6&gt;=$D$115),1,0),
IF(AND(AE43=AD$5,AE$6&gt;=$D$115),1,0),
IF(AND(AF43=AD$5,AE$6&gt;=$D$115),1,0),
IF(AD43&amp;AG43=AH$5,1,0),
IF(AE43=AD$5,2,0),
IF(AF43=AD$5,1,0),
IF(OR(AD43&amp;AE43&amp;AF43=AD$5&amp;AE$5&amp;AF$5,AD43&amp;AE43&amp;AF43=AD$5&amp;AF$5&amp;AE$5,AD43&amp;AE43&amp;AF43=AE$5&amp;AD$5&amp;AF$5,AD43&amp;AE43&amp;AF43=AE$5&amp;AF$5&amp;AD$5,AD43&amp;AE43&amp;AF43=AF$5&amp;AD$5&amp;AE$5,AD43&amp;AE43&amp;AF43=AF$5&amp;AE$5&amp;AD$5),2,0),IF(AND(AD43=AD$5,AE$6&gt;=$D$129),1,0),IF(AND(AE43=AD$5,AE$6&gt;=$D$129),1,0),IF(AND(AF43=AD$5,AE$6&gt;=$D$129),1,0),IF(AD43&amp;AG43=AG$5,4,0),IF(AND(AD43=AD$5,AE$6&lt;=$D$104),-0.5,0),IF(AND(AE43=AD$5,AE$6&lt;=$D$104),-0.5,0),IF(AND(AF43=AD$5,AE$6&lt;=$D$104),-0.5,0))</f>
        <v/>
      </c>
      <c r="AI43" s="419" t="n">
        <v>6</v>
      </c>
      <c r="AJ43" s="420" t="n">
        <v>7</v>
      </c>
      <c r="AK43" s="420" t="n">
        <v>2</v>
      </c>
      <c r="AL43" s="420" t="n"/>
      <c r="AM43" s="602">
        <f>SUM(IF(AI43=AI$5,4,0),IF(AI43&amp;AJ43=AI$5&amp;AJ$5,1,0),
IF(AND(AI43=AI$5,AJ$6&gt;=$D$115),1,0),
IF(AND(AJ43=AI$5,AJ$6&gt;=$D$115),1,0),
IF(AND(AK43=AI$5,AJ$6&gt;=$D$115),1,0),
IF(AI43&amp;AL43=AM$5,1,0),
IF(AJ43=AI$5,2,0),
IF(AK43=AI$5,1,0),
IF(OR(AI43&amp;AJ43&amp;AK43=AI$5&amp;AJ$5&amp;AK$5,AI43&amp;AJ43&amp;AK43=AI$5&amp;AK$5&amp;AJ$5,AI43&amp;AJ43&amp;AK43=AJ$5&amp;AI$5&amp;AK$5,AI43&amp;AJ43&amp;AK43=AJ$5&amp;AK$5&amp;AI$5,AI43&amp;AJ43&amp;AK43=AK$5&amp;AI$5&amp;AJ$5,AI43&amp;AJ43&amp;AK43=AK$5&amp;AJ$5&amp;AI$5),2,0),IF(AND(AI43=AI$5,AJ$6&gt;=$D$129),1,0),IF(AND(AJ43=AI$5,AJ$6&gt;=$D$129),1,0),IF(AND(AK43=AI$5,AJ$6&gt;=$D$129),1,0),IF(AI43&amp;AL43=AL$5,4,0),IF(AND(AI43=AI$5,AJ$6&lt;=$D$104),-0.5,0),IF(AND(AJ43=AI$5,AJ$6&lt;=$D$104),-0.5,0),IF(AND(AK43=AI$5,AJ$6&lt;=$D$104),-0.5,0))</f>
        <v/>
      </c>
      <c r="AN43" s="419" t="n">
        <v>8</v>
      </c>
      <c r="AO43" s="420" t="n">
        <v>1</v>
      </c>
      <c r="AP43" s="420" t="n">
        <v>2</v>
      </c>
      <c r="AQ43" s="420" t="n"/>
      <c r="AR43" s="602">
        <f>SUM(IF(AN43=AN$5,4,0),IF(AN43&amp;AO43=AN$5&amp;AO$5,1,0),
IF(AND(AN43=AN$5,AO$6&gt;=$D$115),1,0),
IF(AND(AO43=AN$5,AO$6&gt;=$D$115),1,0),
IF(AND(AP43=AN$5,AO$6&gt;=$D$115),1,0),
IF(AN43&amp;AQ43=AR$5,1,0),
IF(AO43=AN$5,2,0),
IF(AP43=AN$5,1,0),
IF(OR(AN43&amp;AO43&amp;AP43=AN$5&amp;AO$5&amp;AP$5,AN43&amp;AO43&amp;AP43=AN$5&amp;AP$5&amp;AO$5,AN43&amp;AO43&amp;AP43=AO$5&amp;AN$5&amp;AP$5,AN43&amp;AO43&amp;AP43=AO$5&amp;AP$5&amp;AN$5,AN43&amp;AO43&amp;AP43=AP$5&amp;AN$5&amp;AO$5,AN43&amp;AO43&amp;AP43=AP$5&amp;AO$5&amp;AN$5),2,0),IF(AND(AN43=AN$5,AO$6&gt;=$D$129),1,0),IF(AND(AO43=AN$5,AO$6&gt;=$D$129),1,0),IF(AND(AP43=AN$5,AO$6&gt;=$D$129),1,0),IF(AN43&amp;AQ43=AQ$5,4,0),IF(AND(AN43=AN$5,AO$6&lt;=$D$104),-0.5,0),IF(AND(AO43=AN$5,AO$6&lt;=$D$104),-0.5,0),IF(AND(AP43=AN$5,AO$6&lt;=$D$104),-0.5,0))</f>
        <v/>
      </c>
      <c r="AS43" s="419" t="n">
        <v>1</v>
      </c>
      <c r="AT43" s="420" t="n">
        <v>10</v>
      </c>
      <c r="AU43" s="420" t="n">
        <v>9</v>
      </c>
      <c r="AV43" s="420" t="n"/>
      <c r="AW43" s="602">
        <f>SUM(IF(AS43=AS$5,4,0),IF(AS43&amp;AT43=AS$5&amp;AT$5,1,0),
IF(AND(AS43=AS$5,AT$6&gt;=$D$115),1,0),
IF(AND(AT43=AS$5,AT$6&gt;=$D$115),1,0),
IF(AND(AU43=AS$5,AT$6&gt;=$D$115),1,0),
IF(AS43&amp;AV43=AW$5,1,0),
IF(AT43=AS$5,2,0),
IF(AU43=AS$5,1,0),
IF(OR(AS43&amp;AT43&amp;AU43=AS$5&amp;AT$5&amp;AU$5,AS43&amp;AT43&amp;AU43=AS$5&amp;AU$5&amp;AT$5,AS43&amp;AT43&amp;AU43=AT$5&amp;AS$5&amp;AU$5,AS43&amp;AT43&amp;AU43=AT$5&amp;AU$5&amp;AS$5,AS43&amp;AT43&amp;AU43=AU$5&amp;AS$5&amp;AT$5,AS43&amp;AT43&amp;AU43=AU$5&amp;AT$5&amp;AS$5),2,0),IF(AND(AS43=AS$5,AT$6&gt;=$D$129),1,0),IF(AND(AT43=AS$5,AT$6&gt;=$D$129),1,0),IF(AND(AU43=AS$5,AT$6&gt;=$D$129),1,0),IF(AS43&amp;AV43=AV$5,4,0),IF(AND(AS43=AS$5,AT$6&lt;=$D$104),-0.5,0),IF(AND(AT43=AS$5,AT$6&lt;=$D$104),-0.5,0),IF(AND(AU43=AS$5,AT$6&lt;=$D$104),-0.5,0))</f>
        <v/>
      </c>
      <c r="AX43" s="419" t="n">
        <v>6</v>
      </c>
      <c r="AY43" s="420" t="n">
        <v>1</v>
      </c>
      <c r="AZ43" s="420" t="n">
        <v>7</v>
      </c>
      <c r="BA43" s="420" t="n"/>
      <c r="BB43" s="602">
        <f>SUM(IF(AX43=AX$5,4,0),IF(AX43&amp;AY43=AX$5&amp;AY$5,1,0),
IF(AND(AX43=AX$5,AY$6&gt;=$D$115),1,0),
IF(AND(AY43=AX$5,AY$6&gt;=$D$115),1,0),
IF(AND(AZ43=AX$5,AY$6&gt;=$D$115),1,0),
IF(AX43&amp;BA43=BB$5,1,0),
IF(AY43=AX$5,2,0),
IF(AZ43=AX$5,1,0),
IF(OR(AX43&amp;AY43&amp;AZ43=AX$5&amp;AY$5&amp;AZ$5,AX43&amp;AY43&amp;AZ43=AX$5&amp;AZ$5&amp;AY$5,AX43&amp;AY43&amp;AZ43=AY$5&amp;AX$5&amp;AZ$5,AX43&amp;AY43&amp;AZ43=AY$5&amp;AZ$5&amp;AX$5,AX43&amp;AY43&amp;AZ43=AZ$5&amp;AX$5&amp;AY$5,AX43&amp;AY43&amp;AZ43=AZ$5&amp;AY$5&amp;AX$5),2,0),IF(AND(AX43=AX$5,AY$6&gt;=$D$129),1,0),IF(AND(AY43=AX$5,AY$6&gt;=$D$129),1,0),IF(AND(AZ43=AX$5,AY$6&gt;=$D$129),1,0),IF(AX43&amp;BA43=BA$5,4,0),IF(AND(AX43=AX$5,AY$6&lt;=$D$104),-0.5,0),IF(AND(AY43=AX$5,AY$6&lt;=$D$104),-0.5,0),IF(AND(AZ43=AX$5,AY$6&lt;=$D$104),-0.5,0))</f>
        <v/>
      </c>
      <c r="BC43" s="419" t="n">
        <v>7</v>
      </c>
      <c r="BD43" s="420" t="n">
        <v>5</v>
      </c>
      <c r="BE43" s="420" t="n">
        <v>6</v>
      </c>
      <c r="BF43" s="420" t="inlineStr">
        <is>
          <t>F</t>
        </is>
      </c>
      <c r="BG43" s="602">
        <f>SUM(IF(BC43=BC$5,4,0),IF(BC43&amp;BD43=BC$5&amp;BD$5,1,0),
IF(AND(BC43=BC$5,BD$6&gt;=$D$115),1,0),
IF(AND(BD43=BC$5,BD$6&gt;=$D$115),1,0),
IF(AND(BE43=BC$5,BD$6&gt;=$D$115),1,0),
IF(BC43&amp;BF43=BG$5,1,0),
IF(BD43=BC$5,2,0),
IF(BE43=BC$5,1,0),
IF(OR(BC43&amp;BD43&amp;BE43=BC$5&amp;BD$5&amp;BE$5,BC43&amp;BD43&amp;BE43=BC$5&amp;BE$5&amp;BD$5,BC43&amp;BD43&amp;BE43=BD$5&amp;BC$5&amp;BE$5,BC43&amp;BD43&amp;BE43=BD$5&amp;BE$5&amp;BC$5,BC43&amp;BD43&amp;BE43=BE$5&amp;BC$5&amp;BD$5,BC43&amp;BD43&amp;BE43=BE$5&amp;BD$5&amp;BC$5),2,0),IF(AND(BC43=BC$5,BD$6&gt;=$D$129),1,0),IF(AND(BD43=BC$5,BD$6&gt;=$D$129),1,0),IF(AND(BE43=BC$5,BD$6&gt;=$D$129),1,0),IF(BC43&amp;BF43=BF$5,4,0),IF(AND(BC43=BC$5,BD$6&lt;=$D$104),-0.5,0),IF(AND(BD43=BC$5,BD$6&lt;=$D$104),-0.5,0),IF(AND(BE43=BC$5,BD$6&lt;=$D$104),-0.5,0))</f>
        <v/>
      </c>
      <c r="BH43" s="419" t="n">
        <v>2</v>
      </c>
      <c r="BI43" s="420" t="n">
        <v>6</v>
      </c>
      <c r="BJ43" s="420" t="n">
        <v>1</v>
      </c>
      <c r="BK43" s="420" t="n"/>
      <c r="BL43" s="602">
        <f>SUM(IF(BH43=BH$5,4,0),IF(BH43&amp;BI43=BH$5&amp;BI$5,1,0),
IF(AND(BH43=BH$5,BI$6&gt;=$D$115),1,0),
IF(AND(BI43=BH$5,BI$6&gt;=$D$115),1,0),
IF(AND(BJ43=BH$5,BI$6&gt;=$D$115),1,0),
IF(BH43&amp;BK43=BL$5,1,0),
IF(BI43=BH$5,2,0),
IF(BJ43=BH$5,1,0),
IF(OR(BH43&amp;BI43&amp;BJ43=BH$5&amp;BI$5&amp;BJ$5,BH43&amp;BI43&amp;BJ43=BH$5&amp;BJ$5&amp;BI$5,BH43&amp;BI43&amp;BJ43=BI$5&amp;BH$5&amp;BJ$5,BH43&amp;BI43&amp;BJ43=BI$5&amp;BJ$5&amp;BH$5,BH43&amp;BI43&amp;BJ43=BJ$5&amp;BH$5&amp;BI$5,BH43&amp;BI43&amp;BJ43=BJ$5&amp;BI$5&amp;BH$5),2,0),IF(AND(BH43=BH$5,BI$6&gt;=$D$129),1,0),IF(AND(BI43=BH$5,BI$6&gt;=$D$129),1,0),IF(AND(BJ43=BH$5,BI$6&gt;=$D$129),1,0),IF(BH43&amp;BK43=BK$5,4,0),IF(AND(BH43=BH$5,BI$6&lt;=$D$104),-0.5,0),IF(AND(BI43=BH$5,BI$6&lt;=$D$104),-0.5,0),IF(AND(BJ43=BH$5,BI$6&lt;=$D$104),-0.5,0))</f>
        <v/>
      </c>
      <c r="BM43" s="419" t="n">
        <v>4</v>
      </c>
      <c r="BN43" s="420" t="n">
        <v>3</v>
      </c>
      <c r="BO43" s="420" t="n">
        <v>1</v>
      </c>
      <c r="BP43" s="420" t="n"/>
      <c r="BQ43" s="602">
        <f>SUM(IF(BM43=BM$5,4,0),IF(BM43&amp;BN43=BM$5&amp;BN$5,1,0),
IF(AND(BM43=BM$5,BN$6&gt;=$D$115),1,0),
IF(AND(BN43=BM$5,BN$6&gt;=$D$115),1,0),
IF(AND(BO43=BM$5,BN$6&gt;=$D$115),1,0),
IF(BM43&amp;BP43=BQ$5,1,0),
IF(BN43=BM$5,2,0),
IF(BO43=BM$5,1,0),
IF(OR(BM43&amp;BN43&amp;BO43=BM$5&amp;BN$5&amp;BO$5,BM43&amp;BN43&amp;BO43=BM$5&amp;BO$5&amp;BN$5,BM43&amp;BN43&amp;BO43=BN$5&amp;BM$5&amp;BO$5,BM43&amp;BN43&amp;BO43=BN$5&amp;BO$5&amp;BM$5,BM43&amp;BN43&amp;BO43=BO$5&amp;BM$5&amp;BN$5,BM43&amp;BN43&amp;BO43=BO$5&amp;BN$5&amp;BM$5),2,0),IF(AND(BM43=BM$5,BN$6&gt;=$D$129),1,0),IF(AND(BN43=BM$5,BN$6&gt;=$D$129),1,0),IF(AND(BO43=BM$5,BN$6&gt;=$D$129),1,0),IF(BM43&amp;BP43=BP$5,4,0),IF(AND(BM43=BM$5,BN$6&lt;=$D$104),-0.5,0),IF(AND(BN43=BM$5,BN$6&lt;=$D$104),-0.5,0),IF(AND(BO43=BM$5,BN$6&lt;=$D$104),-0.5,0))</f>
        <v/>
      </c>
      <c r="BR43" s="419" t="n">
        <v>5</v>
      </c>
      <c r="BS43" s="420" t="n">
        <v>1</v>
      </c>
      <c r="BT43" s="420" t="n">
        <v>11</v>
      </c>
      <c r="BU43" s="420" t="n"/>
      <c r="BV43" s="602">
        <f>SUM(IF(BR43=BR$5,4,0),IF(BR43&amp;BS43=BR$5&amp;BS$5,1,0),
IF(AND(BR43=BR$5,BS$6&gt;=$D$115),1,0),
IF(AND(BS43=BR$5,BS$6&gt;=$D$115),1,0),
IF(AND(BT43=BR$5,BS$6&gt;=$D$115),1,0),
IF(BR43&amp;BU43=BV$5,1,0),
IF(BS43=BR$5,2,0),
IF(BT43=BR$5,1,0),
IF(OR(BR43&amp;BS43&amp;BT43=BR$5&amp;BS$5&amp;BT$5,BR43&amp;BS43&amp;BT43=BR$5&amp;BT$5&amp;BS$5,BR43&amp;BS43&amp;BT43=BS$5&amp;BR$5&amp;BT$5,BR43&amp;BS43&amp;BT43=BS$5&amp;BT$5&amp;BR$5,BR43&amp;BS43&amp;BT43=BT$5&amp;BR$5&amp;BS$5,BR43&amp;BS43&amp;BT43=BT$5&amp;BS$5&amp;BR$5),2,0),IF(AND(BR43=BR$5,BS$6&gt;=$D$129),1,0),IF(AND(BS43=BR$5,BS$6&gt;=$D$129),1,0),IF(AND(BT43=BR$5,BS$6&gt;=$D$129),1,0),IF(BR43&amp;BU43=BU$5,4,0),IF(AND(BR43=BR$5,BS$6&lt;=$D$104),-0.5,0),IF(AND(BS43=BR$5,BS$6&lt;=$D$104),-0.5,0),IF(AND(BT43=BR$5,BS$6&lt;=$D$104),-0.5,0))</f>
        <v/>
      </c>
      <c r="BW43" s="419" t="n"/>
      <c r="BX43" s="420" t="n"/>
      <c r="BY43" s="420" t="n"/>
      <c r="BZ43" s="420" t="n"/>
      <c r="CA43" s="602">
        <f>SUM(IF(BW43=BW$5,4,0),IF(BW43&amp;BX43=BW$5&amp;BX$5,1,0),
IF(AND(BW43=BW$5,BX$6&gt;=$D$115),1,0),
IF(AND(BX43=BW$5,BX$6&gt;=$D$115),1,0),
IF(AND(BY43=BW$5,BX$6&gt;=$D$115),1,0),
IF(BW43&amp;BZ43=CA$5,1,0),
IF(BX43=BW$5,2,0),
IF(BY43=BW$5,1,0),
IF(OR(BW43&amp;BX43&amp;BY43=BW$5&amp;BX$5&amp;BY$5,BW43&amp;BX43&amp;BY43=BW$5&amp;BY$5&amp;BX$5,BW43&amp;BX43&amp;BY43=BX$5&amp;BW$5&amp;BY$5,BW43&amp;BX43&amp;BY43=BX$5&amp;BY$5&amp;BW$5,BW43&amp;BX43&amp;BY43=BY$5&amp;BW$5&amp;BX$5,BW43&amp;BX43&amp;BY43=BY$5&amp;BX$5&amp;BW$5),2,0),IF(AND(BW43=BW$5,BX$6&gt;=$D$129),1,0),IF(AND(BX43=BW$5,BX$6&gt;=$D$129),1,0),IF(AND(BY43=BW$5,BX$6&gt;=$D$129),1,0),IF(BW43&amp;BZ43=BZ$5,4,0),IF(AND(BW43=BW$5,BX$6&lt;=$D$104),-0.5,0),IF(AND(BX43=BW$5,BX$6&lt;=$D$104),-0.5,0),IF(AND(BY43=BW$5,BX$6&lt;=$D$104),-0.5,0))</f>
        <v/>
      </c>
      <c r="CB43" s="419" t="n"/>
      <c r="CC43" s="420" t="n"/>
      <c r="CD43" s="420" t="n"/>
      <c r="CE43" s="420" t="n"/>
      <c r="CF43" s="602">
        <f>SUM(IF(CB43=CB$5,4,0),IF(CB43&amp;CC43=CB$5&amp;CC$5,1,0),
IF(AND(CB43=CB$5,CC$6&gt;=$D$115),1,0),
IF(AND(CC43=CB$5,CC$6&gt;=$D$115),1,0),
IF(AND(CD43=CB$5,CC$6&gt;=$D$115),1,0),
IF(CB43&amp;CE43=CF$5,1,0),
IF(CC43=CB$5,2,0),
IF(CD43=CB$5,1,0),
IF(OR(CB43&amp;CC43&amp;CD43=CB$5&amp;CC$5&amp;CD$5,CB43&amp;CC43&amp;CD43=CB$5&amp;CD$5&amp;CC$5,CB43&amp;CC43&amp;CD43=CC$5&amp;CB$5&amp;CD$5,CB43&amp;CC43&amp;CD43=CC$5&amp;CD$5&amp;CB$5,CB43&amp;CC43&amp;CD43=CD$5&amp;CB$5&amp;CC$5,CB43&amp;CC43&amp;CD43=CD$5&amp;CC$5&amp;CB$5),2,0),IF(AND(CB43=CB$5,CC$6&gt;=$D$129),1,0),IF(AND(CC43=CB$5,CC$6&gt;=$D$129),1,0),IF(AND(CD43=CB$5,CC$6&gt;=$D$129),1,0),IF(CB43&amp;CE43=CE$5,4,0),IF(AND(CB43=CB$5,CC$6&lt;=$D$104),-0.5,0),IF(AND(CC43=CB$5,CC$6&lt;=$D$104),-0.5,0),IF(AND(CD43=CB$5,CC$6&lt;=$D$104),-0.5,0))</f>
        <v/>
      </c>
      <c r="CG43" s="164">
        <f>IF(SEMANA2[[#This Row],[1]]="",0,$B$4)</f>
        <v/>
      </c>
      <c r="CH43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3" s="166">
        <f>IF(SEMANA2[[#This Row],[Columna14]]=0,0,(CH43/CG43))</f>
        <v/>
      </c>
      <c r="CJ43" s="165">
        <f>IF(SEMANA2[[#This Row],[1]]="",0,$B$4)</f>
        <v/>
      </c>
      <c r="CK43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3" s="166">
        <f>IF(SEMANA2[[#This Row],[Columna14]]=0,0,(CK43/CJ43))</f>
        <v/>
      </c>
      <c r="CM43" s="164">
        <f>IF(SEMANA2[[#This Row],[1]]="",0,$B$4)</f>
        <v/>
      </c>
      <c r="CN43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3" s="166">
        <f>IF(SEMANA2[[#This Row],[Columna14]]=0,0,(CN43/CM43))</f>
        <v/>
      </c>
      <c r="CP43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3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Row],[Columna25]],$AX$5,BA43,"SF")+COUNTIFS(SEMANA2[[#This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3" s="166">
        <f>IFERROR(IF(SEMANA2[[#This Row],[Columna14]]=0,0,(CQ43/CP43)),0)</f>
        <v/>
      </c>
      <c r="CS43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3" s="95">
        <f>_xlfn.XLOOKUP(SEMANA2[[#This Row],[COD]],BASE01[COD],BASE01[Columna33])</f>
        <v/>
      </c>
      <c r="CU43" s="604">
        <f>SUM(CS43,CT43)</f>
        <v/>
      </c>
      <c r="CV43" s="450">
        <f>IF(SEMANA2[[#This Row],[TIPO]]="PREMIO",$O$3,"0,00")</f>
        <v/>
      </c>
      <c r="CW43" s="576" t="n"/>
      <c r="CY43" s="392">
        <f>IF(CZ43="","",$CZ$25)</f>
        <v/>
      </c>
      <c r="CZ43" s="392" t="n"/>
      <c r="DA43" s="392">
        <f t="array" ref="DA43">IF(CZ43="", "", IF((INDEX(E$8:CE$57, MATCH(CZ43, C$8:C$57, 0), ($CZ$25-1)*5 + 1) &amp; "") = (INDEX(E$5:CE$5, 1, ($CZ$25-1)*5 + 1) &amp; ""), 1, IF((INDEX(E$8:CE$57, MATCH(CZ43, C$8:C$57, 0), ($CZ$25-1)*5 + 2) &amp; "") = (INDEX(E$5:CE$5, 1, ($CZ$25-1)*5 + 1) &amp; ""), 2, IF((INDEX(E$8:CE$57, MATCH(CZ43, C$8:C$57, 0), ($CZ$25-1)*5 + 3) &amp; "") = (INDEX(E$5:CE$5, 1, ($CZ$25-1)*5 + 1) &amp; ""), 3, ""))))</f>
        <v/>
      </c>
      <c r="DB43" s="605">
        <f>SEMANA2[[#This Row],[COD]]</f>
        <v/>
      </c>
      <c r="DC43" s="395">
        <f t="array" ref="DC43">IFERROR(IF(AND(INDEX($E$8:$CE$57, MATCH($C43, $C$8:$C$57, 0), (COLUMNS($DC43:DC43)-1)*5 + 1) = INDEX($E$5:$CE$5, 1, (COLUMNS($DC43:DC43)-1)*5 + 1), INDEX($E$8:$CE$57, MATCH($C43, $C$8:$C$57, 0), (COLUMNS($DC43:DC43)-1)*5 + 4) = "F"), INDEX($CZ$8:$CZ$23, COLUMNS($DC43:DC43)), "0"), "")</f>
        <v/>
      </c>
      <c r="DD43" s="395">
        <f t="array" ref="DD43">IFERROR(IF(AND(INDEX($E$8:$CE$57, MATCH($C43, $C$8:$C$57, 0), (COLUMNS($DC43:DD43)-1)*5 + 1) = INDEX($E$5:$CE$5, 1, (COLUMNS($DC43:DD43)-1)*5 + 1), INDEX($E$8:$CE$57, MATCH($C43, $C$8:$C$57, 0), (COLUMNS($DC43:DD43)-1)*5 + 4) = "F"), INDEX($CZ$8:$CZ$23, COLUMNS($DC43:DD43)), "0"), "")</f>
        <v/>
      </c>
      <c r="DE43" s="395">
        <f t="array" ref="DE43">IFERROR(IF(AND(INDEX($E$8:$CE$57, MATCH($C43, $C$8:$C$57, 0), (COLUMNS($DC43:DE43)-1)*5 + 1) = INDEX($E$5:$CE$5, 1, (COLUMNS($DC43:DE43)-1)*5 + 1), INDEX($E$8:$CE$57, MATCH($C43, $C$8:$C$57, 0), (COLUMNS($DC43:DE43)-1)*5 + 4) = "F"), INDEX($CZ$8:$CZ$23, COLUMNS($DC43:DE43)), "0"), "")</f>
        <v/>
      </c>
      <c r="DF43" s="395">
        <f t="array" ref="DF43">IFERROR(IF(AND(INDEX($E$8:$CE$57, MATCH($C43, $C$8:$C$57, 0), (COLUMNS($DC43:DF43)-1)*5 + 1) = INDEX($E$5:$CE$5, 1, (COLUMNS($DC43:DF43)-1)*5 + 1), INDEX($E$8:$CE$57, MATCH($C43, $C$8:$C$57, 0), (COLUMNS($DC43:DF43)-1)*5 + 4) = "F"), INDEX($CZ$8:$CZ$23, COLUMNS($DC43:DF43)), "0"), "")</f>
        <v/>
      </c>
      <c r="DG43" s="395">
        <f t="array" ref="DG43">IFERROR(IF(AND(INDEX($E$8:$CE$57, MATCH($C43, $C$8:$C$57, 0), (COLUMNS($DC43:DG43)-1)*5 + 1) = INDEX($E$5:$CE$5, 1, (COLUMNS($DC43:DG43)-1)*5 + 1), INDEX($E$8:$CE$57, MATCH($C43, $C$8:$C$57, 0), (COLUMNS($DC43:DG43)-1)*5 + 4) = "F"), INDEX($CZ$8:$CZ$23, COLUMNS($DC43:DG43)), "0"), "")</f>
        <v/>
      </c>
      <c r="DH43" s="395">
        <f t="array" ref="DH43">IFERROR(IF(AND(INDEX($E$8:$CE$57, MATCH($C43, $C$8:$C$57, 0), (COLUMNS($DC43:DH43)-1)*5 + 1) = INDEX($E$5:$CE$5, 1, (COLUMNS($DC43:DH43)-1)*5 + 1), INDEX($E$8:$CE$57, MATCH($C43, $C$8:$C$57, 0), (COLUMNS($DC43:DH43)-1)*5 + 4) = "F"), INDEX($CZ$8:$CZ$23, COLUMNS($DC43:DH43)), "0"), "")</f>
        <v/>
      </c>
      <c r="DI43" s="395">
        <f t="array" ref="DI43">IFERROR(IF(AND(INDEX($E$8:$CE$57, MATCH($C43, $C$8:$C$57, 0), (COLUMNS($DC43:DI43)-1)*5 + 1) = INDEX($E$5:$CE$5, 1, (COLUMNS($DC43:DI43)-1)*5 + 1), INDEX($E$8:$CE$57, MATCH($C43, $C$8:$C$57, 0), (COLUMNS($DC43:DI43)-1)*5 + 4) = "F"), INDEX($CZ$8:$CZ$23, COLUMNS($DC43:DI43)), "0"), "")</f>
        <v/>
      </c>
      <c r="DJ43" s="395">
        <f t="array" ref="DJ43">IFERROR(IF(AND(INDEX($E$8:$CE$57, MATCH($C43, $C$8:$C$57, 0), (COLUMNS($DC43:DJ43)-1)*5 + 1) = INDEX($E$5:$CE$5, 1, (COLUMNS($DC43:DJ43)-1)*5 + 1), INDEX($E$8:$CE$57, MATCH($C43, $C$8:$C$57, 0), (COLUMNS($DC43:DJ43)-1)*5 + 4) = "F"), INDEX($CZ$8:$CZ$23, COLUMNS($DC43:DJ43)), "0"), "")</f>
        <v/>
      </c>
      <c r="DK43" s="395">
        <f t="array" ref="DK43">IFERROR(IF(AND(INDEX($E$8:$CE$57, MATCH($C43, $C$8:$C$57, 0), (COLUMNS($DC43:DK43)-1)*5 + 1) = INDEX($E$5:$CE$5, 1, (COLUMNS($DC43:DK43)-1)*5 + 1), INDEX($E$8:$CE$57, MATCH($C43, $C$8:$C$57, 0), (COLUMNS($DC43:DK43)-1)*5 + 4) = "F"), INDEX($CZ$8:$CZ$23, COLUMNS($DC43:DK43)), "0"), "")</f>
        <v/>
      </c>
      <c r="DL43" s="395">
        <f t="array" ref="DL43">IFERROR(IF(AND(INDEX($E$8:$CE$57, MATCH($C43, $C$8:$C$57, 0), (COLUMNS($DC43:DL43)-1)*5 + 1) = INDEX($E$5:$CE$5, 1, (COLUMNS($DC43:DL43)-1)*5 + 1), INDEX($E$8:$CE$57, MATCH($C43, $C$8:$C$57, 0), (COLUMNS($DC43:DL43)-1)*5 + 4) = "F"), INDEX($CZ$8:$CZ$23, COLUMNS($DC43:DL43)), "0"), "")</f>
        <v/>
      </c>
      <c r="DM43" s="395">
        <f t="array" ref="DM43">IFERROR(IF(AND(INDEX($E$8:$CE$57, MATCH($C43, $C$8:$C$57, 0), (COLUMNS($DC43:DM43)-1)*5 + 1) = INDEX($E$5:$CE$5, 1, (COLUMNS($DC43:DM43)-1)*5 + 1), INDEX($E$8:$CE$57, MATCH($C43, $C$8:$C$57, 0), (COLUMNS($DC43:DM43)-1)*5 + 4) = "F"), INDEX($CZ$8:$CZ$23, COLUMNS($DC43:DM43)), "0"), "")</f>
        <v/>
      </c>
      <c r="DN43" s="395">
        <f t="array" ref="DN43">IFERROR(IF(AND(INDEX($E$8:$CE$57, MATCH($C43, $C$8:$C$57, 0), (COLUMNS($DC43:DN43)-1)*5 + 1) = INDEX($E$5:$CE$5, 1, (COLUMNS($DC43:DN43)-1)*5 + 1), INDEX($E$8:$CE$57, MATCH($C43, $C$8:$C$57, 0), (COLUMNS($DC43:DN43)-1)*5 + 4) = "F"), INDEX($CZ$8:$CZ$23, COLUMNS($DC43:DN43)), "0"), "")</f>
        <v/>
      </c>
      <c r="DO43" s="395">
        <f t="array" ref="DO43">IFERROR(IF(AND(INDEX($E$8:$CE$57, MATCH($C43, $C$8:$C$57, 0), (COLUMNS($DC43:DO43)-1)*5 + 1) = INDEX($E$5:$CE$5, 1, (COLUMNS($DC43:DO43)-1)*5 + 1), INDEX($E$8:$CE$57, MATCH($C43, $C$8:$C$57, 0), (COLUMNS($DC43:DO43)-1)*5 + 4) = "F"), INDEX($CZ$8:$CZ$23, COLUMNS($DC43:DO43)), "0"), "")</f>
        <v/>
      </c>
      <c r="DP43" s="395">
        <f t="array" ref="DP43">IFERROR(IF(AND(INDEX($E$8:$CE$57, MATCH($C43, $C$8:$C$57, 0), (COLUMNS($DC43:DP43)-1)*5 + 1) = INDEX($E$5:$CE$5, 1, (COLUMNS($DC43:DP43)-1)*5 + 1), INDEX($E$8:$CE$57, MATCH($C43, $C$8:$C$57, 0), (COLUMNS($DC43:DP43)-1)*5 + 4) = "F"), INDEX($CZ$8:$CZ$23, COLUMNS($DC43:DP43)), "0"), "")</f>
        <v/>
      </c>
      <c r="DQ43" s="395">
        <f t="array" ref="DQ43">IFERROR(IF(AND(INDEX($E$8:$CE$57, MATCH($C43, $C$8:$C$57, 0), (COLUMNS($DC43:DQ43)-1)*5 + 1) = INDEX($E$5:$CE$5, 1, (COLUMNS($DC43:DQ43)-1)*5 + 1), INDEX($E$8:$CE$57, MATCH($C43, $C$8:$C$57, 0), (COLUMNS($DC43:DQ43)-1)*5 + 4) = "F"), INDEX($CZ$8:$CZ$23, COLUMNS($DC43:DQ43)), "0"), "")</f>
        <v/>
      </c>
      <c r="DR43" s="395">
        <f t="array" ref="DR43">IFERROR(IF(AND(INDEX($E$8:$CE$57, MATCH($C43, $C$8:$C$57, 0), (COLUMNS($DC43:DR43)-1)*5 + 1) = INDEX($E$5:$CE$5, 1, (COLUMNS($DC43:DR43)-1)*5 + 1), INDEX($E$8:$CE$57, MATCH($C43, $C$8:$C$57, 0), (COLUMNS($DC43:DR43)-1)*5 + 4) = "F"), INDEX($CZ$8:$CZ$23, COLUMNS($DC43:DR43)), "0"), "")</f>
        <v/>
      </c>
      <c r="DT43" s="605">
        <f>SEMANA2[[#This Row],[COD]]</f>
        <v/>
      </c>
      <c r="DU43" s="395">
        <f t="array" ref="DU43">IFERROR(IF(AND(INDEX($E$8:$CE$57, MATCH($C43, $C$8:$C$57, 0), (COLUMNS($DU43:DU43)-1)*5 + 1) = INDEX($E$5:$CE$5, 1, (COLUMNS($DU43:DU43)-1)*5 + 1), INDEX($E$8:$CE$57, MATCH($C43, $C$8:$C$57, 0), (COLUMNS($DU43:DU43)-1)*5 + 4) = "SF"), INDEX($CZ$8:$CZ$23, COLUMNS($DU43:DU43)), "0"), "")</f>
        <v/>
      </c>
      <c r="DV43" s="395">
        <f t="array" ref="DV43">IFERROR(IF(AND(INDEX($E$8:$CE$57, MATCH($C43, $C$8:$C$57, 0), (COLUMNS($DU43:DV43)-1)*5 + 1) = INDEX($E$5:$CE$5, 1, (COLUMNS($DU43:DV43)-1)*5 + 1), INDEX($E$8:$CE$57, MATCH($C43, $C$8:$C$57, 0), (COLUMNS($DU43:DV43)-1)*5 + 4) = "SF"), INDEX($CZ$8:$CZ$23, COLUMNS($DU43:DV43)), "0"), "")</f>
        <v/>
      </c>
      <c r="DW43" s="395">
        <f t="array" ref="DW43">IFERROR(IF(AND(INDEX($E$8:$CE$57, MATCH($C43, $C$8:$C$57, 0), (COLUMNS($DU43:DW43)-1)*5 + 1) = INDEX($E$5:$CE$5, 1, (COLUMNS($DU43:DW43)-1)*5 + 1), INDEX($E$8:$CE$57, MATCH($C43, $C$8:$C$57, 0), (COLUMNS($DU43:DW43)-1)*5 + 4) = "SF"), INDEX($CZ$8:$CZ$23, COLUMNS($DU43:DW43)), "0"), "")</f>
        <v/>
      </c>
      <c r="DX43" s="395">
        <f t="array" ref="DX43">IFERROR(IF(AND(INDEX($E$8:$CE$57, MATCH($C43, $C$8:$C$57, 0), (COLUMNS($DU43:DX43)-1)*5 + 1) = INDEX($E$5:$CE$5, 1, (COLUMNS($DU43:DX43)-1)*5 + 1), INDEX($E$8:$CE$57, MATCH($C43, $C$8:$C$57, 0), (COLUMNS($DU43:DX43)-1)*5 + 4) = "SF"), INDEX($CZ$8:$CZ$23, COLUMNS($DU43:DX43)), "0"), "")</f>
        <v/>
      </c>
      <c r="DY43" s="395">
        <f t="array" ref="DY43">IFERROR(IF(AND(INDEX($E$8:$CE$57, MATCH($C43, $C$8:$C$57, 0), (COLUMNS($DU43:DY43)-1)*5 + 1) = INDEX($E$5:$CE$5, 1, (COLUMNS($DU43:DY43)-1)*5 + 1), INDEX($E$8:$CE$57, MATCH($C43, $C$8:$C$57, 0), (COLUMNS($DU43:DY43)-1)*5 + 4) = "SF"), INDEX($CZ$8:$CZ$23, COLUMNS($DU43:DY43)), "0"), "")</f>
        <v/>
      </c>
      <c r="DZ43" s="395">
        <f t="array" ref="DZ43">IFERROR(IF(AND(INDEX($E$8:$CE$57, MATCH($C43, $C$8:$C$57, 0), (COLUMNS($DU43:DZ43)-1)*5 + 1) = INDEX($E$5:$CE$5, 1, (COLUMNS($DU43:DZ43)-1)*5 + 1), INDEX($E$8:$CE$57, MATCH($C43, $C$8:$C$57, 0), (COLUMNS($DU43:DZ43)-1)*5 + 4) = "SF"), INDEX($CZ$8:$CZ$23, COLUMNS($DU43:DZ43)), "0"), "")</f>
        <v/>
      </c>
      <c r="EA43" s="395">
        <f t="array" ref="EA43">IFERROR(IF(AND(INDEX($E$8:$CE$57, MATCH($C43, $C$8:$C$57, 0), (COLUMNS($DU43:EA43)-1)*5 + 1) = INDEX($E$5:$CE$5, 1, (COLUMNS($DU43:EA43)-1)*5 + 1), INDEX($E$8:$CE$57, MATCH($C43, $C$8:$C$57, 0), (COLUMNS($DU43:EA43)-1)*5 + 4) = "SF"), INDEX($CZ$8:$CZ$23, COLUMNS($DU43:EA43)), "0"), "")</f>
        <v/>
      </c>
      <c r="EB43" s="395">
        <f t="array" ref="EB43">IFERROR(IF(AND(INDEX($E$8:$CE$57, MATCH($C43, $C$8:$C$57, 0), (COLUMNS($DU43:EB43)-1)*5 + 1) = INDEX($E$5:$CE$5, 1, (COLUMNS($DU43:EB43)-1)*5 + 1), INDEX($E$8:$CE$57, MATCH($C43, $C$8:$C$57, 0), (COLUMNS($DU43:EB43)-1)*5 + 4) = "SF"), INDEX($CZ$8:$CZ$23, COLUMNS($DU43:EB43)), "0"), "")</f>
        <v/>
      </c>
      <c r="EC43" s="395">
        <f t="array" ref="EC43">IFERROR(IF(AND(INDEX($E$8:$CE$57, MATCH($C43, $C$8:$C$57, 0), (COLUMNS($DU43:EC43)-1)*5 + 1) = INDEX($E$5:$CE$5, 1, (COLUMNS($DU43:EC43)-1)*5 + 1), INDEX($E$8:$CE$57, MATCH($C43, $C$8:$C$57, 0), (COLUMNS($DU43:EC43)-1)*5 + 4) = "SF"), INDEX($CZ$8:$CZ$23, COLUMNS($DU43:EC43)), "0"), "")</f>
        <v/>
      </c>
      <c r="ED43" s="395">
        <f t="array" ref="ED43">IFERROR(IF(AND(INDEX($E$8:$CE$57, MATCH($C43, $C$8:$C$57, 0), (COLUMNS($DU43:ED43)-1)*5 + 1) = INDEX($E$5:$CE$5, 1, (COLUMNS($DU43:ED43)-1)*5 + 1), INDEX($E$8:$CE$57, MATCH($C43, $C$8:$C$57, 0), (COLUMNS($DU43:ED43)-1)*5 + 4) = "SF"), INDEX($CZ$8:$CZ$23, COLUMNS($DU43:ED43)), "0"), "")</f>
        <v/>
      </c>
      <c r="EE43" s="395">
        <f t="array" ref="EE43">IFERROR(IF(AND(INDEX($E$8:$CE$57, MATCH($C43, $C$8:$C$57, 0), (COLUMNS($DU43:EE43)-1)*5 + 1) = INDEX($E$5:$CE$5, 1, (COLUMNS($DU43:EE43)-1)*5 + 1), INDEX($E$8:$CE$57, MATCH($C43, $C$8:$C$57, 0), (COLUMNS($DU43:EE43)-1)*5 + 4) = "SF"), INDEX($CZ$8:$CZ$23, COLUMNS($DU43:EE43)), "0"), "")</f>
        <v/>
      </c>
      <c r="EF43" s="395">
        <f t="array" ref="EF43">IFERROR(IF(AND(INDEX($E$8:$CE$57, MATCH($C43, $C$8:$C$57, 0), (COLUMNS($DU43:EF43)-1)*5 + 1) = INDEX($E$5:$CE$5, 1, (COLUMNS($DU43:EF43)-1)*5 + 1), INDEX($E$8:$CE$57, MATCH($C43, $C$8:$C$57, 0), (COLUMNS($DU43:EF43)-1)*5 + 4) = "SF"), INDEX($CZ$8:$CZ$23, COLUMNS($DU43:EF43)), "0"), "")</f>
        <v/>
      </c>
      <c r="EG43" s="395">
        <f t="array" ref="EG43">IFERROR(IF(AND(INDEX($E$8:$CE$57, MATCH($C43, $C$8:$C$57, 0), (COLUMNS($DU43:EG43)-1)*5 + 1) = INDEX($E$5:$CE$5, 1, (COLUMNS($DU43:EG43)-1)*5 + 1), INDEX($E$8:$CE$57, MATCH($C43, $C$8:$C$57, 0), (COLUMNS($DU43:EG43)-1)*5 + 4) = "SF"), INDEX($CZ$8:$CZ$23, COLUMNS($DU43:EG43)), "0"), "")</f>
        <v/>
      </c>
      <c r="EH43" s="395">
        <f t="array" ref="EH43">IFERROR(IF(AND(INDEX($E$8:$CE$57, MATCH($C43, $C$8:$C$57, 0), (COLUMNS($DU43:EH43)-1)*5 + 1) = INDEX($E$5:$CE$5, 1, (COLUMNS($DU43:EH43)-1)*5 + 1), INDEX($E$8:$CE$57, MATCH($C43, $C$8:$C$57, 0), (COLUMNS($DU43:EH43)-1)*5 + 4) = "SF"), INDEX($CZ$8:$CZ$23, COLUMNS($DU43:EH43)), "0"), "")</f>
        <v/>
      </c>
      <c r="EI43" s="395">
        <f t="array" ref="EI43">IFERROR(IF(AND(INDEX($E$8:$CE$57, MATCH($C43, $C$8:$C$57, 0), (COLUMNS($DU43:EI43)-1)*5 + 1) = INDEX($E$5:$CE$5, 1, (COLUMNS($DU43:EI43)-1)*5 + 1), INDEX($E$8:$CE$57, MATCH($C43, $C$8:$C$57, 0), (COLUMNS($DU43:EI43)-1)*5 + 4) = "SF"), INDEX($CZ$8:$CZ$23, COLUMNS($DU43:EI43)), "0"), "")</f>
        <v/>
      </c>
      <c r="EJ43" s="395">
        <f t="array" ref="EJ43">IFERROR(IF(AND(INDEX($E$8:$CE$57, MATCH($C43, $C$8:$C$57, 0), (COLUMNS($DU43:EJ43)-1)*5 + 1) = INDEX($E$5:$CE$5, 1, (COLUMNS($DU43:EJ43)-1)*5 + 1), INDEX($E$8:$CE$57, MATCH($C43, $C$8:$C$57, 0), (COLUMNS($DU43:EJ43)-1)*5 + 4) = "SF"), INDEX($CZ$8:$CZ$23, COLUMNS($DU43:EJ43)), "0"), "")</f>
        <v/>
      </c>
    </row>
    <row r="44" ht="20.1" customHeight="1" s="568">
      <c r="A44" s="576" t="n"/>
      <c r="B44" s="449">
        <f>IF(SEMANA2[[#This Row],[COD]]&lt;&gt;"",B43+1,"")</f>
        <v/>
      </c>
      <c r="C44" s="622" t="inlineStr">
        <is>
          <t>COD 37</t>
        </is>
      </c>
      <c r="D44" s="415">
        <f t="array" ref="D44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4" s="416" t="n">
        <v>9</v>
      </c>
      <c r="F44" s="417" t="n"/>
      <c r="G44" s="417" t="n"/>
      <c r="H44" s="417" t="inlineStr">
        <is>
          <t>SF</t>
        </is>
      </c>
      <c r="I44" s="602">
        <f>SUM(IF(E44=E$5,4,0),IF(E44&amp;F44=E$5&amp;F$5,1,0),
IF(AND(E44=E$5,F$6&gt;=$D$115),1,0),
IF(AND(F44=E$5,F$6&gt;=$D$115),1,0),
IF(AND(G44=E$5,F$6&gt;=$D$115),1,0),
IF(E44&amp;H44=I$5,1,0),
IF(F44=E$5,2,0),
IF(G44=E$5,1,0),
IF(OR(E44&amp;F44&amp;G44=E$5&amp;F$5&amp;G$5,E44&amp;F44&amp;G44=E$5&amp;G$5&amp;F$5,E44&amp;F44&amp;G44=F$5&amp;E$5&amp;G$5,E44&amp;F44&amp;G44=F$5&amp;G$5&amp;E$5,E44&amp;F44&amp;G44=G$5&amp;E$5&amp;F$5,E44&amp;F44&amp;G44=G$5&amp;F$5&amp;E$5),2,0),IF(AND(E44=E$5,F$6&gt;=$D$129),1,0),IF(AND(F44=E$5,F$6&gt;=$D$129),1,0),IF(AND(G44=E$5,F$6&gt;=$D$129),1,0),IF(E44&amp;H44=H$5,4,0),IF(AND(E44=E$5,F$6&lt;=$D$104),-0.5,0),IF(AND(F44=E$5,F$6&lt;=$D$104),-0.5,0),IF(AND(G44=E$5,F$6&lt;=$D$104),-0.5,0))</f>
        <v/>
      </c>
      <c r="J44" s="416" t="n">
        <v>1</v>
      </c>
      <c r="K44" s="417" t="n">
        <v>2</v>
      </c>
      <c r="L44" s="417" t="n">
        <v>6</v>
      </c>
      <c r="M44" s="417" t="n"/>
      <c r="N44" s="602">
        <f>SUM(IF(J44=J$5,4,0),IF(J44&amp;K44=J$5&amp;K$5,1,0),
IF(AND(J44=J$5,K$6&gt;=$D$115),1,0),
IF(AND(K44=J$5,K$6&gt;=$D$115),1,0),
IF(AND(L44=J$5,K$6&gt;=$D$115),1,0),
IF(J44&amp;M44=N$5,1,0),
IF(K44=J$5,2,0),
IF(L44=J$5,1,0),
IF(OR(J44&amp;K44&amp;L44=J$5&amp;K$5&amp;L$5,J44&amp;K44&amp;L44=J$5&amp;L$5&amp;K$5,J44&amp;K44&amp;L44=K$5&amp;J$5&amp;L$5,J44&amp;K44&amp;L44=K$5&amp;L$5&amp;J$5,J44&amp;K44&amp;L44=L$5&amp;J$5&amp;K$5,J44&amp;K44&amp;L44=L$5&amp;K$5&amp;J$5),2,0),IF(AND(J44=J$5,K$6&gt;=$D$129),1,0),IF(AND(K44=J$5,K$6&gt;=$D$129),1,0),IF(AND(L44=J$5,K$6&gt;=$D$129),1,0),IF(J44&amp;M44=M$5,4,0),IF(AND(J44=J$5,K$6&lt;=$D$104),-0.5,0),IF(AND(K44=J$5,K$6&lt;=$D$104),-0.5,0),IF(AND(L44=J$5,K$6&lt;=$D$104),-0.5,0))</f>
        <v/>
      </c>
      <c r="O44" s="416" t="n">
        <v>5</v>
      </c>
      <c r="P44" s="417" t="n">
        <v>1</v>
      </c>
      <c r="Q44" s="417" t="n">
        <v>7</v>
      </c>
      <c r="R44" s="417" t="n"/>
      <c r="S44" s="602">
        <f>SUM(IF(O44=O$5,4,0),IF(O44&amp;P44=O$5&amp;P$5,1,0),
IF(AND(O44=O$5,P$6&gt;=$D$115),1,0),
IF(AND(P44=O$5,P$6&gt;=$D$115),1,0),
IF(AND(Q44=O$5,P$6&gt;=$D$115),1,0),
IF(O44&amp;R44=S$5,1,0),
IF(P44=O$5,2,0),
IF(Q44=O$5,1,0),
IF(OR(O44&amp;P44&amp;Q44=O$5&amp;P$5&amp;Q$5,O44&amp;P44&amp;Q44=O$5&amp;Q$5&amp;P$5,O44&amp;P44&amp;Q44=P$5&amp;O$5&amp;Q$5,O44&amp;P44&amp;Q44=P$5&amp;Q$5&amp;O$5,O44&amp;P44&amp;Q44=Q$5&amp;O$5&amp;P$5,O44&amp;P44&amp;Q44=Q$5&amp;P$5&amp;O$5),2,0),IF(AND(O44=O$5,P$6&gt;=$D$129),1,0),IF(AND(P44=O$5,P$6&gt;=$D$129),1,0),IF(AND(Q44=O$5,P$6&gt;=$D$129),1,0),IF(O44&amp;R44=R$5,4,0),IF(AND(O44=O$5,P$6&lt;=$D$104),-0.5,0),IF(AND(P44=O$5,P$6&lt;=$D$104),-0.5,0),IF(AND(Q44=O$5,P$6&lt;=$D$104),-0.5,0))</f>
        <v/>
      </c>
      <c r="T44" s="416" t="n">
        <v>3</v>
      </c>
      <c r="U44" s="417" t="n">
        <v>1</v>
      </c>
      <c r="V44" s="417" t="n">
        <v>5</v>
      </c>
      <c r="W44" s="417" t="n"/>
      <c r="X44" s="602">
        <f>SUM(IF(T44=T$5,4,0),IF(T44&amp;U44=T$5&amp;U$5,1,0),
IF(AND(T44=T$5,U$6&gt;=$D$115),1,0),
IF(AND(U44=T$5,U$6&gt;=$D$115),1,0),
IF(AND(V44=T$5,U$6&gt;=$D$115),1,0),
IF(T44&amp;W44=X$5,1,0),
IF(U44=T$5,2,0),
IF(V44=T$5,1,0),
IF(OR(T44&amp;U44&amp;V44=T$5&amp;U$5&amp;V$5,T44&amp;U44&amp;V44=T$5&amp;V$5&amp;U$5,T44&amp;U44&amp;V44=U$5&amp;T$5&amp;V$5,T44&amp;U44&amp;V44=U$5&amp;V$5&amp;T$5,T44&amp;U44&amp;V44=V$5&amp;T$5&amp;U$5,T44&amp;U44&amp;V44=V$5&amp;U$5&amp;T$5),2,0),IF(AND(T44=T$5,U$6&gt;=$D$129),1,0),IF(AND(U44=T$5,U$6&gt;=$D$129),1,0),IF(AND(V44=T$5,U$6&gt;=$D$129),1,0),IF(T44&amp;W44=W$5,4,0),IF(AND(T44=T$5,U$6&lt;=$D$104),-0.5,0),IF(AND(U44=T$5,U$6&lt;=$D$104),-0.5,0),IF(AND(V44=T$5,U$6&lt;=$D$104),-0.5,0))</f>
        <v/>
      </c>
      <c r="Y44" s="416" t="n">
        <v>5</v>
      </c>
      <c r="Z44" s="417" t="n">
        <v>2</v>
      </c>
      <c r="AA44" s="417" t="n">
        <v>1</v>
      </c>
      <c r="AB44" s="417" t="n"/>
      <c r="AC44" s="602">
        <f>SUM(IF(Y44=Y$5,4,0),IF(Y44&amp;Z44=Y$5&amp;Z$5,1,0),
IF(AND(Y44=Y$5,Z$6&gt;=$D$115),1,0),
IF(AND(Z44=Y$5,Z$6&gt;=$D$115),1,0),
IF(AND(AA44=Y$5,Z$6&gt;=$D$115),1,0),
IF(Y44&amp;AB44=AC$5,1,0),
IF(Z44=Y$5,2,0),
IF(AA44=Y$5,1,0),
IF(OR(Y44&amp;Z44&amp;AA44=Y$5&amp;Z$5&amp;AA$5,Y44&amp;Z44&amp;AA44=Y$5&amp;AA$5&amp;Z$5,Y44&amp;Z44&amp;AA44=Z$5&amp;Y$5&amp;AA$5,Y44&amp;Z44&amp;AA44=Z$5&amp;AA$5&amp;Y$5,Y44&amp;Z44&amp;AA44=AA$5&amp;Y$5&amp;Z$5,Y44&amp;Z44&amp;AA44=AA$5&amp;Z$5&amp;Y$5),2,0),IF(AND(Y44=Y$5,Z$6&gt;=$D$129),1,0),IF(AND(Z44=Y$5,Z$6&gt;=$D$129),1,0),IF(AND(AA44=Y$5,Z$6&gt;=$D$129),1,0),IF(Y44&amp;AB44=AB$5,4,0),IF(AND(Y44=Y$5,Z$6&lt;=$D$104),-0.5,0),IF(AND(Z44=Y$5,Z$6&lt;=$D$104),-0.5,0),IF(AND(AA44=Y$5,Z$6&lt;=$D$104),-0.5,0))</f>
        <v/>
      </c>
      <c r="AD44" s="416" t="n">
        <v>4</v>
      </c>
      <c r="AE44" s="417" t="n">
        <v>5</v>
      </c>
      <c r="AF44" s="417" t="n">
        <v>10</v>
      </c>
      <c r="AG44" s="417" t="n"/>
      <c r="AH44" s="602">
        <f>SUM(IF(AD44=AD$5,4,0),IF(AD44&amp;AE44=AD$5&amp;AE$5,1,0),
IF(AND(AD44=AD$5,AE$6&gt;=$D$115),1,0),
IF(AND(AE44=AD$5,AE$6&gt;=$D$115),1,0),
IF(AND(AF44=AD$5,AE$6&gt;=$D$115),1,0),
IF(AD44&amp;AG44=AH$5,1,0),
IF(AE44=AD$5,2,0),
IF(AF44=AD$5,1,0),
IF(OR(AD44&amp;AE44&amp;AF44=AD$5&amp;AE$5&amp;AF$5,AD44&amp;AE44&amp;AF44=AD$5&amp;AF$5&amp;AE$5,AD44&amp;AE44&amp;AF44=AE$5&amp;AD$5&amp;AF$5,AD44&amp;AE44&amp;AF44=AE$5&amp;AF$5&amp;AD$5,AD44&amp;AE44&amp;AF44=AF$5&amp;AD$5&amp;AE$5,AD44&amp;AE44&amp;AF44=AF$5&amp;AE$5&amp;AD$5),2,0),IF(AND(AD44=AD$5,AE$6&gt;=$D$129),1,0),IF(AND(AE44=AD$5,AE$6&gt;=$D$129),1,0),IF(AND(AF44=AD$5,AE$6&gt;=$D$129),1,0),IF(AD44&amp;AG44=AG$5,4,0),IF(AND(AD44=AD$5,AE$6&lt;=$D$104),-0.5,0),IF(AND(AE44=AD$5,AE$6&lt;=$D$104),-0.5,0),IF(AND(AF44=AD$5,AE$6&lt;=$D$104),-0.5,0))</f>
        <v/>
      </c>
      <c r="AI44" s="416" t="n">
        <v>7</v>
      </c>
      <c r="AJ44" s="417" t="n">
        <v>6</v>
      </c>
      <c r="AK44" s="417" t="n">
        <v>3</v>
      </c>
      <c r="AL44" s="417" t="n"/>
      <c r="AM44" s="602">
        <f>SUM(IF(AI44=AI$5,4,0),IF(AI44&amp;AJ44=AI$5&amp;AJ$5,1,0),
IF(AND(AI44=AI$5,AJ$6&gt;=$D$115),1,0),
IF(AND(AJ44=AI$5,AJ$6&gt;=$D$115),1,0),
IF(AND(AK44=AI$5,AJ$6&gt;=$D$115),1,0),
IF(AI44&amp;AL44=AM$5,1,0),
IF(AJ44=AI$5,2,0),
IF(AK44=AI$5,1,0),
IF(OR(AI44&amp;AJ44&amp;AK44=AI$5&amp;AJ$5&amp;AK$5,AI44&amp;AJ44&amp;AK44=AI$5&amp;AK$5&amp;AJ$5,AI44&amp;AJ44&amp;AK44=AJ$5&amp;AI$5&amp;AK$5,AI44&amp;AJ44&amp;AK44=AJ$5&amp;AK$5&amp;AI$5,AI44&amp;AJ44&amp;AK44=AK$5&amp;AI$5&amp;AJ$5,AI44&amp;AJ44&amp;AK44=AK$5&amp;AJ$5&amp;AI$5),2,0),IF(AND(AI44=AI$5,AJ$6&gt;=$D$129),1,0),IF(AND(AJ44=AI$5,AJ$6&gt;=$D$129),1,0),IF(AND(AK44=AI$5,AJ$6&gt;=$D$129),1,0),IF(AI44&amp;AL44=AL$5,4,0),IF(AND(AI44=AI$5,AJ$6&lt;=$D$104),-0.5,0),IF(AND(AJ44=AI$5,AJ$6&lt;=$D$104),-0.5,0),IF(AND(AK44=AI$5,AJ$6&lt;=$D$104),-0.5,0))</f>
        <v/>
      </c>
      <c r="AN44" s="416" t="n">
        <v>8</v>
      </c>
      <c r="AO44" s="417" t="n">
        <v>1</v>
      </c>
      <c r="AP44" s="417" t="n">
        <v>2</v>
      </c>
      <c r="AQ44" s="417" t="inlineStr">
        <is>
          <t>F</t>
        </is>
      </c>
      <c r="AR44" s="602">
        <f>SUM(IF(AN44=AN$5,4,0),IF(AN44&amp;AO44=AN$5&amp;AO$5,1,0),
IF(AND(AN44=AN$5,AO$6&gt;=$D$115),1,0),
IF(AND(AO44=AN$5,AO$6&gt;=$D$115),1,0),
IF(AND(AP44=AN$5,AO$6&gt;=$D$115),1,0),
IF(AN44&amp;AQ44=AR$5,1,0),
IF(AO44=AN$5,2,0),
IF(AP44=AN$5,1,0),
IF(OR(AN44&amp;AO44&amp;AP44=AN$5&amp;AO$5&amp;AP$5,AN44&amp;AO44&amp;AP44=AN$5&amp;AP$5&amp;AO$5,AN44&amp;AO44&amp;AP44=AO$5&amp;AN$5&amp;AP$5,AN44&amp;AO44&amp;AP44=AO$5&amp;AP$5&amp;AN$5,AN44&amp;AO44&amp;AP44=AP$5&amp;AN$5&amp;AO$5,AN44&amp;AO44&amp;AP44=AP$5&amp;AO$5&amp;AN$5),2,0),IF(AND(AN44=AN$5,AO$6&gt;=$D$129),1,0),IF(AND(AO44=AN$5,AO$6&gt;=$D$129),1,0),IF(AND(AP44=AN$5,AO$6&gt;=$D$129),1,0),IF(AN44&amp;AQ44=AQ$5,4,0),IF(AND(AN44=AN$5,AO$6&lt;=$D$104),-0.5,0),IF(AND(AO44=AN$5,AO$6&lt;=$D$104),-0.5,0),IF(AND(AP44=AN$5,AO$6&lt;=$D$104),-0.5,0))</f>
        <v/>
      </c>
      <c r="AS44" s="416" t="n">
        <v>11</v>
      </c>
      <c r="AT44" s="417" t="n">
        <v>5</v>
      </c>
      <c r="AU44" s="417" t="n">
        <v>9</v>
      </c>
      <c r="AV44" s="417" t="n"/>
      <c r="AW44" s="602">
        <f>SUM(IF(AS44=AS$5,4,0),IF(AS44&amp;AT44=AS$5&amp;AT$5,1,0),
IF(AND(AS44=AS$5,AT$6&gt;=$D$115),1,0),
IF(AND(AT44=AS$5,AT$6&gt;=$D$115),1,0),
IF(AND(AU44=AS$5,AT$6&gt;=$D$115),1,0),
IF(AS44&amp;AV44=AW$5,1,0),
IF(AT44=AS$5,2,0),
IF(AU44=AS$5,1,0),
IF(OR(AS44&amp;AT44&amp;AU44=AS$5&amp;AT$5&amp;AU$5,AS44&amp;AT44&amp;AU44=AS$5&amp;AU$5&amp;AT$5,AS44&amp;AT44&amp;AU44=AT$5&amp;AS$5&amp;AU$5,AS44&amp;AT44&amp;AU44=AT$5&amp;AU$5&amp;AS$5,AS44&amp;AT44&amp;AU44=AU$5&amp;AS$5&amp;AT$5,AS44&amp;AT44&amp;AU44=AU$5&amp;AT$5&amp;AS$5),2,0),IF(AND(AS44=AS$5,AT$6&gt;=$D$129),1,0),IF(AND(AT44=AS$5,AT$6&gt;=$D$129),1,0),IF(AND(AU44=AS$5,AT$6&gt;=$D$129),1,0),IF(AS44&amp;AV44=AV$5,4,0),IF(AND(AS44=AS$5,AT$6&lt;=$D$104),-0.5,0),IF(AND(AT44=AS$5,AT$6&lt;=$D$104),-0.5,0),IF(AND(AU44=AS$5,AT$6&lt;=$D$104),-0.5,0))</f>
        <v/>
      </c>
      <c r="AX44" s="416" t="n">
        <v>6</v>
      </c>
      <c r="AY44" s="417" t="n">
        <v>10</v>
      </c>
      <c r="AZ44" s="417" t="n">
        <v>7</v>
      </c>
      <c r="BA44" s="417" t="n"/>
      <c r="BB44" s="602">
        <f>SUM(IF(AX44=AX$5,4,0),IF(AX44&amp;AY44=AX$5&amp;AY$5,1,0),
IF(AND(AX44=AX$5,AY$6&gt;=$D$115),1,0),
IF(AND(AY44=AX$5,AY$6&gt;=$D$115),1,0),
IF(AND(AZ44=AX$5,AY$6&gt;=$D$115),1,0),
IF(AX44&amp;BA44=BB$5,1,0),
IF(AY44=AX$5,2,0),
IF(AZ44=AX$5,1,0),
IF(OR(AX44&amp;AY44&amp;AZ44=AX$5&amp;AY$5&amp;AZ$5,AX44&amp;AY44&amp;AZ44=AX$5&amp;AZ$5&amp;AY$5,AX44&amp;AY44&amp;AZ44=AY$5&amp;AX$5&amp;AZ$5,AX44&amp;AY44&amp;AZ44=AY$5&amp;AZ$5&amp;AX$5,AX44&amp;AY44&amp;AZ44=AZ$5&amp;AX$5&amp;AY$5,AX44&amp;AY44&amp;AZ44=AZ$5&amp;AY$5&amp;AX$5),2,0),IF(AND(AX44=AX$5,AY$6&gt;=$D$129),1,0),IF(AND(AY44=AX$5,AY$6&gt;=$D$129),1,0),IF(AND(AZ44=AX$5,AY$6&gt;=$D$129),1,0),IF(AX44&amp;BA44=BA$5,4,0),IF(AND(AX44=AX$5,AY$6&lt;=$D$104),-0.5,0),IF(AND(AY44=AX$5,AY$6&lt;=$D$104),-0.5,0),IF(AND(AZ44=AX$5,AY$6&lt;=$D$104),-0.5,0))</f>
        <v/>
      </c>
      <c r="BC44" s="416" t="n">
        <v>7</v>
      </c>
      <c r="BD44" s="417" t="n">
        <v>3</v>
      </c>
      <c r="BE44" s="417" t="n">
        <v>4</v>
      </c>
      <c r="BF44" s="417" t="inlineStr">
        <is>
          <t>F</t>
        </is>
      </c>
      <c r="BG44" s="602">
        <f>SUM(IF(BC44=BC$5,4,0),IF(BC44&amp;BD44=BC$5&amp;BD$5,1,0),
IF(AND(BC44=BC$5,BD$6&gt;=$D$115),1,0),
IF(AND(BD44=BC$5,BD$6&gt;=$D$115),1,0),
IF(AND(BE44=BC$5,BD$6&gt;=$D$115),1,0),
IF(BC44&amp;BF44=BG$5,1,0),
IF(BD44=BC$5,2,0),
IF(BE44=BC$5,1,0),
IF(OR(BC44&amp;BD44&amp;BE44=BC$5&amp;BD$5&amp;BE$5,BC44&amp;BD44&amp;BE44=BC$5&amp;BE$5&amp;BD$5,BC44&amp;BD44&amp;BE44=BD$5&amp;BC$5&amp;BE$5,BC44&amp;BD44&amp;BE44=BD$5&amp;BE$5&amp;BC$5,BC44&amp;BD44&amp;BE44=BE$5&amp;BC$5&amp;BD$5,BC44&amp;BD44&amp;BE44=BE$5&amp;BD$5&amp;BC$5),2,0),IF(AND(BC44=BC$5,BD$6&gt;=$D$129),1,0),IF(AND(BD44=BC$5,BD$6&gt;=$D$129),1,0),IF(AND(BE44=BC$5,BD$6&gt;=$D$129),1,0),IF(BC44&amp;BF44=BF$5,4,0),IF(AND(BC44=BC$5,BD$6&lt;=$D$104),-0.5,0),IF(AND(BD44=BC$5,BD$6&lt;=$D$104),-0.5,0),IF(AND(BE44=BC$5,BD$6&lt;=$D$104),-0.5,0))</f>
        <v/>
      </c>
      <c r="BH44" s="416" t="n">
        <v>1</v>
      </c>
      <c r="BI44" s="417" t="n">
        <v>2</v>
      </c>
      <c r="BJ44" s="417" t="n">
        <v>6</v>
      </c>
      <c r="BK44" s="417" t="n"/>
      <c r="BL44" s="602">
        <f>SUM(IF(BH44=BH$5,4,0),IF(BH44&amp;BI44=BH$5&amp;BI$5,1,0),
IF(AND(BH44=BH$5,BI$6&gt;=$D$115),1,0),
IF(AND(BI44=BH$5,BI$6&gt;=$D$115),1,0),
IF(AND(BJ44=BH$5,BI$6&gt;=$D$115),1,0),
IF(BH44&amp;BK44=BL$5,1,0),
IF(BI44=BH$5,2,0),
IF(BJ44=BH$5,1,0),
IF(OR(BH44&amp;BI44&amp;BJ44=BH$5&amp;BI$5&amp;BJ$5,BH44&amp;BI44&amp;BJ44=BH$5&amp;BJ$5&amp;BI$5,BH44&amp;BI44&amp;BJ44=BI$5&amp;BH$5&amp;BJ$5,BH44&amp;BI44&amp;BJ44=BI$5&amp;BJ$5&amp;BH$5,BH44&amp;BI44&amp;BJ44=BJ$5&amp;BH$5&amp;BI$5,BH44&amp;BI44&amp;BJ44=BJ$5&amp;BI$5&amp;BH$5),2,0),IF(AND(BH44=BH$5,BI$6&gt;=$D$129),1,0),IF(AND(BI44=BH$5,BI$6&gt;=$D$129),1,0),IF(AND(BJ44=BH$5,BI$6&gt;=$D$129),1,0),IF(BH44&amp;BK44=BK$5,4,0),IF(AND(BH44=BH$5,BI$6&lt;=$D$104),-0.5,0),IF(AND(BI44=BH$5,BI$6&lt;=$D$104),-0.5,0),IF(AND(BJ44=BH$5,BI$6&lt;=$D$104),-0.5,0))</f>
        <v/>
      </c>
      <c r="BM44" s="416" t="n">
        <v>9</v>
      </c>
      <c r="BN44" s="417" t="n">
        <v>1</v>
      </c>
      <c r="BO44" s="417" t="n">
        <v>4</v>
      </c>
      <c r="BP44" s="417" t="n"/>
      <c r="BQ44" s="602">
        <f>SUM(IF(BM44=BM$5,4,0),IF(BM44&amp;BN44=BM$5&amp;BN$5,1,0),
IF(AND(BM44=BM$5,BN$6&gt;=$D$115),1,0),
IF(AND(BN44=BM$5,BN$6&gt;=$D$115),1,0),
IF(AND(BO44=BM$5,BN$6&gt;=$D$115),1,0),
IF(BM44&amp;BP44=BQ$5,1,0),
IF(BN44=BM$5,2,0),
IF(BO44=BM$5,1,0),
IF(OR(BM44&amp;BN44&amp;BO44=BM$5&amp;BN$5&amp;BO$5,BM44&amp;BN44&amp;BO44=BM$5&amp;BO$5&amp;BN$5,BM44&amp;BN44&amp;BO44=BN$5&amp;BM$5&amp;BO$5,BM44&amp;BN44&amp;BO44=BN$5&amp;BO$5&amp;BM$5,BM44&amp;BN44&amp;BO44=BO$5&amp;BM$5&amp;BN$5,BM44&amp;BN44&amp;BO44=BO$5&amp;BN$5&amp;BM$5),2,0),IF(AND(BM44=BM$5,BN$6&gt;=$D$129),1,0),IF(AND(BN44=BM$5,BN$6&gt;=$D$129),1,0),IF(AND(BO44=BM$5,BN$6&gt;=$D$129),1,0),IF(BM44&amp;BP44=BP$5,4,0),IF(AND(BM44=BM$5,BN$6&lt;=$D$104),-0.5,0),IF(AND(BN44=BM$5,BN$6&lt;=$D$104),-0.5,0),IF(AND(BO44=BM$5,BN$6&lt;=$D$104),-0.5,0))</f>
        <v/>
      </c>
      <c r="BR44" s="416" t="n">
        <v>5</v>
      </c>
      <c r="BS44" s="417" t="n">
        <v>11</v>
      </c>
      <c r="BT44" s="417" t="n">
        <v>1</v>
      </c>
      <c r="BU44" s="417" t="n"/>
      <c r="BV44" s="602">
        <f>SUM(IF(BR44=BR$5,4,0),IF(BR44&amp;BS44=BR$5&amp;BS$5,1,0),
IF(AND(BR44=BR$5,BS$6&gt;=$D$115),1,0),
IF(AND(BS44=BR$5,BS$6&gt;=$D$115),1,0),
IF(AND(BT44=BR$5,BS$6&gt;=$D$115),1,0),
IF(BR44&amp;BU44=BV$5,1,0),
IF(BS44=BR$5,2,0),
IF(BT44=BR$5,1,0),
IF(OR(BR44&amp;BS44&amp;BT44=BR$5&amp;BS$5&amp;BT$5,BR44&amp;BS44&amp;BT44=BR$5&amp;BT$5&amp;BS$5,BR44&amp;BS44&amp;BT44=BS$5&amp;BR$5&amp;BT$5,BR44&amp;BS44&amp;BT44=BS$5&amp;BT$5&amp;BR$5,BR44&amp;BS44&amp;BT44=BT$5&amp;BR$5&amp;BS$5,BR44&amp;BS44&amp;BT44=BT$5&amp;BS$5&amp;BR$5),2,0),IF(AND(BR44=BR$5,BS$6&gt;=$D$129),1,0),IF(AND(BS44=BR$5,BS$6&gt;=$D$129),1,0),IF(AND(BT44=BR$5,BS$6&gt;=$D$129),1,0),IF(BR44&amp;BU44=BU$5,4,0),IF(AND(BR44=BR$5,BS$6&lt;=$D$104),-0.5,0),IF(AND(BS44=BR$5,BS$6&lt;=$D$104),-0.5,0),IF(AND(BT44=BR$5,BS$6&lt;=$D$104),-0.5,0))</f>
        <v/>
      </c>
      <c r="BW44" s="416" t="n"/>
      <c r="BX44" s="417" t="n"/>
      <c r="BY44" s="417" t="n"/>
      <c r="BZ44" s="417" t="n"/>
      <c r="CA44" s="602">
        <f>SUM(IF(BW44=BW$5,4,0),IF(BW44&amp;BX44=BW$5&amp;BX$5,1,0),
IF(AND(BW44=BW$5,BX$6&gt;=$D$115),1,0),
IF(AND(BX44=BW$5,BX$6&gt;=$D$115),1,0),
IF(AND(BY44=BW$5,BX$6&gt;=$D$115),1,0),
IF(BW44&amp;BZ44=CA$5,1,0),
IF(BX44=BW$5,2,0),
IF(BY44=BW$5,1,0),
IF(OR(BW44&amp;BX44&amp;BY44=BW$5&amp;BX$5&amp;BY$5,BW44&amp;BX44&amp;BY44=BW$5&amp;BY$5&amp;BX$5,BW44&amp;BX44&amp;BY44=BX$5&amp;BW$5&amp;BY$5,BW44&amp;BX44&amp;BY44=BX$5&amp;BY$5&amp;BW$5,BW44&amp;BX44&amp;BY44=BY$5&amp;BW$5&amp;BX$5,BW44&amp;BX44&amp;BY44=BY$5&amp;BX$5&amp;BW$5),2,0),IF(AND(BW44=BW$5,BX$6&gt;=$D$129),1,0),IF(AND(BX44=BW$5,BX$6&gt;=$D$129),1,0),IF(AND(BY44=BW$5,BX$6&gt;=$D$129),1,0),IF(BW44&amp;BZ44=BZ$5,4,0),IF(AND(BW44=BW$5,BX$6&lt;=$D$104),-0.5,0),IF(AND(BX44=BW$5,BX$6&lt;=$D$104),-0.5,0),IF(AND(BY44=BW$5,BX$6&lt;=$D$104),-0.5,0))</f>
        <v/>
      </c>
      <c r="CB44" s="416" t="n"/>
      <c r="CC44" s="417" t="n"/>
      <c r="CD44" s="417" t="n"/>
      <c r="CE44" s="417" t="n"/>
      <c r="CF44" s="602">
        <f>SUM(IF(CB44=CB$5,4,0),IF(CB44&amp;CC44=CB$5&amp;CC$5,1,0),
IF(AND(CB44=CB$5,CC$6&gt;=$D$115),1,0),
IF(AND(CC44=CB$5,CC$6&gt;=$D$115),1,0),
IF(AND(CD44=CB$5,CC$6&gt;=$D$115),1,0),
IF(CB44&amp;CE44=CF$5,1,0),
IF(CC44=CB$5,2,0),
IF(CD44=CB$5,1,0),
IF(OR(CB44&amp;CC44&amp;CD44=CB$5&amp;CC$5&amp;CD$5,CB44&amp;CC44&amp;CD44=CB$5&amp;CD$5&amp;CC$5,CB44&amp;CC44&amp;CD44=CC$5&amp;CB$5&amp;CD$5,CB44&amp;CC44&amp;CD44=CC$5&amp;CD$5&amp;CB$5,CB44&amp;CC44&amp;CD44=CD$5&amp;CB$5&amp;CC$5,CB44&amp;CC44&amp;CD44=CD$5&amp;CC$5&amp;CB$5),2,0),IF(AND(CB44=CB$5,CC$6&gt;=$D$129),1,0),IF(AND(CC44=CB$5,CC$6&gt;=$D$129),1,0),IF(AND(CD44=CB$5,CC$6&gt;=$D$129),1,0),IF(CB44&amp;CE44=CE$5,4,0),IF(AND(CB44=CB$5,CC$6&lt;=$D$104),-0.5,0),IF(AND(CC44=CB$5,CC$6&lt;=$D$104),-0.5,0),IF(AND(CD44=CB$5,CC$6&lt;=$D$104),-0.5,0))</f>
        <v/>
      </c>
      <c r="CG44" s="164">
        <f>IF(SEMANA2[[#This Row],[1]]="",0,$B$4)</f>
        <v/>
      </c>
      <c r="CH44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4" s="166">
        <f>IF(SEMANA2[[#This Row],[Columna14]]=0,0,(CH44/CG44))</f>
        <v/>
      </c>
      <c r="CJ44" s="165">
        <f>IF(SEMANA2[[#This Row],[1]]="",0,$B$4)</f>
        <v/>
      </c>
      <c r="CK44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4" s="166">
        <f>IF(SEMANA2[[#This Row],[Columna14]]=0,0,(CK44/CJ44))</f>
        <v/>
      </c>
      <c r="CM44" s="164">
        <f>IF(SEMANA2[[#This Row],[1]]="",0,$B$4)</f>
        <v/>
      </c>
      <c r="CN44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4" s="166">
        <f>IF(SEMANA2[[#This Row],[Columna14]]=0,0,(CN44/CM44))</f>
        <v/>
      </c>
      <c r="CP44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4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Row],[Columna25]],$AX$5,BA44,"SF")+COUNTIFS(SEMANA2[[#This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4" s="166">
        <f>IFERROR(IF(SEMANA2[[#This Row],[Columna14]]=0,0,(CQ44/CP44)),0)</f>
        <v/>
      </c>
      <c r="CS44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4" s="95">
        <f>_xlfn.XLOOKUP(SEMANA2[[#This Row],[COD]],BASE01[COD],BASE01[Columna33])</f>
        <v/>
      </c>
      <c r="CU44" s="604">
        <f>SUM(CS44,CT44)</f>
        <v/>
      </c>
      <c r="CV44" s="450">
        <f>IF(SEMANA2[[#This Row],[TIPO]]="PREMIO",$O$3,"0,00")</f>
        <v/>
      </c>
      <c r="CW44" s="576" t="n"/>
      <c r="CY44" s="392">
        <f>IF(CZ44="","",$CZ$25)</f>
        <v/>
      </c>
      <c r="CZ44" s="392" t="n"/>
      <c r="DA44" s="392">
        <f t="array" ref="DA44">IF(CZ44="", "", IF((INDEX(E$8:CE$57, MATCH(CZ44, C$8:C$57, 0), ($CZ$25-1)*5 + 1) &amp; "") = (INDEX(E$5:CE$5, 1, ($CZ$25-1)*5 + 1) &amp; ""), 1, IF((INDEX(E$8:CE$57, MATCH(CZ44, C$8:C$57, 0), ($CZ$25-1)*5 + 2) &amp; "") = (INDEX(E$5:CE$5, 1, ($CZ$25-1)*5 + 1) &amp; ""), 2, IF((INDEX(E$8:CE$57, MATCH(CZ44, C$8:C$57, 0), ($CZ$25-1)*5 + 3) &amp; "") = (INDEX(E$5:CE$5, 1, ($CZ$25-1)*5 + 1) &amp; ""), 3, ""))))</f>
        <v/>
      </c>
      <c r="DB44" s="605">
        <f>SEMANA2[[#This Row],[COD]]</f>
        <v/>
      </c>
      <c r="DC44" s="395">
        <f t="array" ref="DC44">IFERROR(IF(AND(INDEX($E$8:$CE$57, MATCH($C44, $C$8:$C$57, 0), (COLUMNS($DC44:DC44)-1)*5 + 1) = INDEX($E$5:$CE$5, 1, (COLUMNS($DC44:DC44)-1)*5 + 1), INDEX($E$8:$CE$57, MATCH($C44, $C$8:$C$57, 0), (COLUMNS($DC44:DC44)-1)*5 + 4) = "F"), INDEX($CZ$8:$CZ$23, COLUMNS($DC44:DC44)), "0"), "")</f>
        <v/>
      </c>
      <c r="DD44" s="395">
        <f t="array" ref="DD44">IFERROR(IF(AND(INDEX($E$8:$CE$57, MATCH($C44, $C$8:$C$57, 0), (COLUMNS($DC44:DD44)-1)*5 + 1) = INDEX($E$5:$CE$5, 1, (COLUMNS($DC44:DD44)-1)*5 + 1), INDEX($E$8:$CE$57, MATCH($C44, $C$8:$C$57, 0), (COLUMNS($DC44:DD44)-1)*5 + 4) = "F"), INDEX($CZ$8:$CZ$23, COLUMNS($DC44:DD44)), "0"), "")</f>
        <v/>
      </c>
      <c r="DE44" s="395">
        <f t="array" ref="DE44">IFERROR(IF(AND(INDEX($E$8:$CE$57, MATCH($C44, $C$8:$C$57, 0), (COLUMNS($DC44:DE44)-1)*5 + 1) = INDEX($E$5:$CE$5, 1, (COLUMNS($DC44:DE44)-1)*5 + 1), INDEX($E$8:$CE$57, MATCH($C44, $C$8:$C$57, 0), (COLUMNS($DC44:DE44)-1)*5 + 4) = "F"), INDEX($CZ$8:$CZ$23, COLUMNS($DC44:DE44)), "0"), "")</f>
        <v/>
      </c>
      <c r="DF44" s="395">
        <f t="array" ref="DF44">IFERROR(IF(AND(INDEX($E$8:$CE$57, MATCH($C44, $C$8:$C$57, 0), (COLUMNS($DC44:DF44)-1)*5 + 1) = INDEX($E$5:$CE$5, 1, (COLUMNS($DC44:DF44)-1)*5 + 1), INDEX($E$8:$CE$57, MATCH($C44, $C$8:$C$57, 0), (COLUMNS($DC44:DF44)-1)*5 + 4) = "F"), INDEX($CZ$8:$CZ$23, COLUMNS($DC44:DF44)), "0"), "")</f>
        <v/>
      </c>
      <c r="DG44" s="395">
        <f t="array" ref="DG44">IFERROR(IF(AND(INDEX($E$8:$CE$57, MATCH($C44, $C$8:$C$57, 0), (COLUMNS($DC44:DG44)-1)*5 + 1) = INDEX($E$5:$CE$5, 1, (COLUMNS($DC44:DG44)-1)*5 + 1), INDEX($E$8:$CE$57, MATCH($C44, $C$8:$C$57, 0), (COLUMNS($DC44:DG44)-1)*5 + 4) = "F"), INDEX($CZ$8:$CZ$23, COLUMNS($DC44:DG44)), "0"), "")</f>
        <v/>
      </c>
      <c r="DH44" s="395">
        <f t="array" ref="DH44">IFERROR(IF(AND(INDEX($E$8:$CE$57, MATCH($C44, $C$8:$C$57, 0), (COLUMNS($DC44:DH44)-1)*5 + 1) = INDEX($E$5:$CE$5, 1, (COLUMNS($DC44:DH44)-1)*5 + 1), INDEX($E$8:$CE$57, MATCH($C44, $C$8:$C$57, 0), (COLUMNS($DC44:DH44)-1)*5 + 4) = "F"), INDEX($CZ$8:$CZ$23, COLUMNS($DC44:DH44)), "0"), "")</f>
        <v/>
      </c>
      <c r="DI44" s="395">
        <f t="array" ref="DI44">IFERROR(IF(AND(INDEX($E$8:$CE$57, MATCH($C44, $C$8:$C$57, 0), (COLUMNS($DC44:DI44)-1)*5 + 1) = INDEX($E$5:$CE$5, 1, (COLUMNS($DC44:DI44)-1)*5 + 1), INDEX($E$8:$CE$57, MATCH($C44, $C$8:$C$57, 0), (COLUMNS($DC44:DI44)-1)*5 + 4) = "F"), INDEX($CZ$8:$CZ$23, COLUMNS($DC44:DI44)), "0"), "")</f>
        <v/>
      </c>
      <c r="DJ44" s="395">
        <f t="array" ref="DJ44">IFERROR(IF(AND(INDEX($E$8:$CE$57, MATCH($C44, $C$8:$C$57, 0), (COLUMNS($DC44:DJ44)-1)*5 + 1) = INDEX($E$5:$CE$5, 1, (COLUMNS($DC44:DJ44)-1)*5 + 1), INDEX($E$8:$CE$57, MATCH($C44, $C$8:$C$57, 0), (COLUMNS($DC44:DJ44)-1)*5 + 4) = "F"), INDEX($CZ$8:$CZ$23, COLUMNS($DC44:DJ44)), "0"), "")</f>
        <v/>
      </c>
      <c r="DK44" s="395">
        <f t="array" ref="DK44">IFERROR(IF(AND(INDEX($E$8:$CE$57, MATCH($C44, $C$8:$C$57, 0), (COLUMNS($DC44:DK44)-1)*5 + 1) = INDEX($E$5:$CE$5, 1, (COLUMNS($DC44:DK44)-1)*5 + 1), INDEX($E$8:$CE$57, MATCH($C44, $C$8:$C$57, 0), (COLUMNS($DC44:DK44)-1)*5 + 4) = "F"), INDEX($CZ$8:$CZ$23, COLUMNS($DC44:DK44)), "0"), "")</f>
        <v/>
      </c>
      <c r="DL44" s="395">
        <f t="array" ref="DL44">IFERROR(IF(AND(INDEX($E$8:$CE$57, MATCH($C44, $C$8:$C$57, 0), (COLUMNS($DC44:DL44)-1)*5 + 1) = INDEX($E$5:$CE$5, 1, (COLUMNS($DC44:DL44)-1)*5 + 1), INDEX($E$8:$CE$57, MATCH($C44, $C$8:$C$57, 0), (COLUMNS($DC44:DL44)-1)*5 + 4) = "F"), INDEX($CZ$8:$CZ$23, COLUMNS($DC44:DL44)), "0"), "")</f>
        <v/>
      </c>
      <c r="DM44" s="395">
        <f t="array" ref="DM44">IFERROR(IF(AND(INDEX($E$8:$CE$57, MATCH($C44, $C$8:$C$57, 0), (COLUMNS($DC44:DM44)-1)*5 + 1) = INDEX($E$5:$CE$5, 1, (COLUMNS($DC44:DM44)-1)*5 + 1), INDEX($E$8:$CE$57, MATCH($C44, $C$8:$C$57, 0), (COLUMNS($DC44:DM44)-1)*5 + 4) = "F"), INDEX($CZ$8:$CZ$23, COLUMNS($DC44:DM44)), "0"), "")</f>
        <v/>
      </c>
      <c r="DN44" s="395">
        <f t="array" ref="DN44">IFERROR(IF(AND(INDEX($E$8:$CE$57, MATCH($C44, $C$8:$C$57, 0), (COLUMNS($DC44:DN44)-1)*5 + 1) = INDEX($E$5:$CE$5, 1, (COLUMNS($DC44:DN44)-1)*5 + 1), INDEX($E$8:$CE$57, MATCH($C44, $C$8:$C$57, 0), (COLUMNS($DC44:DN44)-1)*5 + 4) = "F"), INDEX($CZ$8:$CZ$23, COLUMNS($DC44:DN44)), "0"), "")</f>
        <v/>
      </c>
      <c r="DO44" s="395">
        <f t="array" ref="DO44">IFERROR(IF(AND(INDEX($E$8:$CE$57, MATCH($C44, $C$8:$C$57, 0), (COLUMNS($DC44:DO44)-1)*5 + 1) = INDEX($E$5:$CE$5, 1, (COLUMNS($DC44:DO44)-1)*5 + 1), INDEX($E$8:$CE$57, MATCH($C44, $C$8:$C$57, 0), (COLUMNS($DC44:DO44)-1)*5 + 4) = "F"), INDEX($CZ$8:$CZ$23, COLUMNS($DC44:DO44)), "0"), "")</f>
        <v/>
      </c>
      <c r="DP44" s="395">
        <f t="array" ref="DP44">IFERROR(IF(AND(INDEX($E$8:$CE$57, MATCH($C44, $C$8:$C$57, 0), (COLUMNS($DC44:DP44)-1)*5 + 1) = INDEX($E$5:$CE$5, 1, (COLUMNS($DC44:DP44)-1)*5 + 1), INDEX($E$8:$CE$57, MATCH($C44, $C$8:$C$57, 0), (COLUMNS($DC44:DP44)-1)*5 + 4) = "F"), INDEX($CZ$8:$CZ$23, COLUMNS($DC44:DP44)), "0"), "")</f>
        <v/>
      </c>
      <c r="DQ44" s="395">
        <f t="array" ref="DQ44">IFERROR(IF(AND(INDEX($E$8:$CE$57, MATCH($C44, $C$8:$C$57, 0), (COLUMNS($DC44:DQ44)-1)*5 + 1) = INDEX($E$5:$CE$5, 1, (COLUMNS($DC44:DQ44)-1)*5 + 1), INDEX($E$8:$CE$57, MATCH($C44, $C$8:$C$57, 0), (COLUMNS($DC44:DQ44)-1)*5 + 4) = "F"), INDEX($CZ$8:$CZ$23, COLUMNS($DC44:DQ44)), "0"), "")</f>
        <v/>
      </c>
      <c r="DR44" s="395">
        <f t="array" ref="DR44">IFERROR(IF(AND(INDEX($E$8:$CE$57, MATCH($C44, $C$8:$C$57, 0), (COLUMNS($DC44:DR44)-1)*5 + 1) = INDEX($E$5:$CE$5, 1, (COLUMNS($DC44:DR44)-1)*5 + 1), INDEX($E$8:$CE$57, MATCH($C44, $C$8:$C$57, 0), (COLUMNS($DC44:DR44)-1)*5 + 4) = "F"), INDEX($CZ$8:$CZ$23, COLUMNS($DC44:DR44)), "0"), "")</f>
        <v/>
      </c>
      <c r="DT44" s="605">
        <f>SEMANA2[[#This Row],[COD]]</f>
        <v/>
      </c>
      <c r="DU44" s="395">
        <f t="array" ref="DU44">IFERROR(IF(AND(INDEX($E$8:$CE$57, MATCH($C44, $C$8:$C$57, 0), (COLUMNS($DU44:DU44)-1)*5 + 1) = INDEX($E$5:$CE$5, 1, (COLUMNS($DU44:DU44)-1)*5 + 1), INDEX($E$8:$CE$57, MATCH($C44, $C$8:$C$57, 0), (COLUMNS($DU44:DU44)-1)*5 + 4) = "SF"), INDEX($CZ$8:$CZ$23, COLUMNS($DU44:DU44)), "0"), "")</f>
        <v/>
      </c>
      <c r="DV44" s="395">
        <f t="array" ref="DV44">IFERROR(IF(AND(INDEX($E$8:$CE$57, MATCH($C44, $C$8:$C$57, 0), (COLUMNS($DU44:DV44)-1)*5 + 1) = INDEX($E$5:$CE$5, 1, (COLUMNS($DU44:DV44)-1)*5 + 1), INDEX($E$8:$CE$57, MATCH($C44, $C$8:$C$57, 0), (COLUMNS($DU44:DV44)-1)*5 + 4) = "SF"), INDEX($CZ$8:$CZ$23, COLUMNS($DU44:DV44)), "0"), "")</f>
        <v/>
      </c>
      <c r="DW44" s="395">
        <f t="array" ref="DW44">IFERROR(IF(AND(INDEX($E$8:$CE$57, MATCH($C44, $C$8:$C$57, 0), (COLUMNS($DU44:DW44)-1)*5 + 1) = INDEX($E$5:$CE$5, 1, (COLUMNS($DU44:DW44)-1)*5 + 1), INDEX($E$8:$CE$57, MATCH($C44, $C$8:$C$57, 0), (COLUMNS($DU44:DW44)-1)*5 + 4) = "SF"), INDEX($CZ$8:$CZ$23, COLUMNS($DU44:DW44)), "0"), "")</f>
        <v/>
      </c>
      <c r="DX44" s="395">
        <f t="array" ref="DX44">IFERROR(IF(AND(INDEX($E$8:$CE$57, MATCH($C44, $C$8:$C$57, 0), (COLUMNS($DU44:DX44)-1)*5 + 1) = INDEX($E$5:$CE$5, 1, (COLUMNS($DU44:DX44)-1)*5 + 1), INDEX($E$8:$CE$57, MATCH($C44, $C$8:$C$57, 0), (COLUMNS($DU44:DX44)-1)*5 + 4) = "SF"), INDEX($CZ$8:$CZ$23, COLUMNS($DU44:DX44)), "0"), "")</f>
        <v/>
      </c>
      <c r="DY44" s="395">
        <f t="array" ref="DY44">IFERROR(IF(AND(INDEX($E$8:$CE$57, MATCH($C44, $C$8:$C$57, 0), (COLUMNS($DU44:DY44)-1)*5 + 1) = INDEX($E$5:$CE$5, 1, (COLUMNS($DU44:DY44)-1)*5 + 1), INDEX($E$8:$CE$57, MATCH($C44, $C$8:$C$57, 0), (COLUMNS($DU44:DY44)-1)*5 + 4) = "SF"), INDEX($CZ$8:$CZ$23, COLUMNS($DU44:DY44)), "0"), "")</f>
        <v/>
      </c>
      <c r="DZ44" s="395">
        <f t="array" ref="DZ44">IFERROR(IF(AND(INDEX($E$8:$CE$57, MATCH($C44, $C$8:$C$57, 0), (COLUMNS($DU44:DZ44)-1)*5 + 1) = INDEX($E$5:$CE$5, 1, (COLUMNS($DU44:DZ44)-1)*5 + 1), INDEX($E$8:$CE$57, MATCH($C44, $C$8:$C$57, 0), (COLUMNS($DU44:DZ44)-1)*5 + 4) = "SF"), INDEX($CZ$8:$CZ$23, COLUMNS($DU44:DZ44)), "0"), "")</f>
        <v/>
      </c>
      <c r="EA44" s="395">
        <f t="array" ref="EA44">IFERROR(IF(AND(INDEX($E$8:$CE$57, MATCH($C44, $C$8:$C$57, 0), (COLUMNS($DU44:EA44)-1)*5 + 1) = INDEX($E$5:$CE$5, 1, (COLUMNS($DU44:EA44)-1)*5 + 1), INDEX($E$8:$CE$57, MATCH($C44, $C$8:$C$57, 0), (COLUMNS($DU44:EA44)-1)*5 + 4) = "SF"), INDEX($CZ$8:$CZ$23, COLUMNS($DU44:EA44)), "0"), "")</f>
        <v/>
      </c>
      <c r="EB44" s="395">
        <f t="array" ref="EB44">IFERROR(IF(AND(INDEX($E$8:$CE$57, MATCH($C44, $C$8:$C$57, 0), (COLUMNS($DU44:EB44)-1)*5 + 1) = INDEX($E$5:$CE$5, 1, (COLUMNS($DU44:EB44)-1)*5 + 1), INDEX($E$8:$CE$57, MATCH($C44, $C$8:$C$57, 0), (COLUMNS($DU44:EB44)-1)*5 + 4) = "SF"), INDEX($CZ$8:$CZ$23, COLUMNS($DU44:EB44)), "0"), "")</f>
        <v/>
      </c>
      <c r="EC44" s="395">
        <f t="array" ref="EC44">IFERROR(IF(AND(INDEX($E$8:$CE$57, MATCH($C44, $C$8:$C$57, 0), (COLUMNS($DU44:EC44)-1)*5 + 1) = INDEX($E$5:$CE$5, 1, (COLUMNS($DU44:EC44)-1)*5 + 1), INDEX($E$8:$CE$57, MATCH($C44, $C$8:$C$57, 0), (COLUMNS($DU44:EC44)-1)*5 + 4) = "SF"), INDEX($CZ$8:$CZ$23, COLUMNS($DU44:EC44)), "0"), "")</f>
        <v/>
      </c>
      <c r="ED44" s="395">
        <f t="array" ref="ED44">IFERROR(IF(AND(INDEX($E$8:$CE$57, MATCH($C44, $C$8:$C$57, 0), (COLUMNS($DU44:ED44)-1)*5 + 1) = INDEX($E$5:$CE$5, 1, (COLUMNS($DU44:ED44)-1)*5 + 1), INDEX($E$8:$CE$57, MATCH($C44, $C$8:$C$57, 0), (COLUMNS($DU44:ED44)-1)*5 + 4) = "SF"), INDEX($CZ$8:$CZ$23, COLUMNS($DU44:ED44)), "0"), "")</f>
        <v/>
      </c>
      <c r="EE44" s="395">
        <f t="array" ref="EE44">IFERROR(IF(AND(INDEX($E$8:$CE$57, MATCH($C44, $C$8:$C$57, 0), (COLUMNS($DU44:EE44)-1)*5 + 1) = INDEX($E$5:$CE$5, 1, (COLUMNS($DU44:EE44)-1)*5 + 1), INDEX($E$8:$CE$57, MATCH($C44, $C$8:$C$57, 0), (COLUMNS($DU44:EE44)-1)*5 + 4) = "SF"), INDEX($CZ$8:$CZ$23, COLUMNS($DU44:EE44)), "0"), "")</f>
        <v/>
      </c>
      <c r="EF44" s="395">
        <f t="array" ref="EF44">IFERROR(IF(AND(INDEX($E$8:$CE$57, MATCH($C44, $C$8:$C$57, 0), (COLUMNS($DU44:EF44)-1)*5 + 1) = INDEX($E$5:$CE$5, 1, (COLUMNS($DU44:EF44)-1)*5 + 1), INDEX($E$8:$CE$57, MATCH($C44, $C$8:$C$57, 0), (COLUMNS($DU44:EF44)-1)*5 + 4) = "SF"), INDEX($CZ$8:$CZ$23, COLUMNS($DU44:EF44)), "0"), "")</f>
        <v/>
      </c>
      <c r="EG44" s="395">
        <f t="array" ref="EG44">IFERROR(IF(AND(INDEX($E$8:$CE$57, MATCH($C44, $C$8:$C$57, 0), (COLUMNS($DU44:EG44)-1)*5 + 1) = INDEX($E$5:$CE$5, 1, (COLUMNS($DU44:EG44)-1)*5 + 1), INDEX($E$8:$CE$57, MATCH($C44, $C$8:$C$57, 0), (COLUMNS($DU44:EG44)-1)*5 + 4) = "SF"), INDEX($CZ$8:$CZ$23, COLUMNS($DU44:EG44)), "0"), "")</f>
        <v/>
      </c>
      <c r="EH44" s="395">
        <f t="array" ref="EH44">IFERROR(IF(AND(INDEX($E$8:$CE$57, MATCH($C44, $C$8:$C$57, 0), (COLUMNS($DU44:EH44)-1)*5 + 1) = INDEX($E$5:$CE$5, 1, (COLUMNS($DU44:EH44)-1)*5 + 1), INDEX($E$8:$CE$57, MATCH($C44, $C$8:$C$57, 0), (COLUMNS($DU44:EH44)-1)*5 + 4) = "SF"), INDEX($CZ$8:$CZ$23, COLUMNS($DU44:EH44)), "0"), "")</f>
        <v/>
      </c>
      <c r="EI44" s="395">
        <f t="array" ref="EI44">IFERROR(IF(AND(INDEX($E$8:$CE$57, MATCH($C44, $C$8:$C$57, 0), (COLUMNS($DU44:EI44)-1)*5 + 1) = INDEX($E$5:$CE$5, 1, (COLUMNS($DU44:EI44)-1)*5 + 1), INDEX($E$8:$CE$57, MATCH($C44, $C$8:$C$57, 0), (COLUMNS($DU44:EI44)-1)*5 + 4) = "SF"), INDEX($CZ$8:$CZ$23, COLUMNS($DU44:EI44)), "0"), "")</f>
        <v/>
      </c>
      <c r="EJ44" s="395">
        <f t="array" ref="EJ44">IFERROR(IF(AND(INDEX($E$8:$CE$57, MATCH($C44, $C$8:$C$57, 0), (COLUMNS($DU44:EJ44)-1)*5 + 1) = INDEX($E$5:$CE$5, 1, (COLUMNS($DU44:EJ44)-1)*5 + 1), INDEX($E$8:$CE$57, MATCH($C44, $C$8:$C$57, 0), (COLUMNS($DU44:EJ44)-1)*5 + 4) = "SF"), INDEX($CZ$8:$CZ$23, COLUMNS($DU44:EJ44)), "0"), "")</f>
        <v/>
      </c>
    </row>
    <row r="45" ht="20.1" customHeight="1" s="568">
      <c r="A45" s="576" t="n"/>
      <c r="B45" s="449">
        <f>IF(SEMANA2[[#This Row],[COD]]&lt;&gt;"",B44+1,"")</f>
        <v/>
      </c>
      <c r="C45" s="622" t="inlineStr">
        <is>
          <t>COD 38</t>
        </is>
      </c>
      <c r="D45" s="415">
        <f t="array" ref="D45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5" s="416" t="n">
        <v>6</v>
      </c>
      <c r="F45" s="422" t="n">
        <v>2</v>
      </c>
      <c r="G45" s="422" t="n">
        <v>9</v>
      </c>
      <c r="H45" s="422" t="inlineStr">
        <is>
          <t>F</t>
        </is>
      </c>
      <c r="I45" s="602">
        <f>SUM(IF(E45=E$5,4,0),IF(E45&amp;F45=E$5&amp;F$5,1,0),
IF(AND(E45=E$5,F$6&gt;=$D$115),1,0),
IF(AND(F45=E$5,F$6&gt;=$D$115),1,0),
IF(AND(G45=E$5,F$6&gt;=$D$115),1,0),
IF(E45&amp;H45=I$5,1,0),
IF(F45=E$5,2,0),
IF(G45=E$5,1,0),
IF(OR(E45&amp;F45&amp;G45=E$5&amp;F$5&amp;G$5,E45&amp;F45&amp;G45=E$5&amp;G$5&amp;F$5,E45&amp;F45&amp;G45=F$5&amp;E$5&amp;G$5,E45&amp;F45&amp;G45=F$5&amp;G$5&amp;E$5,E45&amp;F45&amp;G45=G$5&amp;E$5&amp;F$5,E45&amp;F45&amp;G45=G$5&amp;F$5&amp;E$5),2,0),IF(AND(E45=E$5,F$6&gt;=$D$129),1,0),IF(AND(F45=E$5,F$6&gt;=$D$129),1,0),IF(AND(G45=E$5,F$6&gt;=$D$129),1,0),IF(E45&amp;H45=H$5,4,0),IF(AND(E45=E$5,F$6&lt;=$D$104),-0.5,0),IF(AND(F45=E$5,F$6&lt;=$D$104),-0.5,0),IF(AND(G45=E$5,F$6&lt;=$D$104),-0.5,0))</f>
        <v/>
      </c>
      <c r="J45" s="416" t="n">
        <v>1</v>
      </c>
      <c r="K45" s="422" t="n">
        <v>4</v>
      </c>
      <c r="L45" s="422" t="n">
        <v>7</v>
      </c>
      <c r="M45" s="422" t="n"/>
      <c r="N45" s="602">
        <f>SUM(IF(J45=J$5,4,0),IF(J45&amp;K45=J$5&amp;K$5,1,0),
IF(AND(J45=J$5,K$6&gt;=$D$115),1,0),
IF(AND(K45=J$5,K$6&gt;=$D$115),1,0),
IF(AND(L45=J$5,K$6&gt;=$D$115),1,0),
IF(J45&amp;M45=N$5,1,0),
IF(K45=J$5,2,0),
IF(L45=J$5,1,0),
IF(OR(J45&amp;K45&amp;L45=J$5&amp;K$5&amp;L$5,J45&amp;K45&amp;L45=J$5&amp;L$5&amp;K$5,J45&amp;K45&amp;L45=K$5&amp;J$5&amp;L$5,J45&amp;K45&amp;L45=K$5&amp;L$5&amp;J$5,J45&amp;K45&amp;L45=L$5&amp;J$5&amp;K$5,J45&amp;K45&amp;L45=L$5&amp;K$5&amp;J$5),2,0),IF(AND(J45=J$5,K$6&gt;=$D$129),1,0),IF(AND(K45=J$5,K$6&gt;=$D$129),1,0),IF(AND(L45=J$5,K$6&gt;=$D$129),1,0),IF(J45&amp;M45=M$5,4,0),IF(AND(J45=J$5,K$6&lt;=$D$104),-0.5,0),IF(AND(K45=J$5,K$6&lt;=$D$104),-0.5,0),IF(AND(L45=J$5,K$6&lt;=$D$104),-0.5,0))</f>
        <v/>
      </c>
      <c r="O45" s="416" t="n">
        <v>5</v>
      </c>
      <c r="P45" s="422" t="n">
        <v>3</v>
      </c>
      <c r="Q45" s="422" t="n">
        <v>4</v>
      </c>
      <c r="R45" s="422" t="n"/>
      <c r="S45" s="602">
        <f>SUM(IF(O45=O$5,4,0),IF(O45&amp;P45=O$5&amp;P$5,1,0),
IF(AND(O45=O$5,P$6&gt;=$D$115),1,0),
IF(AND(P45=O$5,P$6&gt;=$D$115),1,0),
IF(AND(Q45=O$5,P$6&gt;=$D$115),1,0),
IF(O45&amp;R45=S$5,1,0),
IF(P45=O$5,2,0),
IF(Q45=O$5,1,0),
IF(OR(O45&amp;P45&amp;Q45=O$5&amp;P$5&amp;Q$5,O45&amp;P45&amp;Q45=O$5&amp;Q$5&amp;P$5,O45&amp;P45&amp;Q45=P$5&amp;O$5&amp;Q$5,O45&amp;P45&amp;Q45=P$5&amp;Q$5&amp;O$5,O45&amp;P45&amp;Q45=Q$5&amp;O$5&amp;P$5,O45&amp;P45&amp;Q45=Q$5&amp;P$5&amp;O$5),2,0),IF(AND(O45=O$5,P$6&gt;=$D$129),1,0),IF(AND(P45=O$5,P$6&gt;=$D$129),1,0),IF(AND(Q45=O$5,P$6&gt;=$D$129),1,0),IF(O45&amp;R45=R$5,4,0),IF(AND(O45=O$5,P$6&lt;=$D$104),-0.5,0),IF(AND(P45=O$5,P$6&lt;=$D$104),-0.5,0),IF(AND(Q45=O$5,P$6&lt;=$D$104),-0.5,0))</f>
        <v/>
      </c>
      <c r="T45" s="416" t="n">
        <v>3</v>
      </c>
      <c r="U45" s="422" t="n">
        <v>5</v>
      </c>
      <c r="V45" s="422" t="n">
        <v>6</v>
      </c>
      <c r="W45" s="422" t="n"/>
      <c r="X45" s="602">
        <f>SUM(IF(T45=T$5,4,0),IF(T45&amp;U45=T$5&amp;U$5,1,0),
IF(AND(T45=T$5,U$6&gt;=$D$115),1,0),
IF(AND(U45=T$5,U$6&gt;=$D$115),1,0),
IF(AND(V45=T$5,U$6&gt;=$D$115),1,0),
IF(T45&amp;W45=X$5,1,0),
IF(U45=T$5,2,0),
IF(V45=T$5,1,0),
IF(OR(T45&amp;U45&amp;V45=T$5&amp;U$5&amp;V$5,T45&amp;U45&amp;V45=T$5&amp;V$5&amp;U$5,T45&amp;U45&amp;V45=U$5&amp;T$5&amp;V$5,T45&amp;U45&amp;V45=U$5&amp;V$5&amp;T$5,T45&amp;U45&amp;V45=V$5&amp;T$5&amp;U$5,T45&amp;U45&amp;V45=V$5&amp;U$5&amp;T$5),2,0),IF(AND(T45=T$5,U$6&gt;=$D$129),1,0),IF(AND(U45=T$5,U$6&gt;=$D$129),1,0),IF(AND(V45=T$5,U$6&gt;=$D$129),1,0),IF(T45&amp;W45=W$5,4,0),IF(AND(T45=T$5,U$6&lt;=$D$104),-0.5,0),IF(AND(U45=T$5,U$6&lt;=$D$104),-0.5,0),IF(AND(V45=T$5,U$6&lt;=$D$104),-0.5,0))</f>
        <v/>
      </c>
      <c r="Y45" s="416" t="n">
        <v>1</v>
      </c>
      <c r="Z45" s="422" t="n">
        <v>7</v>
      </c>
      <c r="AA45" s="422" t="n">
        <v>5</v>
      </c>
      <c r="AB45" s="422" t="n"/>
      <c r="AC45" s="602">
        <f>SUM(IF(Y45=Y$5,4,0),IF(Y45&amp;Z45=Y$5&amp;Z$5,1,0),
IF(AND(Y45=Y$5,Z$6&gt;=$D$115),1,0),
IF(AND(Z45=Y$5,Z$6&gt;=$D$115),1,0),
IF(AND(AA45=Y$5,Z$6&gt;=$D$115),1,0),
IF(Y45&amp;AB45=AC$5,1,0),
IF(Z45=Y$5,2,0),
IF(AA45=Y$5,1,0),
IF(OR(Y45&amp;Z45&amp;AA45=Y$5&amp;Z$5&amp;AA$5,Y45&amp;Z45&amp;AA45=Y$5&amp;AA$5&amp;Z$5,Y45&amp;Z45&amp;AA45=Z$5&amp;Y$5&amp;AA$5,Y45&amp;Z45&amp;AA45=Z$5&amp;AA$5&amp;Y$5,Y45&amp;Z45&amp;AA45=AA$5&amp;Y$5&amp;Z$5,Y45&amp;Z45&amp;AA45=AA$5&amp;Z$5&amp;Y$5),2,0),IF(AND(Y45=Y$5,Z$6&gt;=$D$129),1,0),IF(AND(Z45=Y$5,Z$6&gt;=$D$129),1,0),IF(AND(AA45=Y$5,Z$6&gt;=$D$129),1,0),IF(Y45&amp;AB45=AB$5,4,0),IF(AND(Y45=Y$5,Z$6&lt;=$D$104),-0.5,0),IF(AND(Z45=Y$5,Z$6&lt;=$D$104),-0.5,0),IF(AND(AA45=Y$5,Z$6&lt;=$D$104),-0.5,0))</f>
        <v/>
      </c>
      <c r="AD45" s="416" t="n">
        <v>10</v>
      </c>
      <c r="AE45" s="422" t="n">
        <v>5</v>
      </c>
      <c r="AF45" s="422" t="n">
        <v>4</v>
      </c>
      <c r="AG45" s="422" t="n"/>
      <c r="AH45" s="602">
        <f>SUM(IF(AD45=AD$5,4,0),IF(AD45&amp;AE45=AD$5&amp;AE$5,1,0),
IF(AND(AD45=AD$5,AE$6&gt;=$D$115),1,0),
IF(AND(AE45=AD$5,AE$6&gt;=$D$115),1,0),
IF(AND(AF45=AD$5,AE$6&gt;=$D$115),1,0),
IF(AD45&amp;AG45=AH$5,1,0),
IF(AE45=AD$5,2,0),
IF(AF45=AD$5,1,0),
IF(OR(AD45&amp;AE45&amp;AF45=AD$5&amp;AE$5&amp;AF$5,AD45&amp;AE45&amp;AF45=AD$5&amp;AF$5&amp;AE$5,AD45&amp;AE45&amp;AF45=AE$5&amp;AD$5&amp;AF$5,AD45&amp;AE45&amp;AF45=AE$5&amp;AF$5&amp;AD$5,AD45&amp;AE45&amp;AF45=AF$5&amp;AD$5&amp;AE$5,AD45&amp;AE45&amp;AF45=AF$5&amp;AE$5&amp;AD$5),2,0),IF(AND(AD45=AD$5,AE$6&gt;=$D$129),1,0),IF(AND(AE45=AD$5,AE$6&gt;=$D$129),1,0),IF(AND(AF45=AD$5,AE$6&gt;=$D$129),1,0),IF(AD45&amp;AG45=AG$5,4,0),IF(AND(AD45=AD$5,AE$6&lt;=$D$104),-0.5,0),IF(AND(AE45=AD$5,AE$6&lt;=$D$104),-0.5,0),IF(AND(AF45=AD$5,AE$6&lt;=$D$104),-0.5,0))</f>
        <v/>
      </c>
      <c r="AI45" s="416" t="n">
        <v>6</v>
      </c>
      <c r="AJ45" s="422" t="n">
        <v>7</v>
      </c>
      <c r="AK45" s="422" t="n">
        <v>8</v>
      </c>
      <c r="AL45" s="422" t="n"/>
      <c r="AM45" s="602">
        <f>SUM(IF(AI45=AI$5,4,0),IF(AI45&amp;AJ45=AI$5&amp;AJ$5,1,0),
IF(AND(AI45=AI$5,AJ$6&gt;=$D$115),1,0),
IF(AND(AJ45=AI$5,AJ$6&gt;=$D$115),1,0),
IF(AND(AK45=AI$5,AJ$6&gt;=$D$115),1,0),
IF(AI45&amp;AL45=AM$5,1,0),
IF(AJ45=AI$5,2,0),
IF(AK45=AI$5,1,0),
IF(OR(AI45&amp;AJ45&amp;AK45=AI$5&amp;AJ$5&amp;AK$5,AI45&amp;AJ45&amp;AK45=AI$5&amp;AK$5&amp;AJ$5,AI45&amp;AJ45&amp;AK45=AJ$5&amp;AI$5&amp;AK$5,AI45&amp;AJ45&amp;AK45=AJ$5&amp;AK$5&amp;AI$5,AI45&amp;AJ45&amp;AK45=AK$5&amp;AI$5&amp;AJ$5,AI45&amp;AJ45&amp;AK45=AK$5&amp;AJ$5&amp;AI$5),2,0),IF(AND(AI45=AI$5,AJ$6&gt;=$D$129),1,0),IF(AND(AJ45=AI$5,AJ$6&gt;=$D$129),1,0),IF(AND(AK45=AI$5,AJ$6&gt;=$D$129),1,0),IF(AI45&amp;AL45=AL$5,4,0),IF(AND(AI45=AI$5,AJ$6&lt;=$D$104),-0.5,0),IF(AND(AJ45=AI$5,AJ$6&lt;=$D$104),-0.5,0),IF(AND(AK45=AI$5,AJ$6&lt;=$D$104),-0.5,0))</f>
        <v/>
      </c>
      <c r="AN45" s="416" t="n">
        <v>6</v>
      </c>
      <c r="AO45" s="422" t="n">
        <v>7</v>
      </c>
      <c r="AP45" s="422" t="n">
        <v>8</v>
      </c>
      <c r="AQ45" s="422" t="n"/>
      <c r="AR45" s="602">
        <f>SUM(IF(AN45=AN$5,4,0),IF(AN45&amp;AO45=AN$5&amp;AO$5,1,0),
IF(AND(AN45=AN$5,AO$6&gt;=$D$115),1,0),
IF(AND(AO45=AN$5,AO$6&gt;=$D$115),1,0),
IF(AND(AP45=AN$5,AO$6&gt;=$D$115),1,0),
IF(AN45&amp;AQ45=AR$5,1,0),
IF(AO45=AN$5,2,0),
IF(AP45=AN$5,1,0),
IF(OR(AN45&amp;AO45&amp;AP45=AN$5&amp;AO$5&amp;AP$5,AN45&amp;AO45&amp;AP45=AN$5&amp;AP$5&amp;AO$5,AN45&amp;AO45&amp;AP45=AO$5&amp;AN$5&amp;AP$5,AN45&amp;AO45&amp;AP45=AO$5&amp;AP$5&amp;AN$5,AN45&amp;AO45&amp;AP45=AP$5&amp;AN$5&amp;AO$5,AN45&amp;AO45&amp;AP45=AP$5&amp;AO$5&amp;AN$5),2,0),IF(AND(AN45=AN$5,AO$6&gt;=$D$129),1,0),IF(AND(AO45=AN$5,AO$6&gt;=$D$129),1,0),IF(AND(AP45=AN$5,AO$6&gt;=$D$129),1,0),IF(AN45&amp;AQ45=AQ$5,4,0),IF(AND(AN45=AN$5,AO$6&lt;=$D$104),-0.5,0),IF(AND(AO45=AN$5,AO$6&lt;=$D$104),-0.5,0),IF(AND(AP45=AN$5,AO$6&lt;=$D$104),-0.5,0))</f>
        <v/>
      </c>
      <c r="AS45" s="416" t="n">
        <v>1</v>
      </c>
      <c r="AT45" s="422" t="n">
        <v>5</v>
      </c>
      <c r="AU45" s="422" t="n">
        <v>10</v>
      </c>
      <c r="AV45" s="422" t="inlineStr">
        <is>
          <t>SF</t>
        </is>
      </c>
      <c r="AW45" s="602">
        <f>SUM(IF(AS45=AS$5,4,0),IF(AS45&amp;AT45=AS$5&amp;AT$5,1,0),
IF(AND(AS45=AS$5,AT$6&gt;=$D$115),1,0),
IF(AND(AT45=AS$5,AT$6&gt;=$D$115),1,0),
IF(AND(AU45=AS$5,AT$6&gt;=$D$115),1,0),
IF(AS45&amp;AV45=AW$5,1,0),
IF(AT45=AS$5,2,0),
IF(AU45=AS$5,1,0),
IF(OR(AS45&amp;AT45&amp;AU45=AS$5&amp;AT$5&amp;AU$5,AS45&amp;AT45&amp;AU45=AS$5&amp;AU$5&amp;AT$5,AS45&amp;AT45&amp;AU45=AT$5&amp;AS$5&amp;AU$5,AS45&amp;AT45&amp;AU45=AT$5&amp;AU$5&amp;AS$5,AS45&amp;AT45&amp;AU45=AU$5&amp;AS$5&amp;AT$5,AS45&amp;AT45&amp;AU45=AU$5&amp;AT$5&amp;AS$5),2,0),IF(AND(AS45=AS$5,AT$6&gt;=$D$129),1,0),IF(AND(AT45=AS$5,AT$6&gt;=$D$129),1,0),IF(AND(AU45=AS$5,AT$6&gt;=$D$129),1,0),IF(AS45&amp;AV45=AV$5,4,0),IF(AND(AS45=AS$5,AT$6&lt;=$D$104),-0.5,0),IF(AND(AT45=AS$5,AT$6&lt;=$D$104),-0.5,0),IF(AND(AU45=AS$5,AT$6&lt;=$D$104),-0.5,0))</f>
        <v/>
      </c>
      <c r="AX45" s="416" t="n">
        <v>1</v>
      </c>
      <c r="AY45" s="422" t="n">
        <v>3</v>
      </c>
      <c r="AZ45" s="422" t="n">
        <v>2</v>
      </c>
      <c r="BA45" s="422" t="n"/>
      <c r="BB45" s="602">
        <f>SUM(IF(AX45=AX$5,4,0),IF(AX45&amp;AY45=AX$5&amp;AY$5,1,0),
IF(AND(AX45=AX$5,AY$6&gt;=$D$115),1,0),
IF(AND(AY45=AX$5,AY$6&gt;=$D$115),1,0),
IF(AND(AZ45=AX$5,AY$6&gt;=$D$115),1,0),
IF(AX45&amp;BA45=BB$5,1,0),
IF(AY45=AX$5,2,0),
IF(AZ45=AX$5,1,0),
IF(OR(AX45&amp;AY45&amp;AZ45=AX$5&amp;AY$5&amp;AZ$5,AX45&amp;AY45&amp;AZ45=AX$5&amp;AZ$5&amp;AY$5,AX45&amp;AY45&amp;AZ45=AY$5&amp;AX$5&amp;AZ$5,AX45&amp;AY45&amp;AZ45=AY$5&amp;AZ$5&amp;AX$5,AX45&amp;AY45&amp;AZ45=AZ$5&amp;AX$5&amp;AY$5,AX45&amp;AY45&amp;AZ45=AZ$5&amp;AY$5&amp;AX$5),2,0),IF(AND(AX45=AX$5,AY$6&gt;=$D$129),1,0),IF(AND(AY45=AX$5,AY$6&gt;=$D$129),1,0),IF(AND(AZ45=AX$5,AY$6&gt;=$D$129),1,0),IF(AX45&amp;BA45=BA$5,4,0),IF(AND(AX45=AX$5,AY$6&lt;=$D$104),-0.5,0),IF(AND(AY45=AX$5,AY$6&lt;=$D$104),-0.5,0),IF(AND(AZ45=AX$5,AY$6&lt;=$D$104),-0.5,0))</f>
        <v/>
      </c>
      <c r="BC45" s="416" t="n">
        <v>2</v>
      </c>
      <c r="BD45" s="422" t="n">
        <v>7</v>
      </c>
      <c r="BE45" s="422" t="n">
        <v>6</v>
      </c>
      <c r="BF45" s="422" t="inlineStr">
        <is>
          <t>F</t>
        </is>
      </c>
      <c r="BG45" s="602">
        <f>SUM(IF(BC45=BC$5,4,0),IF(BC45&amp;BD45=BC$5&amp;BD$5,1,0),
IF(AND(BC45=BC$5,BD$6&gt;=$D$115),1,0),
IF(AND(BD45=BC$5,BD$6&gt;=$D$115),1,0),
IF(AND(BE45=BC$5,BD$6&gt;=$D$115),1,0),
IF(BC45&amp;BF45=BG$5,1,0),
IF(BD45=BC$5,2,0),
IF(BE45=BC$5,1,0),
IF(OR(BC45&amp;BD45&amp;BE45=BC$5&amp;BD$5&amp;BE$5,BC45&amp;BD45&amp;BE45=BC$5&amp;BE$5&amp;BD$5,BC45&amp;BD45&amp;BE45=BD$5&amp;BC$5&amp;BE$5,BC45&amp;BD45&amp;BE45=BD$5&amp;BE$5&amp;BC$5,BC45&amp;BD45&amp;BE45=BE$5&amp;BC$5&amp;BD$5,BC45&amp;BD45&amp;BE45=BE$5&amp;BD$5&amp;BC$5),2,0),IF(AND(BC45=BC$5,BD$6&gt;=$D$129),1,0),IF(AND(BD45=BC$5,BD$6&gt;=$D$129),1,0),IF(AND(BE45=BC$5,BD$6&gt;=$D$129),1,0),IF(BC45&amp;BF45=BF$5,4,0),IF(AND(BC45=BC$5,BD$6&lt;=$D$104),-0.5,0),IF(AND(BD45=BC$5,BD$6&lt;=$D$104),-0.5,0),IF(AND(BE45=BC$5,BD$6&lt;=$D$104),-0.5,0))</f>
        <v/>
      </c>
      <c r="BH45" s="416" t="n">
        <v>1</v>
      </c>
      <c r="BI45" s="422" t="n">
        <v>6</v>
      </c>
      <c r="BJ45" s="422" t="n">
        <v>5</v>
      </c>
      <c r="BK45" s="422" t="n"/>
      <c r="BL45" s="602">
        <f>SUM(IF(BH45=BH$5,4,0),IF(BH45&amp;BI45=BH$5&amp;BI$5,1,0),
IF(AND(BH45=BH$5,BI$6&gt;=$D$115),1,0),
IF(AND(BI45=BH$5,BI$6&gt;=$D$115),1,0),
IF(AND(BJ45=BH$5,BI$6&gt;=$D$115),1,0),
IF(BH45&amp;BK45=BL$5,1,0),
IF(BI45=BH$5,2,0),
IF(BJ45=BH$5,1,0),
IF(OR(BH45&amp;BI45&amp;BJ45=BH$5&amp;BI$5&amp;BJ$5,BH45&amp;BI45&amp;BJ45=BH$5&amp;BJ$5&amp;BI$5,BH45&amp;BI45&amp;BJ45=BI$5&amp;BH$5&amp;BJ$5,BH45&amp;BI45&amp;BJ45=BI$5&amp;BJ$5&amp;BH$5,BH45&amp;BI45&amp;BJ45=BJ$5&amp;BH$5&amp;BI$5,BH45&amp;BI45&amp;BJ45=BJ$5&amp;BI$5&amp;BH$5),2,0),IF(AND(BH45=BH$5,BI$6&gt;=$D$129),1,0),IF(AND(BI45=BH$5,BI$6&gt;=$D$129),1,0),IF(AND(BJ45=BH$5,BI$6&gt;=$D$129),1,0),IF(BH45&amp;BK45=BK$5,4,0),IF(AND(BH45=BH$5,BI$6&lt;=$D$104),-0.5,0),IF(AND(BI45=BH$5,BI$6&lt;=$D$104),-0.5,0),IF(AND(BJ45=BH$5,BI$6&lt;=$D$104),-0.5,0))</f>
        <v/>
      </c>
      <c r="BM45" s="416" t="n">
        <v>4</v>
      </c>
      <c r="BN45" s="422" t="n">
        <v>9</v>
      </c>
      <c r="BO45" s="422" t="n">
        <v>3</v>
      </c>
      <c r="BP45" s="422" t="n"/>
      <c r="BQ45" s="602">
        <f>SUM(IF(BM45=BM$5,4,0),IF(BM45&amp;BN45=BM$5&amp;BN$5,1,0),
IF(AND(BM45=BM$5,BN$6&gt;=$D$115),1,0),
IF(AND(BN45=BM$5,BN$6&gt;=$D$115),1,0),
IF(AND(BO45=BM$5,BN$6&gt;=$D$115),1,0),
IF(BM45&amp;BP45=BQ$5,1,0),
IF(BN45=BM$5,2,0),
IF(BO45=BM$5,1,0),
IF(OR(BM45&amp;BN45&amp;BO45=BM$5&amp;BN$5&amp;BO$5,BM45&amp;BN45&amp;BO45=BM$5&amp;BO$5&amp;BN$5,BM45&amp;BN45&amp;BO45=BN$5&amp;BM$5&amp;BO$5,BM45&amp;BN45&amp;BO45=BN$5&amp;BO$5&amp;BM$5,BM45&amp;BN45&amp;BO45=BO$5&amp;BM$5&amp;BN$5,BM45&amp;BN45&amp;BO45=BO$5&amp;BN$5&amp;BM$5),2,0),IF(AND(BM45=BM$5,BN$6&gt;=$D$129),1,0),IF(AND(BN45=BM$5,BN$6&gt;=$D$129),1,0),IF(AND(BO45=BM$5,BN$6&gt;=$D$129),1,0),IF(BM45&amp;BP45=BP$5,4,0),IF(AND(BM45=BM$5,BN$6&lt;=$D$104),-0.5,0),IF(AND(BN45=BM$5,BN$6&lt;=$D$104),-0.5,0),IF(AND(BO45=BM$5,BN$6&lt;=$D$104),-0.5,0))</f>
        <v/>
      </c>
      <c r="BR45" s="416" t="n">
        <v>1</v>
      </c>
      <c r="BS45" s="422" t="n">
        <v>11</v>
      </c>
      <c r="BT45" s="422" t="n">
        <v>5</v>
      </c>
      <c r="BU45" s="422" t="n"/>
      <c r="BV45" s="602">
        <f>SUM(IF(BR45=BR$5,4,0),IF(BR45&amp;BS45=BR$5&amp;BS$5,1,0),
IF(AND(BR45=BR$5,BS$6&gt;=$D$115),1,0),
IF(AND(BS45=BR$5,BS$6&gt;=$D$115),1,0),
IF(AND(BT45=BR$5,BS$6&gt;=$D$115),1,0),
IF(BR45&amp;BU45=BV$5,1,0),
IF(BS45=BR$5,2,0),
IF(BT45=BR$5,1,0),
IF(OR(BR45&amp;BS45&amp;BT45=BR$5&amp;BS$5&amp;BT$5,BR45&amp;BS45&amp;BT45=BR$5&amp;BT$5&amp;BS$5,BR45&amp;BS45&amp;BT45=BS$5&amp;BR$5&amp;BT$5,BR45&amp;BS45&amp;BT45=BS$5&amp;BT$5&amp;BR$5,BR45&amp;BS45&amp;BT45=BT$5&amp;BR$5&amp;BS$5,BR45&amp;BS45&amp;BT45=BT$5&amp;BS$5&amp;BR$5),2,0),IF(AND(BR45=BR$5,BS$6&gt;=$D$129),1,0),IF(AND(BS45=BR$5,BS$6&gt;=$D$129),1,0),IF(AND(BT45=BR$5,BS$6&gt;=$D$129),1,0),IF(BR45&amp;BU45=BU$5,4,0),IF(AND(BR45=BR$5,BS$6&lt;=$D$104),-0.5,0),IF(AND(BS45=BR$5,BS$6&lt;=$D$104),-0.5,0),IF(AND(BT45=BR$5,BS$6&lt;=$D$104),-0.5,0))</f>
        <v/>
      </c>
      <c r="BW45" s="416" t="n"/>
      <c r="BX45" s="422" t="n"/>
      <c r="BY45" s="422" t="n"/>
      <c r="BZ45" s="422" t="n"/>
      <c r="CA45" s="602">
        <f>SUM(IF(BW45=BW$5,4,0),IF(BW45&amp;BX45=BW$5&amp;BX$5,1,0),
IF(AND(BW45=BW$5,BX$6&gt;=$D$115),1,0),
IF(AND(BX45=BW$5,BX$6&gt;=$D$115),1,0),
IF(AND(BY45=BW$5,BX$6&gt;=$D$115),1,0),
IF(BW45&amp;BZ45=CA$5,1,0),
IF(BX45=BW$5,2,0),
IF(BY45=BW$5,1,0),
IF(OR(BW45&amp;BX45&amp;BY45=BW$5&amp;BX$5&amp;BY$5,BW45&amp;BX45&amp;BY45=BW$5&amp;BY$5&amp;BX$5,BW45&amp;BX45&amp;BY45=BX$5&amp;BW$5&amp;BY$5,BW45&amp;BX45&amp;BY45=BX$5&amp;BY$5&amp;BW$5,BW45&amp;BX45&amp;BY45=BY$5&amp;BW$5&amp;BX$5,BW45&amp;BX45&amp;BY45=BY$5&amp;BX$5&amp;BW$5),2,0),IF(AND(BW45=BW$5,BX$6&gt;=$D$129),1,0),IF(AND(BX45=BW$5,BX$6&gt;=$D$129),1,0),IF(AND(BY45=BW$5,BX$6&gt;=$D$129),1,0),IF(BW45&amp;BZ45=BZ$5,4,0),IF(AND(BW45=BW$5,BX$6&lt;=$D$104),-0.5,0),IF(AND(BX45=BW$5,BX$6&lt;=$D$104),-0.5,0),IF(AND(BY45=BW$5,BX$6&lt;=$D$104),-0.5,0))</f>
        <v/>
      </c>
      <c r="CB45" s="416" t="n"/>
      <c r="CC45" s="422" t="n"/>
      <c r="CD45" s="422" t="n"/>
      <c r="CE45" s="422" t="n"/>
      <c r="CF45" s="602">
        <f>SUM(IF(CB45=CB$5,4,0),IF(CB45&amp;CC45=CB$5&amp;CC$5,1,0),
IF(AND(CB45=CB$5,CC$6&gt;=$D$115),1,0),
IF(AND(CC45=CB$5,CC$6&gt;=$D$115),1,0),
IF(AND(CD45=CB$5,CC$6&gt;=$D$115),1,0),
IF(CB45&amp;CE45=CF$5,1,0),
IF(CC45=CB$5,2,0),
IF(CD45=CB$5,1,0),
IF(OR(CB45&amp;CC45&amp;CD45=CB$5&amp;CC$5&amp;CD$5,CB45&amp;CC45&amp;CD45=CB$5&amp;CD$5&amp;CC$5,CB45&amp;CC45&amp;CD45=CC$5&amp;CB$5&amp;CD$5,CB45&amp;CC45&amp;CD45=CC$5&amp;CD$5&amp;CB$5,CB45&amp;CC45&amp;CD45=CD$5&amp;CB$5&amp;CC$5,CB45&amp;CC45&amp;CD45=CD$5&amp;CC$5&amp;CB$5),2,0),IF(AND(CB45=CB$5,CC$6&gt;=$D$129),1,0),IF(AND(CC45=CB$5,CC$6&gt;=$D$129),1,0),IF(AND(CD45=CB$5,CC$6&gt;=$D$129),1,0),IF(CB45&amp;CE45=CE$5,4,0),IF(AND(CB45=CB$5,CC$6&lt;=$D$104),-0.5,0),IF(AND(CC45=CB$5,CC$6&lt;=$D$104),-0.5,0),IF(AND(CD45=CB$5,CC$6&lt;=$D$104),-0.5,0))</f>
        <v/>
      </c>
      <c r="CG45" s="164">
        <f>IF(SEMANA2[[#This Row],[1]]="",0,$B$4)</f>
        <v/>
      </c>
      <c r="CH45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5" s="166">
        <f>IF(SEMANA2[[#This Row],[Columna14]]=0,0,(CH45/CG45))</f>
        <v/>
      </c>
      <c r="CJ45" s="165">
        <f>IF(SEMANA2[[#This Row],[1]]="",0,$B$4)</f>
        <v/>
      </c>
      <c r="CK45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5" s="166">
        <f>IF(SEMANA2[[#This Row],[Columna14]]=0,0,(CK45/CJ45))</f>
        <v/>
      </c>
      <c r="CM45" s="164">
        <f>IF(SEMANA2[[#This Row],[1]]="",0,$B$4)</f>
        <v/>
      </c>
      <c r="CN45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5" s="166">
        <f>IF(SEMANA2[[#This Row],[Columna14]]=0,0,(CN45/CM45))</f>
        <v/>
      </c>
      <c r="CP45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5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Row],[Columna25]],$AX$5,BA45,"SF")+COUNTIFS(SEMANA2[[#This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5" s="166">
        <f>IFERROR(IF(SEMANA2[[#This Row],[Columna14]]=0,0,(CQ45/CP45)),0)</f>
        <v/>
      </c>
      <c r="CS45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5" s="95">
        <f>_xlfn.XLOOKUP(SEMANA2[[#This Row],[COD]],BASE01[COD],BASE01[Columna33])</f>
        <v/>
      </c>
      <c r="CU45" s="604">
        <f>SUM(CS45,CT45)</f>
        <v/>
      </c>
      <c r="CV45" s="450">
        <f>IF(SEMANA2[[#This Row],[TIPO]]="PREMIO",$O$3,"0,00")</f>
        <v/>
      </c>
      <c r="CW45" s="576" t="n"/>
      <c r="CY45" s="392">
        <f>IF(CZ45="","",$CZ$25)</f>
        <v/>
      </c>
      <c r="CZ45" s="392" t="n"/>
      <c r="DA45" s="392">
        <f t="array" ref="DA45">IF(CZ45="", "", IF((INDEX(E$8:CE$57, MATCH(CZ45, C$8:C$57, 0), ($CZ$25-1)*5 + 1) &amp; "") = (INDEX(E$5:CE$5, 1, ($CZ$25-1)*5 + 1) &amp; ""), 1, IF((INDEX(E$8:CE$57, MATCH(CZ45, C$8:C$57, 0), ($CZ$25-1)*5 + 2) &amp; "") = (INDEX(E$5:CE$5, 1, ($CZ$25-1)*5 + 1) &amp; ""), 2, IF((INDEX(E$8:CE$57, MATCH(CZ45, C$8:C$57, 0), ($CZ$25-1)*5 + 3) &amp; "") = (INDEX(E$5:CE$5, 1, ($CZ$25-1)*5 + 1) &amp; ""), 3, ""))))</f>
        <v/>
      </c>
      <c r="DB45" s="605">
        <f>SEMANA2[[#This Row],[COD]]</f>
        <v/>
      </c>
      <c r="DC45" s="395">
        <f t="array" ref="DC45">IFERROR(IF(AND(INDEX($E$8:$CE$57, MATCH($C45, $C$8:$C$57, 0), (COLUMNS($DC45:DC45)-1)*5 + 1) = INDEX($E$5:$CE$5, 1, (COLUMNS($DC45:DC45)-1)*5 + 1), INDEX($E$8:$CE$57, MATCH($C45, $C$8:$C$57, 0), (COLUMNS($DC45:DC45)-1)*5 + 4) = "F"), INDEX($CZ$8:$CZ$23, COLUMNS($DC45:DC45)), "0"), "")</f>
        <v/>
      </c>
      <c r="DD45" s="395">
        <f t="array" ref="DD45">IFERROR(IF(AND(INDEX($E$8:$CE$57, MATCH($C45, $C$8:$C$57, 0), (COLUMNS($DC45:DD45)-1)*5 + 1) = INDEX($E$5:$CE$5, 1, (COLUMNS($DC45:DD45)-1)*5 + 1), INDEX($E$8:$CE$57, MATCH($C45, $C$8:$C$57, 0), (COLUMNS($DC45:DD45)-1)*5 + 4) = "F"), INDEX($CZ$8:$CZ$23, COLUMNS($DC45:DD45)), "0"), "")</f>
        <v/>
      </c>
      <c r="DE45" s="395">
        <f t="array" ref="DE45">IFERROR(IF(AND(INDEX($E$8:$CE$57, MATCH($C45, $C$8:$C$57, 0), (COLUMNS($DC45:DE45)-1)*5 + 1) = INDEX($E$5:$CE$5, 1, (COLUMNS($DC45:DE45)-1)*5 + 1), INDEX($E$8:$CE$57, MATCH($C45, $C$8:$C$57, 0), (COLUMNS($DC45:DE45)-1)*5 + 4) = "F"), INDEX($CZ$8:$CZ$23, COLUMNS($DC45:DE45)), "0"), "")</f>
        <v/>
      </c>
      <c r="DF45" s="395">
        <f t="array" ref="DF45">IFERROR(IF(AND(INDEX($E$8:$CE$57, MATCH($C45, $C$8:$C$57, 0), (COLUMNS($DC45:DF45)-1)*5 + 1) = INDEX($E$5:$CE$5, 1, (COLUMNS($DC45:DF45)-1)*5 + 1), INDEX($E$8:$CE$57, MATCH($C45, $C$8:$C$57, 0), (COLUMNS($DC45:DF45)-1)*5 + 4) = "F"), INDEX($CZ$8:$CZ$23, COLUMNS($DC45:DF45)), "0"), "")</f>
        <v/>
      </c>
      <c r="DG45" s="395">
        <f t="array" ref="DG45">IFERROR(IF(AND(INDEX($E$8:$CE$57, MATCH($C45, $C$8:$C$57, 0), (COLUMNS($DC45:DG45)-1)*5 + 1) = INDEX($E$5:$CE$5, 1, (COLUMNS($DC45:DG45)-1)*5 + 1), INDEX($E$8:$CE$57, MATCH($C45, $C$8:$C$57, 0), (COLUMNS($DC45:DG45)-1)*5 + 4) = "F"), INDEX($CZ$8:$CZ$23, COLUMNS($DC45:DG45)), "0"), "")</f>
        <v/>
      </c>
      <c r="DH45" s="395">
        <f t="array" ref="DH45">IFERROR(IF(AND(INDEX($E$8:$CE$57, MATCH($C45, $C$8:$C$57, 0), (COLUMNS($DC45:DH45)-1)*5 + 1) = INDEX($E$5:$CE$5, 1, (COLUMNS($DC45:DH45)-1)*5 + 1), INDEX($E$8:$CE$57, MATCH($C45, $C$8:$C$57, 0), (COLUMNS($DC45:DH45)-1)*5 + 4) = "F"), INDEX($CZ$8:$CZ$23, COLUMNS($DC45:DH45)), "0"), "")</f>
        <v/>
      </c>
      <c r="DI45" s="395">
        <f t="array" ref="DI45">IFERROR(IF(AND(INDEX($E$8:$CE$57, MATCH($C45, $C$8:$C$57, 0), (COLUMNS($DC45:DI45)-1)*5 + 1) = INDEX($E$5:$CE$5, 1, (COLUMNS($DC45:DI45)-1)*5 + 1), INDEX($E$8:$CE$57, MATCH($C45, $C$8:$C$57, 0), (COLUMNS($DC45:DI45)-1)*5 + 4) = "F"), INDEX($CZ$8:$CZ$23, COLUMNS($DC45:DI45)), "0"), "")</f>
        <v/>
      </c>
      <c r="DJ45" s="395">
        <f t="array" ref="DJ45">IFERROR(IF(AND(INDEX($E$8:$CE$57, MATCH($C45, $C$8:$C$57, 0), (COLUMNS($DC45:DJ45)-1)*5 + 1) = INDEX($E$5:$CE$5, 1, (COLUMNS($DC45:DJ45)-1)*5 + 1), INDEX($E$8:$CE$57, MATCH($C45, $C$8:$C$57, 0), (COLUMNS($DC45:DJ45)-1)*5 + 4) = "F"), INDEX($CZ$8:$CZ$23, COLUMNS($DC45:DJ45)), "0"), "")</f>
        <v/>
      </c>
      <c r="DK45" s="395">
        <f t="array" ref="DK45">IFERROR(IF(AND(INDEX($E$8:$CE$57, MATCH($C45, $C$8:$C$57, 0), (COLUMNS($DC45:DK45)-1)*5 + 1) = INDEX($E$5:$CE$5, 1, (COLUMNS($DC45:DK45)-1)*5 + 1), INDEX($E$8:$CE$57, MATCH($C45, $C$8:$C$57, 0), (COLUMNS($DC45:DK45)-1)*5 + 4) = "F"), INDEX($CZ$8:$CZ$23, COLUMNS($DC45:DK45)), "0"), "")</f>
        <v/>
      </c>
      <c r="DL45" s="395">
        <f t="array" ref="DL45">IFERROR(IF(AND(INDEX($E$8:$CE$57, MATCH($C45, $C$8:$C$57, 0), (COLUMNS($DC45:DL45)-1)*5 + 1) = INDEX($E$5:$CE$5, 1, (COLUMNS($DC45:DL45)-1)*5 + 1), INDEX($E$8:$CE$57, MATCH($C45, $C$8:$C$57, 0), (COLUMNS($DC45:DL45)-1)*5 + 4) = "F"), INDEX($CZ$8:$CZ$23, COLUMNS($DC45:DL45)), "0"), "")</f>
        <v/>
      </c>
      <c r="DM45" s="395">
        <f t="array" ref="DM45">IFERROR(IF(AND(INDEX($E$8:$CE$57, MATCH($C45, $C$8:$C$57, 0), (COLUMNS($DC45:DM45)-1)*5 + 1) = INDEX($E$5:$CE$5, 1, (COLUMNS($DC45:DM45)-1)*5 + 1), INDEX($E$8:$CE$57, MATCH($C45, $C$8:$C$57, 0), (COLUMNS($DC45:DM45)-1)*5 + 4) = "F"), INDEX($CZ$8:$CZ$23, COLUMNS($DC45:DM45)), "0"), "")</f>
        <v/>
      </c>
      <c r="DN45" s="395">
        <f t="array" ref="DN45">IFERROR(IF(AND(INDEX($E$8:$CE$57, MATCH($C45, $C$8:$C$57, 0), (COLUMNS($DC45:DN45)-1)*5 + 1) = INDEX($E$5:$CE$5, 1, (COLUMNS($DC45:DN45)-1)*5 + 1), INDEX($E$8:$CE$57, MATCH($C45, $C$8:$C$57, 0), (COLUMNS($DC45:DN45)-1)*5 + 4) = "F"), INDEX($CZ$8:$CZ$23, COLUMNS($DC45:DN45)), "0"), "")</f>
        <v/>
      </c>
      <c r="DO45" s="395">
        <f t="array" ref="DO45">IFERROR(IF(AND(INDEX($E$8:$CE$57, MATCH($C45, $C$8:$C$57, 0), (COLUMNS($DC45:DO45)-1)*5 + 1) = INDEX($E$5:$CE$5, 1, (COLUMNS($DC45:DO45)-1)*5 + 1), INDEX($E$8:$CE$57, MATCH($C45, $C$8:$C$57, 0), (COLUMNS($DC45:DO45)-1)*5 + 4) = "F"), INDEX($CZ$8:$CZ$23, COLUMNS($DC45:DO45)), "0"), "")</f>
        <v/>
      </c>
      <c r="DP45" s="395">
        <f t="array" ref="DP45">IFERROR(IF(AND(INDEX($E$8:$CE$57, MATCH($C45, $C$8:$C$57, 0), (COLUMNS($DC45:DP45)-1)*5 + 1) = INDEX($E$5:$CE$5, 1, (COLUMNS($DC45:DP45)-1)*5 + 1), INDEX($E$8:$CE$57, MATCH($C45, $C$8:$C$57, 0), (COLUMNS($DC45:DP45)-1)*5 + 4) = "F"), INDEX($CZ$8:$CZ$23, COLUMNS($DC45:DP45)), "0"), "")</f>
        <v/>
      </c>
      <c r="DQ45" s="395">
        <f t="array" ref="DQ45">IFERROR(IF(AND(INDEX($E$8:$CE$57, MATCH($C45, $C$8:$C$57, 0), (COLUMNS($DC45:DQ45)-1)*5 + 1) = INDEX($E$5:$CE$5, 1, (COLUMNS($DC45:DQ45)-1)*5 + 1), INDEX($E$8:$CE$57, MATCH($C45, $C$8:$C$57, 0), (COLUMNS($DC45:DQ45)-1)*5 + 4) = "F"), INDEX($CZ$8:$CZ$23, COLUMNS($DC45:DQ45)), "0"), "")</f>
        <v/>
      </c>
      <c r="DR45" s="395">
        <f t="array" ref="DR45">IFERROR(IF(AND(INDEX($E$8:$CE$57, MATCH($C45, $C$8:$C$57, 0), (COLUMNS($DC45:DR45)-1)*5 + 1) = INDEX($E$5:$CE$5, 1, (COLUMNS($DC45:DR45)-1)*5 + 1), INDEX($E$8:$CE$57, MATCH($C45, $C$8:$C$57, 0), (COLUMNS($DC45:DR45)-1)*5 + 4) = "F"), INDEX($CZ$8:$CZ$23, COLUMNS($DC45:DR45)), "0"), "")</f>
        <v/>
      </c>
      <c r="DT45" s="605">
        <f>SEMANA2[[#This Row],[COD]]</f>
        <v/>
      </c>
      <c r="DU45" s="395">
        <f t="array" ref="DU45">IFERROR(IF(AND(INDEX($E$8:$CE$57, MATCH($C45, $C$8:$C$57, 0), (COLUMNS($DU45:DU45)-1)*5 + 1) = INDEX($E$5:$CE$5, 1, (COLUMNS($DU45:DU45)-1)*5 + 1), INDEX($E$8:$CE$57, MATCH($C45, $C$8:$C$57, 0), (COLUMNS($DU45:DU45)-1)*5 + 4) = "SF"), INDEX($CZ$8:$CZ$23, COLUMNS($DU45:DU45)), "0"), "")</f>
        <v/>
      </c>
      <c r="DV45" s="395">
        <f t="array" ref="DV45">IFERROR(IF(AND(INDEX($E$8:$CE$57, MATCH($C45, $C$8:$C$57, 0), (COLUMNS($DU45:DV45)-1)*5 + 1) = INDEX($E$5:$CE$5, 1, (COLUMNS($DU45:DV45)-1)*5 + 1), INDEX($E$8:$CE$57, MATCH($C45, $C$8:$C$57, 0), (COLUMNS($DU45:DV45)-1)*5 + 4) = "SF"), INDEX($CZ$8:$CZ$23, COLUMNS($DU45:DV45)), "0"), "")</f>
        <v/>
      </c>
      <c r="DW45" s="395">
        <f t="array" ref="DW45">IFERROR(IF(AND(INDEX($E$8:$CE$57, MATCH($C45, $C$8:$C$57, 0), (COLUMNS($DU45:DW45)-1)*5 + 1) = INDEX($E$5:$CE$5, 1, (COLUMNS($DU45:DW45)-1)*5 + 1), INDEX($E$8:$CE$57, MATCH($C45, $C$8:$C$57, 0), (COLUMNS($DU45:DW45)-1)*5 + 4) = "SF"), INDEX($CZ$8:$CZ$23, COLUMNS($DU45:DW45)), "0"), "")</f>
        <v/>
      </c>
      <c r="DX45" s="395">
        <f t="array" ref="DX45">IFERROR(IF(AND(INDEX($E$8:$CE$57, MATCH($C45, $C$8:$C$57, 0), (COLUMNS($DU45:DX45)-1)*5 + 1) = INDEX($E$5:$CE$5, 1, (COLUMNS($DU45:DX45)-1)*5 + 1), INDEX($E$8:$CE$57, MATCH($C45, $C$8:$C$57, 0), (COLUMNS($DU45:DX45)-1)*5 + 4) = "SF"), INDEX($CZ$8:$CZ$23, COLUMNS($DU45:DX45)), "0"), "")</f>
        <v/>
      </c>
      <c r="DY45" s="395">
        <f t="array" ref="DY45">IFERROR(IF(AND(INDEX($E$8:$CE$57, MATCH($C45, $C$8:$C$57, 0), (COLUMNS($DU45:DY45)-1)*5 + 1) = INDEX($E$5:$CE$5, 1, (COLUMNS($DU45:DY45)-1)*5 + 1), INDEX($E$8:$CE$57, MATCH($C45, $C$8:$C$57, 0), (COLUMNS($DU45:DY45)-1)*5 + 4) = "SF"), INDEX($CZ$8:$CZ$23, COLUMNS($DU45:DY45)), "0"), "")</f>
        <v/>
      </c>
      <c r="DZ45" s="395">
        <f t="array" ref="DZ45">IFERROR(IF(AND(INDEX($E$8:$CE$57, MATCH($C45, $C$8:$C$57, 0), (COLUMNS($DU45:DZ45)-1)*5 + 1) = INDEX($E$5:$CE$5, 1, (COLUMNS($DU45:DZ45)-1)*5 + 1), INDEX($E$8:$CE$57, MATCH($C45, $C$8:$C$57, 0), (COLUMNS($DU45:DZ45)-1)*5 + 4) = "SF"), INDEX($CZ$8:$CZ$23, COLUMNS($DU45:DZ45)), "0"), "")</f>
        <v/>
      </c>
      <c r="EA45" s="395">
        <f t="array" ref="EA45">IFERROR(IF(AND(INDEX($E$8:$CE$57, MATCH($C45, $C$8:$C$57, 0), (COLUMNS($DU45:EA45)-1)*5 + 1) = INDEX($E$5:$CE$5, 1, (COLUMNS($DU45:EA45)-1)*5 + 1), INDEX($E$8:$CE$57, MATCH($C45, $C$8:$C$57, 0), (COLUMNS($DU45:EA45)-1)*5 + 4) = "SF"), INDEX($CZ$8:$CZ$23, COLUMNS($DU45:EA45)), "0"), "")</f>
        <v/>
      </c>
      <c r="EB45" s="395">
        <f t="array" ref="EB45">IFERROR(IF(AND(INDEX($E$8:$CE$57, MATCH($C45, $C$8:$C$57, 0), (COLUMNS($DU45:EB45)-1)*5 + 1) = INDEX($E$5:$CE$5, 1, (COLUMNS($DU45:EB45)-1)*5 + 1), INDEX($E$8:$CE$57, MATCH($C45, $C$8:$C$57, 0), (COLUMNS($DU45:EB45)-1)*5 + 4) = "SF"), INDEX($CZ$8:$CZ$23, COLUMNS($DU45:EB45)), "0"), "")</f>
        <v/>
      </c>
      <c r="EC45" s="395">
        <f t="array" ref="EC45">IFERROR(IF(AND(INDEX($E$8:$CE$57, MATCH($C45, $C$8:$C$57, 0), (COLUMNS($DU45:EC45)-1)*5 + 1) = INDEX($E$5:$CE$5, 1, (COLUMNS($DU45:EC45)-1)*5 + 1), INDEX($E$8:$CE$57, MATCH($C45, $C$8:$C$57, 0), (COLUMNS($DU45:EC45)-1)*5 + 4) = "SF"), INDEX($CZ$8:$CZ$23, COLUMNS($DU45:EC45)), "0"), "")</f>
        <v/>
      </c>
      <c r="ED45" s="395">
        <f t="array" ref="ED45">IFERROR(IF(AND(INDEX($E$8:$CE$57, MATCH($C45, $C$8:$C$57, 0), (COLUMNS($DU45:ED45)-1)*5 + 1) = INDEX($E$5:$CE$5, 1, (COLUMNS($DU45:ED45)-1)*5 + 1), INDEX($E$8:$CE$57, MATCH($C45, $C$8:$C$57, 0), (COLUMNS($DU45:ED45)-1)*5 + 4) = "SF"), INDEX($CZ$8:$CZ$23, COLUMNS($DU45:ED45)), "0"), "")</f>
        <v/>
      </c>
      <c r="EE45" s="395">
        <f t="array" ref="EE45">IFERROR(IF(AND(INDEX($E$8:$CE$57, MATCH($C45, $C$8:$C$57, 0), (COLUMNS($DU45:EE45)-1)*5 + 1) = INDEX($E$5:$CE$5, 1, (COLUMNS($DU45:EE45)-1)*5 + 1), INDEX($E$8:$CE$57, MATCH($C45, $C$8:$C$57, 0), (COLUMNS($DU45:EE45)-1)*5 + 4) = "SF"), INDEX($CZ$8:$CZ$23, COLUMNS($DU45:EE45)), "0"), "")</f>
        <v/>
      </c>
      <c r="EF45" s="395">
        <f t="array" ref="EF45">IFERROR(IF(AND(INDEX($E$8:$CE$57, MATCH($C45, $C$8:$C$57, 0), (COLUMNS($DU45:EF45)-1)*5 + 1) = INDEX($E$5:$CE$5, 1, (COLUMNS($DU45:EF45)-1)*5 + 1), INDEX($E$8:$CE$57, MATCH($C45, $C$8:$C$57, 0), (COLUMNS($DU45:EF45)-1)*5 + 4) = "SF"), INDEX($CZ$8:$CZ$23, COLUMNS($DU45:EF45)), "0"), "")</f>
        <v/>
      </c>
      <c r="EG45" s="395">
        <f t="array" ref="EG45">IFERROR(IF(AND(INDEX($E$8:$CE$57, MATCH($C45, $C$8:$C$57, 0), (COLUMNS($DU45:EG45)-1)*5 + 1) = INDEX($E$5:$CE$5, 1, (COLUMNS($DU45:EG45)-1)*5 + 1), INDEX($E$8:$CE$57, MATCH($C45, $C$8:$C$57, 0), (COLUMNS($DU45:EG45)-1)*5 + 4) = "SF"), INDEX($CZ$8:$CZ$23, COLUMNS($DU45:EG45)), "0"), "")</f>
        <v/>
      </c>
      <c r="EH45" s="395">
        <f t="array" ref="EH45">IFERROR(IF(AND(INDEX($E$8:$CE$57, MATCH($C45, $C$8:$C$57, 0), (COLUMNS($DU45:EH45)-1)*5 + 1) = INDEX($E$5:$CE$5, 1, (COLUMNS($DU45:EH45)-1)*5 + 1), INDEX($E$8:$CE$57, MATCH($C45, $C$8:$C$57, 0), (COLUMNS($DU45:EH45)-1)*5 + 4) = "SF"), INDEX($CZ$8:$CZ$23, COLUMNS($DU45:EH45)), "0"), "")</f>
        <v/>
      </c>
      <c r="EI45" s="395">
        <f t="array" ref="EI45">IFERROR(IF(AND(INDEX($E$8:$CE$57, MATCH($C45, $C$8:$C$57, 0), (COLUMNS($DU45:EI45)-1)*5 + 1) = INDEX($E$5:$CE$5, 1, (COLUMNS($DU45:EI45)-1)*5 + 1), INDEX($E$8:$CE$57, MATCH($C45, $C$8:$C$57, 0), (COLUMNS($DU45:EI45)-1)*5 + 4) = "SF"), INDEX($CZ$8:$CZ$23, COLUMNS($DU45:EI45)), "0"), "")</f>
        <v/>
      </c>
      <c r="EJ45" s="395">
        <f t="array" ref="EJ45">IFERROR(IF(AND(INDEX($E$8:$CE$57, MATCH($C45, $C$8:$C$57, 0), (COLUMNS($DU45:EJ45)-1)*5 + 1) = INDEX($E$5:$CE$5, 1, (COLUMNS($DU45:EJ45)-1)*5 + 1), INDEX($E$8:$CE$57, MATCH($C45, $C$8:$C$57, 0), (COLUMNS($DU45:EJ45)-1)*5 + 4) = "SF"), INDEX($CZ$8:$CZ$23, COLUMNS($DU45:EJ45)), "0"), "")</f>
        <v/>
      </c>
    </row>
    <row r="46" ht="20.1" customHeight="1" s="568">
      <c r="A46" s="576" t="n"/>
      <c r="B46" s="449">
        <f>IF(SEMANA2[[#This Row],[COD]]&lt;&gt;"",B45+1,"")</f>
        <v/>
      </c>
      <c r="C46" s="622" t="inlineStr">
        <is>
          <t>COD 39</t>
        </is>
      </c>
      <c r="D46" s="415">
        <f t="array" ref="D46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6" s="416" t="n">
        <v>9</v>
      </c>
      <c r="F46" s="418" t="n"/>
      <c r="G46" s="418" t="n"/>
      <c r="H46" s="418" t="inlineStr">
        <is>
          <t>SF</t>
        </is>
      </c>
      <c r="I46" s="602">
        <f>SUM(IF(E46=E$5,4,0),IF(E46&amp;F46=E$5&amp;F$5,1,0),
IF(AND(E46=E$5,F$6&gt;=$D$115),1,0),
IF(AND(F46=E$5,F$6&gt;=$D$115),1,0),
IF(AND(G46=E$5,F$6&gt;=$D$115),1,0),
IF(E46&amp;H46=I$5,1,0),
IF(F46=E$5,2,0),
IF(G46=E$5,1,0),
IF(OR(E46&amp;F46&amp;G46=E$5&amp;F$5&amp;G$5,E46&amp;F46&amp;G46=E$5&amp;G$5&amp;F$5,E46&amp;F46&amp;G46=F$5&amp;E$5&amp;G$5,E46&amp;F46&amp;G46=F$5&amp;G$5&amp;E$5,E46&amp;F46&amp;G46=G$5&amp;E$5&amp;F$5,E46&amp;F46&amp;G46=G$5&amp;F$5&amp;E$5),2,0),IF(AND(E46=E$5,F$6&gt;=$D$129),1,0),IF(AND(F46=E$5,F$6&gt;=$D$129),1,0),IF(AND(G46=E$5,F$6&gt;=$D$129),1,0),IF(E46&amp;H46=H$5,4,0),IF(AND(E46=E$5,F$6&lt;=$D$104),-0.5,0),IF(AND(F46=E$5,F$6&lt;=$D$104),-0.5,0),IF(AND(G46=E$5,F$6&lt;=$D$104),-0.5,0))</f>
        <v/>
      </c>
      <c r="J46" s="416" t="n">
        <v>1</v>
      </c>
      <c r="K46" s="418" t="n">
        <v>6</v>
      </c>
      <c r="L46" s="418" t="n">
        <v>7</v>
      </c>
      <c r="M46" s="418" t="n"/>
      <c r="N46" s="602">
        <f>SUM(IF(J46=J$5,4,0),IF(J46&amp;K46=J$5&amp;K$5,1,0),
IF(AND(J46=J$5,K$6&gt;=$D$115),1,0),
IF(AND(K46=J$5,K$6&gt;=$D$115),1,0),
IF(AND(L46=J$5,K$6&gt;=$D$115),1,0),
IF(J46&amp;M46=N$5,1,0),
IF(K46=J$5,2,0),
IF(L46=J$5,1,0),
IF(OR(J46&amp;K46&amp;L46=J$5&amp;K$5&amp;L$5,J46&amp;K46&amp;L46=J$5&amp;L$5&amp;K$5,J46&amp;K46&amp;L46=K$5&amp;J$5&amp;L$5,J46&amp;K46&amp;L46=K$5&amp;L$5&amp;J$5,J46&amp;K46&amp;L46=L$5&amp;J$5&amp;K$5,J46&amp;K46&amp;L46=L$5&amp;K$5&amp;J$5),2,0),IF(AND(J46=J$5,K$6&gt;=$D$129),1,0),IF(AND(K46=J$5,K$6&gt;=$D$129),1,0),IF(AND(L46=J$5,K$6&gt;=$D$129),1,0),IF(J46&amp;M46=M$5,4,0),IF(AND(J46=J$5,K$6&lt;=$D$104),-0.5,0),IF(AND(K46=J$5,K$6&lt;=$D$104),-0.5,0),IF(AND(L46=J$5,K$6&lt;=$D$104),-0.5,0))</f>
        <v/>
      </c>
      <c r="O46" s="416" t="n">
        <v>5</v>
      </c>
      <c r="P46" s="418" t="n">
        <v>7</v>
      </c>
      <c r="Q46" s="418" t="n">
        <v>1</v>
      </c>
      <c r="R46" s="418" t="n"/>
      <c r="S46" s="602">
        <f>SUM(IF(O46=O$5,4,0),IF(O46&amp;P46=O$5&amp;P$5,1,0),
IF(AND(O46=O$5,P$6&gt;=$D$115),1,0),
IF(AND(P46=O$5,P$6&gt;=$D$115),1,0),
IF(AND(Q46=O$5,P$6&gt;=$D$115),1,0),
IF(O46&amp;R46=S$5,1,0),
IF(P46=O$5,2,0),
IF(Q46=O$5,1,0),
IF(OR(O46&amp;P46&amp;Q46=O$5&amp;P$5&amp;Q$5,O46&amp;P46&amp;Q46=O$5&amp;Q$5&amp;P$5,O46&amp;P46&amp;Q46=P$5&amp;O$5&amp;Q$5,O46&amp;P46&amp;Q46=P$5&amp;Q$5&amp;O$5,O46&amp;P46&amp;Q46=Q$5&amp;O$5&amp;P$5,O46&amp;P46&amp;Q46=Q$5&amp;P$5&amp;O$5),2,0),IF(AND(O46=O$5,P$6&gt;=$D$129),1,0),IF(AND(P46=O$5,P$6&gt;=$D$129),1,0),IF(AND(Q46=O$5,P$6&gt;=$D$129),1,0),IF(O46&amp;R46=R$5,4,0),IF(AND(O46=O$5,P$6&lt;=$D$104),-0.5,0),IF(AND(P46=O$5,P$6&lt;=$D$104),-0.5,0),IF(AND(Q46=O$5,P$6&lt;=$D$104),-0.5,0))</f>
        <v/>
      </c>
      <c r="T46" s="416" t="n">
        <v>5</v>
      </c>
      <c r="U46" s="418" t="n">
        <v>3</v>
      </c>
      <c r="V46" s="418" t="n">
        <v>4</v>
      </c>
      <c r="W46" s="418" t="n"/>
      <c r="X46" s="602">
        <f>SUM(IF(T46=T$5,4,0),IF(T46&amp;U46=T$5&amp;U$5,1,0),
IF(AND(T46=T$5,U$6&gt;=$D$115),1,0),
IF(AND(U46=T$5,U$6&gt;=$D$115),1,0),
IF(AND(V46=T$5,U$6&gt;=$D$115),1,0),
IF(T46&amp;W46=X$5,1,0),
IF(U46=T$5,2,0),
IF(V46=T$5,1,0),
IF(OR(T46&amp;U46&amp;V46=T$5&amp;U$5&amp;V$5,T46&amp;U46&amp;V46=T$5&amp;V$5&amp;U$5,T46&amp;U46&amp;V46=U$5&amp;T$5&amp;V$5,T46&amp;U46&amp;V46=U$5&amp;V$5&amp;T$5,T46&amp;U46&amp;V46=V$5&amp;T$5&amp;U$5,T46&amp;U46&amp;V46=V$5&amp;U$5&amp;T$5),2,0),IF(AND(T46=T$5,U$6&gt;=$D$129),1,0),IF(AND(U46=T$5,U$6&gt;=$D$129),1,0),IF(AND(V46=T$5,U$6&gt;=$D$129),1,0),IF(T46&amp;W46=W$5,4,0),IF(AND(T46=T$5,U$6&lt;=$D$104),-0.5,0),IF(AND(U46=T$5,U$6&lt;=$D$104),-0.5,0),IF(AND(V46=T$5,U$6&lt;=$D$104),-0.5,0))</f>
        <v/>
      </c>
      <c r="Y46" s="416" t="n">
        <v>5</v>
      </c>
      <c r="Z46" s="418" t="n">
        <v>2</v>
      </c>
      <c r="AA46" s="418" t="n">
        <v>1</v>
      </c>
      <c r="AB46" s="418" t="n"/>
      <c r="AC46" s="602">
        <f>SUM(IF(Y46=Y$5,4,0),IF(Y46&amp;Z46=Y$5&amp;Z$5,1,0),
IF(AND(Y46=Y$5,Z$6&gt;=$D$115),1,0),
IF(AND(Z46=Y$5,Z$6&gt;=$D$115),1,0),
IF(AND(AA46=Y$5,Z$6&gt;=$D$115),1,0),
IF(Y46&amp;AB46=AC$5,1,0),
IF(Z46=Y$5,2,0),
IF(AA46=Y$5,1,0),
IF(OR(Y46&amp;Z46&amp;AA46=Y$5&amp;Z$5&amp;AA$5,Y46&amp;Z46&amp;AA46=Y$5&amp;AA$5&amp;Z$5,Y46&amp;Z46&amp;AA46=Z$5&amp;Y$5&amp;AA$5,Y46&amp;Z46&amp;AA46=Z$5&amp;AA$5&amp;Y$5,Y46&amp;Z46&amp;AA46=AA$5&amp;Y$5&amp;Z$5,Y46&amp;Z46&amp;AA46=AA$5&amp;Z$5&amp;Y$5),2,0),IF(AND(Y46=Y$5,Z$6&gt;=$D$129),1,0),IF(AND(Z46=Y$5,Z$6&gt;=$D$129),1,0),IF(AND(AA46=Y$5,Z$6&gt;=$D$129),1,0),IF(Y46&amp;AB46=AB$5,4,0),IF(AND(Y46=Y$5,Z$6&lt;=$D$104),-0.5,0),IF(AND(Z46=Y$5,Z$6&lt;=$D$104),-0.5,0),IF(AND(AA46=Y$5,Z$6&lt;=$D$104),-0.5,0))</f>
        <v/>
      </c>
      <c r="AD46" s="416" t="n">
        <v>10</v>
      </c>
      <c r="AE46" s="418" t="n">
        <v>5</v>
      </c>
      <c r="AF46" s="418" t="n">
        <v>2</v>
      </c>
      <c r="AG46" s="418" t="n"/>
      <c r="AH46" s="602">
        <f>SUM(IF(AD46=AD$5,4,0),IF(AD46&amp;AE46=AD$5&amp;AE$5,1,0),
IF(AND(AD46=AD$5,AE$6&gt;=$D$115),1,0),
IF(AND(AE46=AD$5,AE$6&gt;=$D$115),1,0),
IF(AND(AF46=AD$5,AE$6&gt;=$D$115),1,0),
IF(AD46&amp;AG46=AH$5,1,0),
IF(AE46=AD$5,2,0),
IF(AF46=AD$5,1,0),
IF(OR(AD46&amp;AE46&amp;AF46=AD$5&amp;AE$5&amp;AF$5,AD46&amp;AE46&amp;AF46=AD$5&amp;AF$5&amp;AE$5,AD46&amp;AE46&amp;AF46=AE$5&amp;AD$5&amp;AF$5,AD46&amp;AE46&amp;AF46=AE$5&amp;AF$5&amp;AD$5,AD46&amp;AE46&amp;AF46=AF$5&amp;AD$5&amp;AE$5,AD46&amp;AE46&amp;AF46=AF$5&amp;AE$5&amp;AD$5),2,0),IF(AND(AD46=AD$5,AE$6&gt;=$D$129),1,0),IF(AND(AE46=AD$5,AE$6&gt;=$D$129),1,0),IF(AND(AF46=AD$5,AE$6&gt;=$D$129),1,0),IF(AD46&amp;AG46=AG$5,4,0),IF(AND(AD46=AD$5,AE$6&lt;=$D$104),-0.5,0),IF(AND(AE46=AD$5,AE$6&lt;=$D$104),-0.5,0),IF(AND(AF46=AD$5,AE$6&lt;=$D$104),-0.5,0))</f>
        <v/>
      </c>
      <c r="AI46" s="416" t="n">
        <v>7</v>
      </c>
      <c r="AJ46" s="418" t="n">
        <v>8</v>
      </c>
      <c r="AK46" s="418" t="n">
        <v>2</v>
      </c>
      <c r="AL46" s="418" t="n"/>
      <c r="AM46" s="602">
        <f>SUM(IF(AI46=AI$5,4,0),IF(AI46&amp;AJ46=AI$5&amp;AJ$5,1,0),
IF(AND(AI46=AI$5,AJ$6&gt;=$D$115),1,0),
IF(AND(AJ46=AI$5,AJ$6&gt;=$D$115),1,0),
IF(AND(AK46=AI$5,AJ$6&gt;=$D$115),1,0),
IF(AI46&amp;AL46=AM$5,1,0),
IF(AJ46=AI$5,2,0),
IF(AK46=AI$5,1,0),
IF(OR(AI46&amp;AJ46&amp;AK46=AI$5&amp;AJ$5&amp;AK$5,AI46&amp;AJ46&amp;AK46=AI$5&amp;AK$5&amp;AJ$5,AI46&amp;AJ46&amp;AK46=AJ$5&amp;AI$5&amp;AK$5,AI46&amp;AJ46&amp;AK46=AJ$5&amp;AK$5&amp;AI$5,AI46&amp;AJ46&amp;AK46=AK$5&amp;AI$5&amp;AJ$5,AI46&amp;AJ46&amp;AK46=AK$5&amp;AJ$5&amp;AI$5),2,0),IF(AND(AI46=AI$5,AJ$6&gt;=$D$129),1,0),IF(AND(AJ46=AI$5,AJ$6&gt;=$D$129),1,0),IF(AND(AK46=AI$5,AJ$6&gt;=$D$129),1,0),IF(AI46&amp;AL46=AL$5,4,0),IF(AND(AI46=AI$5,AJ$6&lt;=$D$104),-0.5,0),IF(AND(AJ46=AI$5,AJ$6&lt;=$D$104),-0.5,0),IF(AND(AK46=AI$5,AJ$6&lt;=$D$104),-0.5,0))</f>
        <v/>
      </c>
      <c r="AN46" s="416" t="n">
        <v>8</v>
      </c>
      <c r="AO46" s="418" t="n">
        <v>1</v>
      </c>
      <c r="AP46" s="418" t="n">
        <v>2</v>
      </c>
      <c r="AQ46" s="418" t="inlineStr">
        <is>
          <t>F</t>
        </is>
      </c>
      <c r="AR46" s="602">
        <f>SUM(IF(AN46=AN$5,4,0),IF(AN46&amp;AO46=AN$5&amp;AO$5,1,0),
IF(AND(AN46=AN$5,AO$6&gt;=$D$115),1,0),
IF(AND(AO46=AN$5,AO$6&gt;=$D$115),1,0),
IF(AND(AP46=AN$5,AO$6&gt;=$D$115),1,0),
IF(AN46&amp;AQ46=AR$5,1,0),
IF(AO46=AN$5,2,0),
IF(AP46=AN$5,1,0),
IF(OR(AN46&amp;AO46&amp;AP46=AN$5&amp;AO$5&amp;AP$5,AN46&amp;AO46&amp;AP46=AN$5&amp;AP$5&amp;AO$5,AN46&amp;AO46&amp;AP46=AO$5&amp;AN$5&amp;AP$5,AN46&amp;AO46&amp;AP46=AO$5&amp;AP$5&amp;AN$5,AN46&amp;AO46&amp;AP46=AP$5&amp;AN$5&amp;AO$5,AN46&amp;AO46&amp;AP46=AP$5&amp;AO$5&amp;AN$5),2,0),IF(AND(AN46=AN$5,AO$6&gt;=$D$129),1,0),IF(AND(AO46=AN$5,AO$6&gt;=$D$129),1,0),IF(AND(AP46=AN$5,AO$6&gt;=$D$129),1,0),IF(AN46&amp;AQ46=AQ$5,4,0),IF(AND(AN46=AN$5,AO$6&lt;=$D$104),-0.5,0),IF(AND(AO46=AN$5,AO$6&lt;=$D$104),-0.5,0),IF(AND(AP46=AN$5,AO$6&lt;=$D$104),-0.5,0))</f>
        <v/>
      </c>
      <c r="AS46" s="416" t="n">
        <v>10</v>
      </c>
      <c r="AT46" s="418" t="n">
        <v>1</v>
      </c>
      <c r="AU46" s="418" t="n">
        <v>2</v>
      </c>
      <c r="AV46" s="418" t="inlineStr">
        <is>
          <t>F</t>
        </is>
      </c>
      <c r="AW46" s="602">
        <f>SUM(IF(AS46=AS$5,4,0),IF(AS46&amp;AT46=AS$5&amp;AT$5,1,0),
IF(AND(AS46=AS$5,AT$6&gt;=$D$115),1,0),
IF(AND(AT46=AS$5,AT$6&gt;=$D$115),1,0),
IF(AND(AU46=AS$5,AT$6&gt;=$D$115),1,0),
IF(AS46&amp;AV46=AW$5,1,0),
IF(AT46=AS$5,2,0),
IF(AU46=AS$5,1,0),
IF(OR(AS46&amp;AT46&amp;AU46=AS$5&amp;AT$5&amp;AU$5,AS46&amp;AT46&amp;AU46=AS$5&amp;AU$5&amp;AT$5,AS46&amp;AT46&amp;AU46=AT$5&amp;AS$5&amp;AU$5,AS46&amp;AT46&amp;AU46=AT$5&amp;AU$5&amp;AS$5,AS46&amp;AT46&amp;AU46=AU$5&amp;AS$5&amp;AT$5,AS46&amp;AT46&amp;AU46=AU$5&amp;AT$5&amp;AS$5),2,0),IF(AND(AS46=AS$5,AT$6&gt;=$D$129),1,0),IF(AND(AT46=AS$5,AT$6&gt;=$D$129),1,0),IF(AND(AU46=AS$5,AT$6&gt;=$D$129),1,0),IF(AS46&amp;AV46=AV$5,4,0),IF(AND(AS46=AS$5,AT$6&lt;=$D$104),-0.5,0),IF(AND(AT46=AS$5,AT$6&lt;=$D$104),-0.5,0),IF(AND(AU46=AS$5,AT$6&lt;=$D$104),-0.5,0))</f>
        <v/>
      </c>
      <c r="AX46" s="416" t="n">
        <v>10</v>
      </c>
      <c r="AY46" s="418" t="n">
        <v>1</v>
      </c>
      <c r="AZ46" s="418" t="n">
        <v>6</v>
      </c>
      <c r="BA46" s="418" t="n"/>
      <c r="BB46" s="602">
        <f>SUM(IF(AX46=AX$5,4,0),IF(AX46&amp;AY46=AX$5&amp;AY$5,1,0),
IF(AND(AX46=AX$5,AY$6&gt;=$D$115),1,0),
IF(AND(AY46=AX$5,AY$6&gt;=$D$115),1,0),
IF(AND(AZ46=AX$5,AY$6&gt;=$D$115),1,0),
IF(AX46&amp;BA46=BB$5,1,0),
IF(AY46=AX$5,2,0),
IF(AZ46=AX$5,1,0),
IF(OR(AX46&amp;AY46&amp;AZ46=AX$5&amp;AY$5&amp;AZ$5,AX46&amp;AY46&amp;AZ46=AX$5&amp;AZ$5&amp;AY$5,AX46&amp;AY46&amp;AZ46=AY$5&amp;AX$5&amp;AZ$5,AX46&amp;AY46&amp;AZ46=AY$5&amp;AZ$5&amp;AX$5,AX46&amp;AY46&amp;AZ46=AZ$5&amp;AX$5&amp;AY$5,AX46&amp;AY46&amp;AZ46=AZ$5&amp;AY$5&amp;AX$5),2,0),IF(AND(AX46=AX$5,AY$6&gt;=$D$129),1,0),IF(AND(AY46=AX$5,AY$6&gt;=$D$129),1,0),IF(AND(AZ46=AX$5,AY$6&gt;=$D$129),1,0),IF(AX46&amp;BA46=BA$5,4,0),IF(AND(AX46=AX$5,AY$6&lt;=$D$104),-0.5,0),IF(AND(AY46=AX$5,AY$6&lt;=$D$104),-0.5,0),IF(AND(AZ46=AX$5,AY$6&lt;=$D$104),-0.5,0))</f>
        <v/>
      </c>
      <c r="BC46" s="416" t="n">
        <v>7</v>
      </c>
      <c r="BD46" s="418" t="n">
        <v>4</v>
      </c>
      <c r="BE46" s="418" t="n">
        <v>5</v>
      </c>
      <c r="BF46" s="418" t="n"/>
      <c r="BG46" s="602">
        <f>SUM(IF(BC46=BC$5,4,0),IF(BC46&amp;BD46=BC$5&amp;BD$5,1,0),
IF(AND(BC46=BC$5,BD$6&gt;=$D$115),1,0),
IF(AND(BD46=BC$5,BD$6&gt;=$D$115),1,0),
IF(AND(BE46=BC$5,BD$6&gt;=$D$115),1,0),
IF(BC46&amp;BF46=BG$5,1,0),
IF(BD46=BC$5,2,0),
IF(BE46=BC$5,1,0),
IF(OR(BC46&amp;BD46&amp;BE46=BC$5&amp;BD$5&amp;BE$5,BC46&amp;BD46&amp;BE46=BC$5&amp;BE$5&amp;BD$5,BC46&amp;BD46&amp;BE46=BD$5&amp;BC$5&amp;BE$5,BC46&amp;BD46&amp;BE46=BD$5&amp;BE$5&amp;BC$5,BC46&amp;BD46&amp;BE46=BE$5&amp;BC$5&amp;BD$5,BC46&amp;BD46&amp;BE46=BE$5&amp;BD$5&amp;BC$5),2,0),IF(AND(BC46=BC$5,BD$6&gt;=$D$129),1,0),IF(AND(BD46=BC$5,BD$6&gt;=$D$129),1,0),IF(AND(BE46=BC$5,BD$6&gt;=$D$129),1,0),IF(BC46&amp;BF46=BF$5,4,0),IF(AND(BC46=BC$5,BD$6&lt;=$D$104),-0.5,0),IF(AND(BD46=BC$5,BD$6&lt;=$D$104),-0.5,0),IF(AND(BE46=BC$5,BD$6&lt;=$D$104),-0.5,0))</f>
        <v/>
      </c>
      <c r="BH46" s="416" t="n">
        <v>6</v>
      </c>
      <c r="BI46" s="418" t="n">
        <v>5</v>
      </c>
      <c r="BJ46" s="418" t="n">
        <v>2</v>
      </c>
      <c r="BK46" s="418" t="n"/>
      <c r="BL46" s="602">
        <f>SUM(IF(BH46=BH$5,4,0),IF(BH46&amp;BI46=BH$5&amp;BI$5,1,0),
IF(AND(BH46=BH$5,BI$6&gt;=$D$115),1,0),
IF(AND(BI46=BH$5,BI$6&gt;=$D$115),1,0),
IF(AND(BJ46=BH$5,BI$6&gt;=$D$115),1,0),
IF(BH46&amp;BK46=BL$5,1,0),
IF(BI46=BH$5,2,0),
IF(BJ46=BH$5,1,0),
IF(OR(BH46&amp;BI46&amp;BJ46=BH$5&amp;BI$5&amp;BJ$5,BH46&amp;BI46&amp;BJ46=BH$5&amp;BJ$5&amp;BI$5,BH46&amp;BI46&amp;BJ46=BI$5&amp;BH$5&amp;BJ$5,BH46&amp;BI46&amp;BJ46=BI$5&amp;BJ$5&amp;BH$5,BH46&amp;BI46&amp;BJ46=BJ$5&amp;BH$5&amp;BI$5,BH46&amp;BI46&amp;BJ46=BJ$5&amp;BI$5&amp;BH$5),2,0),IF(AND(BH46=BH$5,BI$6&gt;=$D$129),1,0),IF(AND(BI46=BH$5,BI$6&gt;=$D$129),1,0),IF(AND(BJ46=BH$5,BI$6&gt;=$D$129),1,0),IF(BH46&amp;BK46=BK$5,4,0),IF(AND(BH46=BH$5,BI$6&lt;=$D$104),-0.5,0),IF(AND(BI46=BH$5,BI$6&lt;=$D$104),-0.5,0),IF(AND(BJ46=BH$5,BI$6&lt;=$D$104),-0.5,0))</f>
        <v/>
      </c>
      <c r="BM46" s="416" t="n">
        <v>4</v>
      </c>
      <c r="BN46" s="418" t="n">
        <v>1</v>
      </c>
      <c r="BO46" s="418" t="n">
        <v>3</v>
      </c>
      <c r="BP46" s="418" t="n"/>
      <c r="BQ46" s="602">
        <f>SUM(IF(BM46=BM$5,4,0),IF(BM46&amp;BN46=BM$5&amp;BN$5,1,0),
IF(AND(BM46=BM$5,BN$6&gt;=$D$115),1,0),
IF(AND(BN46=BM$5,BN$6&gt;=$D$115),1,0),
IF(AND(BO46=BM$5,BN$6&gt;=$D$115),1,0),
IF(BM46&amp;BP46=BQ$5,1,0),
IF(BN46=BM$5,2,0),
IF(BO46=BM$5,1,0),
IF(OR(BM46&amp;BN46&amp;BO46=BM$5&amp;BN$5&amp;BO$5,BM46&amp;BN46&amp;BO46=BM$5&amp;BO$5&amp;BN$5,BM46&amp;BN46&amp;BO46=BN$5&amp;BM$5&amp;BO$5,BM46&amp;BN46&amp;BO46=BN$5&amp;BO$5&amp;BM$5,BM46&amp;BN46&amp;BO46=BO$5&amp;BM$5&amp;BN$5,BM46&amp;BN46&amp;BO46=BO$5&amp;BN$5&amp;BM$5),2,0),IF(AND(BM46=BM$5,BN$6&gt;=$D$129),1,0),IF(AND(BN46=BM$5,BN$6&gt;=$D$129),1,0),IF(AND(BO46=BM$5,BN$6&gt;=$D$129),1,0),IF(BM46&amp;BP46=BP$5,4,0),IF(AND(BM46=BM$5,BN$6&lt;=$D$104),-0.5,0),IF(AND(BN46=BM$5,BN$6&lt;=$D$104),-0.5,0),IF(AND(BO46=BM$5,BN$6&lt;=$D$104),-0.5,0))</f>
        <v/>
      </c>
      <c r="BR46" s="416" t="n">
        <v>9</v>
      </c>
      <c r="BS46" s="418" t="n">
        <v>2</v>
      </c>
      <c r="BT46" s="418" t="n">
        <v>11</v>
      </c>
      <c r="BU46" s="418" t="n"/>
      <c r="BV46" s="602">
        <f>SUM(IF(BR46=BR$5,4,0),IF(BR46&amp;BS46=BR$5&amp;BS$5,1,0),
IF(AND(BR46=BR$5,BS$6&gt;=$D$115),1,0),
IF(AND(BS46=BR$5,BS$6&gt;=$D$115),1,0),
IF(AND(BT46=BR$5,BS$6&gt;=$D$115),1,0),
IF(BR46&amp;BU46=BV$5,1,0),
IF(BS46=BR$5,2,0),
IF(BT46=BR$5,1,0),
IF(OR(BR46&amp;BS46&amp;BT46=BR$5&amp;BS$5&amp;BT$5,BR46&amp;BS46&amp;BT46=BR$5&amp;BT$5&amp;BS$5,BR46&amp;BS46&amp;BT46=BS$5&amp;BR$5&amp;BT$5,BR46&amp;BS46&amp;BT46=BS$5&amp;BT$5&amp;BR$5,BR46&amp;BS46&amp;BT46=BT$5&amp;BR$5&amp;BS$5,BR46&amp;BS46&amp;BT46=BT$5&amp;BS$5&amp;BR$5),2,0),IF(AND(BR46=BR$5,BS$6&gt;=$D$129),1,0),IF(AND(BS46=BR$5,BS$6&gt;=$D$129),1,0),IF(AND(BT46=BR$5,BS$6&gt;=$D$129),1,0),IF(BR46&amp;BU46=BU$5,4,0),IF(AND(BR46=BR$5,BS$6&lt;=$D$104),-0.5,0),IF(AND(BS46=BR$5,BS$6&lt;=$D$104),-0.5,0),IF(AND(BT46=BR$5,BS$6&lt;=$D$104),-0.5,0))</f>
        <v/>
      </c>
      <c r="BW46" s="416" t="n"/>
      <c r="BX46" s="418" t="n"/>
      <c r="BY46" s="418" t="n"/>
      <c r="BZ46" s="418" t="n"/>
      <c r="CA46" s="602">
        <f>SUM(IF(BW46=BW$5,4,0),IF(BW46&amp;BX46=BW$5&amp;BX$5,1,0),
IF(AND(BW46=BW$5,BX$6&gt;=$D$115),1,0),
IF(AND(BX46=BW$5,BX$6&gt;=$D$115),1,0),
IF(AND(BY46=BW$5,BX$6&gt;=$D$115),1,0),
IF(BW46&amp;BZ46=CA$5,1,0),
IF(BX46=BW$5,2,0),
IF(BY46=BW$5,1,0),
IF(OR(BW46&amp;BX46&amp;BY46=BW$5&amp;BX$5&amp;BY$5,BW46&amp;BX46&amp;BY46=BW$5&amp;BY$5&amp;BX$5,BW46&amp;BX46&amp;BY46=BX$5&amp;BW$5&amp;BY$5,BW46&amp;BX46&amp;BY46=BX$5&amp;BY$5&amp;BW$5,BW46&amp;BX46&amp;BY46=BY$5&amp;BW$5&amp;BX$5,BW46&amp;BX46&amp;BY46=BY$5&amp;BX$5&amp;BW$5),2,0),IF(AND(BW46=BW$5,BX$6&gt;=$D$129),1,0),IF(AND(BX46=BW$5,BX$6&gt;=$D$129),1,0),IF(AND(BY46=BW$5,BX$6&gt;=$D$129),1,0),IF(BW46&amp;BZ46=BZ$5,4,0),IF(AND(BW46=BW$5,BX$6&lt;=$D$104),-0.5,0),IF(AND(BX46=BW$5,BX$6&lt;=$D$104),-0.5,0),IF(AND(BY46=BW$5,BX$6&lt;=$D$104),-0.5,0))</f>
        <v/>
      </c>
      <c r="CB46" s="416" t="n"/>
      <c r="CC46" s="418" t="n"/>
      <c r="CD46" s="418" t="n"/>
      <c r="CE46" s="418" t="n"/>
      <c r="CF46" s="602">
        <f>SUM(IF(CB46=CB$5,4,0),IF(CB46&amp;CC46=CB$5&amp;CC$5,1,0),
IF(AND(CB46=CB$5,CC$6&gt;=$D$115),1,0),
IF(AND(CC46=CB$5,CC$6&gt;=$D$115),1,0),
IF(AND(CD46=CB$5,CC$6&gt;=$D$115),1,0),
IF(CB46&amp;CE46=CF$5,1,0),
IF(CC46=CB$5,2,0),
IF(CD46=CB$5,1,0),
IF(OR(CB46&amp;CC46&amp;CD46=CB$5&amp;CC$5&amp;CD$5,CB46&amp;CC46&amp;CD46=CB$5&amp;CD$5&amp;CC$5,CB46&amp;CC46&amp;CD46=CC$5&amp;CB$5&amp;CD$5,CB46&amp;CC46&amp;CD46=CC$5&amp;CD$5&amp;CB$5,CB46&amp;CC46&amp;CD46=CD$5&amp;CB$5&amp;CC$5,CB46&amp;CC46&amp;CD46=CD$5&amp;CC$5&amp;CB$5),2,0),IF(AND(CB46=CB$5,CC$6&gt;=$D$129),1,0),IF(AND(CC46=CB$5,CC$6&gt;=$D$129),1,0),IF(AND(CD46=CB$5,CC$6&gt;=$D$129),1,0),IF(CB46&amp;CE46=CE$5,4,0),IF(AND(CB46=CB$5,CC$6&lt;=$D$104),-0.5,0),IF(AND(CC46=CB$5,CC$6&lt;=$D$104),-0.5,0),IF(AND(CD46=CB$5,CC$6&lt;=$D$104),-0.5,0))</f>
        <v/>
      </c>
      <c r="CG46" s="164">
        <f>IF(SEMANA2[[#This Row],[1]]="",0,$B$4)</f>
        <v/>
      </c>
      <c r="CH46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6" s="166">
        <f>IF(SEMANA2[[#This Row],[Columna14]]=0,0,(CH46/CG46))</f>
        <v/>
      </c>
      <c r="CJ46" s="165">
        <f>IF(SEMANA2[[#This Row],[1]]="",0,$B$4)</f>
        <v/>
      </c>
      <c r="CK46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6" s="166">
        <f>IF(SEMANA2[[#This Row],[Columna14]]=0,0,(CK46/CJ46))</f>
        <v/>
      </c>
      <c r="CM46" s="164">
        <f>IF(SEMANA2[[#This Row],[1]]="",0,$B$4)</f>
        <v/>
      </c>
      <c r="CN46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6" s="166">
        <f>IF(SEMANA2[[#This Row],[Columna14]]=0,0,(CN46/CM46))</f>
        <v/>
      </c>
      <c r="CP46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6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Row],[Columna25]],$AX$5,BA46,"SF")+COUNTIFS(SEMANA2[[#This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6" s="166">
        <f>IFERROR(IF(SEMANA2[[#This Row],[Columna14]]=0,0,(CQ46/CP46)),0)</f>
        <v/>
      </c>
      <c r="CS46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6" s="95">
        <f>_xlfn.XLOOKUP(SEMANA2[[#This Row],[COD]],BASE01[COD],BASE01[Columna33])</f>
        <v/>
      </c>
      <c r="CU46" s="604">
        <f>SUM(CS46,CT46)</f>
        <v/>
      </c>
      <c r="CV46" s="450">
        <f>IF(SEMANA2[[#This Row],[TIPO]]="PREMIO",$O$3,"0,00")</f>
        <v/>
      </c>
      <c r="CW46" s="576" t="n"/>
      <c r="CY46" s="392">
        <f>IF(CZ46="","",$CZ$25)</f>
        <v/>
      </c>
      <c r="CZ46" s="392" t="n"/>
      <c r="DA46" s="392">
        <f t="array" ref="DA46">IF(CZ46="", "", IF((INDEX(E$8:CE$57, MATCH(CZ46, C$8:C$57, 0), ($CZ$25-1)*5 + 1) &amp; "") = (INDEX(E$5:CE$5, 1, ($CZ$25-1)*5 + 1) &amp; ""), 1, IF((INDEX(E$8:CE$57, MATCH(CZ46, C$8:C$57, 0), ($CZ$25-1)*5 + 2) &amp; "") = (INDEX(E$5:CE$5, 1, ($CZ$25-1)*5 + 1) &amp; ""), 2, IF((INDEX(E$8:CE$57, MATCH(CZ46, C$8:C$57, 0), ($CZ$25-1)*5 + 3) &amp; "") = (INDEX(E$5:CE$5, 1, ($CZ$25-1)*5 + 1) &amp; ""), 3, ""))))</f>
        <v/>
      </c>
      <c r="DB46" s="605">
        <f>SEMANA2[[#This Row],[COD]]</f>
        <v/>
      </c>
      <c r="DC46" s="395">
        <f t="array" ref="DC46">IFERROR(IF(AND(INDEX($E$8:$CE$57, MATCH($C46, $C$8:$C$57, 0), (COLUMNS($DC46:DC46)-1)*5 + 1) = INDEX($E$5:$CE$5, 1, (COLUMNS($DC46:DC46)-1)*5 + 1), INDEX($E$8:$CE$57, MATCH($C46, $C$8:$C$57, 0), (COLUMNS($DC46:DC46)-1)*5 + 4) = "F"), INDEX($CZ$8:$CZ$23, COLUMNS($DC46:DC46)), "0"), "")</f>
        <v/>
      </c>
      <c r="DD46" s="395">
        <f t="array" ref="DD46">IFERROR(IF(AND(INDEX($E$8:$CE$57, MATCH($C46, $C$8:$C$57, 0), (COLUMNS($DC46:DD46)-1)*5 + 1) = INDEX($E$5:$CE$5, 1, (COLUMNS($DC46:DD46)-1)*5 + 1), INDEX($E$8:$CE$57, MATCH($C46, $C$8:$C$57, 0), (COLUMNS($DC46:DD46)-1)*5 + 4) = "F"), INDEX($CZ$8:$CZ$23, COLUMNS($DC46:DD46)), "0"), "")</f>
        <v/>
      </c>
      <c r="DE46" s="395">
        <f t="array" ref="DE46">IFERROR(IF(AND(INDEX($E$8:$CE$57, MATCH($C46, $C$8:$C$57, 0), (COLUMNS($DC46:DE46)-1)*5 + 1) = INDEX($E$5:$CE$5, 1, (COLUMNS($DC46:DE46)-1)*5 + 1), INDEX($E$8:$CE$57, MATCH($C46, $C$8:$C$57, 0), (COLUMNS($DC46:DE46)-1)*5 + 4) = "F"), INDEX($CZ$8:$CZ$23, COLUMNS($DC46:DE46)), "0"), "")</f>
        <v/>
      </c>
      <c r="DF46" s="395">
        <f t="array" ref="DF46">IFERROR(IF(AND(INDEX($E$8:$CE$57, MATCH($C46, $C$8:$C$57, 0), (COLUMNS($DC46:DF46)-1)*5 + 1) = INDEX($E$5:$CE$5, 1, (COLUMNS($DC46:DF46)-1)*5 + 1), INDEX($E$8:$CE$57, MATCH($C46, $C$8:$C$57, 0), (COLUMNS($DC46:DF46)-1)*5 + 4) = "F"), INDEX($CZ$8:$CZ$23, COLUMNS($DC46:DF46)), "0"), "")</f>
        <v/>
      </c>
      <c r="DG46" s="395">
        <f t="array" ref="DG46">IFERROR(IF(AND(INDEX($E$8:$CE$57, MATCH($C46, $C$8:$C$57, 0), (COLUMNS($DC46:DG46)-1)*5 + 1) = INDEX($E$5:$CE$5, 1, (COLUMNS($DC46:DG46)-1)*5 + 1), INDEX($E$8:$CE$57, MATCH($C46, $C$8:$C$57, 0), (COLUMNS($DC46:DG46)-1)*5 + 4) = "F"), INDEX($CZ$8:$CZ$23, COLUMNS($DC46:DG46)), "0"), "")</f>
        <v/>
      </c>
      <c r="DH46" s="395">
        <f t="array" ref="DH46">IFERROR(IF(AND(INDEX($E$8:$CE$57, MATCH($C46, $C$8:$C$57, 0), (COLUMNS($DC46:DH46)-1)*5 + 1) = INDEX($E$5:$CE$5, 1, (COLUMNS($DC46:DH46)-1)*5 + 1), INDEX($E$8:$CE$57, MATCH($C46, $C$8:$C$57, 0), (COLUMNS($DC46:DH46)-1)*5 + 4) = "F"), INDEX($CZ$8:$CZ$23, COLUMNS($DC46:DH46)), "0"), "")</f>
        <v/>
      </c>
      <c r="DI46" s="395">
        <f t="array" ref="DI46">IFERROR(IF(AND(INDEX($E$8:$CE$57, MATCH($C46, $C$8:$C$57, 0), (COLUMNS($DC46:DI46)-1)*5 + 1) = INDEX($E$5:$CE$5, 1, (COLUMNS($DC46:DI46)-1)*5 + 1), INDEX($E$8:$CE$57, MATCH($C46, $C$8:$C$57, 0), (COLUMNS($DC46:DI46)-1)*5 + 4) = "F"), INDEX($CZ$8:$CZ$23, COLUMNS($DC46:DI46)), "0"), "")</f>
        <v/>
      </c>
      <c r="DJ46" s="395">
        <f t="array" ref="DJ46">IFERROR(IF(AND(INDEX($E$8:$CE$57, MATCH($C46, $C$8:$C$57, 0), (COLUMNS($DC46:DJ46)-1)*5 + 1) = INDEX($E$5:$CE$5, 1, (COLUMNS($DC46:DJ46)-1)*5 + 1), INDEX($E$8:$CE$57, MATCH($C46, $C$8:$C$57, 0), (COLUMNS($DC46:DJ46)-1)*5 + 4) = "F"), INDEX($CZ$8:$CZ$23, COLUMNS($DC46:DJ46)), "0"), "")</f>
        <v/>
      </c>
      <c r="DK46" s="395">
        <f t="array" ref="DK46">IFERROR(IF(AND(INDEX($E$8:$CE$57, MATCH($C46, $C$8:$C$57, 0), (COLUMNS($DC46:DK46)-1)*5 + 1) = INDEX($E$5:$CE$5, 1, (COLUMNS($DC46:DK46)-1)*5 + 1), INDEX($E$8:$CE$57, MATCH($C46, $C$8:$C$57, 0), (COLUMNS($DC46:DK46)-1)*5 + 4) = "F"), INDEX($CZ$8:$CZ$23, COLUMNS($DC46:DK46)), "0"), "")</f>
        <v/>
      </c>
      <c r="DL46" s="395">
        <f t="array" ref="DL46">IFERROR(IF(AND(INDEX($E$8:$CE$57, MATCH($C46, $C$8:$C$57, 0), (COLUMNS($DC46:DL46)-1)*5 + 1) = INDEX($E$5:$CE$5, 1, (COLUMNS($DC46:DL46)-1)*5 + 1), INDEX($E$8:$CE$57, MATCH($C46, $C$8:$C$57, 0), (COLUMNS($DC46:DL46)-1)*5 + 4) = "F"), INDEX($CZ$8:$CZ$23, COLUMNS($DC46:DL46)), "0"), "")</f>
        <v/>
      </c>
      <c r="DM46" s="395">
        <f t="array" ref="DM46">IFERROR(IF(AND(INDEX($E$8:$CE$57, MATCH($C46, $C$8:$C$57, 0), (COLUMNS($DC46:DM46)-1)*5 + 1) = INDEX($E$5:$CE$5, 1, (COLUMNS($DC46:DM46)-1)*5 + 1), INDEX($E$8:$CE$57, MATCH($C46, $C$8:$C$57, 0), (COLUMNS($DC46:DM46)-1)*5 + 4) = "F"), INDEX($CZ$8:$CZ$23, COLUMNS($DC46:DM46)), "0"), "")</f>
        <v/>
      </c>
      <c r="DN46" s="395">
        <f t="array" ref="DN46">IFERROR(IF(AND(INDEX($E$8:$CE$57, MATCH($C46, $C$8:$C$57, 0), (COLUMNS($DC46:DN46)-1)*5 + 1) = INDEX($E$5:$CE$5, 1, (COLUMNS($DC46:DN46)-1)*5 + 1), INDEX($E$8:$CE$57, MATCH($C46, $C$8:$C$57, 0), (COLUMNS($DC46:DN46)-1)*5 + 4) = "F"), INDEX($CZ$8:$CZ$23, COLUMNS($DC46:DN46)), "0"), "")</f>
        <v/>
      </c>
      <c r="DO46" s="395">
        <f t="array" ref="DO46">IFERROR(IF(AND(INDEX($E$8:$CE$57, MATCH($C46, $C$8:$C$57, 0), (COLUMNS($DC46:DO46)-1)*5 + 1) = INDEX($E$5:$CE$5, 1, (COLUMNS($DC46:DO46)-1)*5 + 1), INDEX($E$8:$CE$57, MATCH($C46, $C$8:$C$57, 0), (COLUMNS($DC46:DO46)-1)*5 + 4) = "F"), INDEX($CZ$8:$CZ$23, COLUMNS($DC46:DO46)), "0"), "")</f>
        <v/>
      </c>
      <c r="DP46" s="395">
        <f t="array" ref="DP46">IFERROR(IF(AND(INDEX($E$8:$CE$57, MATCH($C46, $C$8:$C$57, 0), (COLUMNS($DC46:DP46)-1)*5 + 1) = INDEX($E$5:$CE$5, 1, (COLUMNS($DC46:DP46)-1)*5 + 1), INDEX($E$8:$CE$57, MATCH($C46, $C$8:$C$57, 0), (COLUMNS($DC46:DP46)-1)*5 + 4) = "F"), INDEX($CZ$8:$CZ$23, COLUMNS($DC46:DP46)), "0"), "")</f>
        <v/>
      </c>
      <c r="DQ46" s="395">
        <f t="array" ref="DQ46">IFERROR(IF(AND(INDEX($E$8:$CE$57, MATCH($C46, $C$8:$C$57, 0), (COLUMNS($DC46:DQ46)-1)*5 + 1) = INDEX($E$5:$CE$5, 1, (COLUMNS($DC46:DQ46)-1)*5 + 1), INDEX($E$8:$CE$57, MATCH($C46, $C$8:$C$57, 0), (COLUMNS($DC46:DQ46)-1)*5 + 4) = "F"), INDEX($CZ$8:$CZ$23, COLUMNS($DC46:DQ46)), "0"), "")</f>
        <v/>
      </c>
      <c r="DR46" s="395">
        <f t="array" ref="DR46">IFERROR(IF(AND(INDEX($E$8:$CE$57, MATCH($C46, $C$8:$C$57, 0), (COLUMNS($DC46:DR46)-1)*5 + 1) = INDEX($E$5:$CE$5, 1, (COLUMNS($DC46:DR46)-1)*5 + 1), INDEX($E$8:$CE$57, MATCH($C46, $C$8:$C$57, 0), (COLUMNS($DC46:DR46)-1)*5 + 4) = "F"), INDEX($CZ$8:$CZ$23, COLUMNS($DC46:DR46)), "0"), "")</f>
        <v/>
      </c>
      <c r="DT46" s="605">
        <f>SEMANA2[[#This Row],[COD]]</f>
        <v/>
      </c>
      <c r="DU46" s="395">
        <f t="array" ref="DU46">IFERROR(IF(AND(INDEX($E$8:$CE$57, MATCH($C46, $C$8:$C$57, 0), (COLUMNS($DU46:DU46)-1)*5 + 1) = INDEX($E$5:$CE$5, 1, (COLUMNS($DU46:DU46)-1)*5 + 1), INDEX($E$8:$CE$57, MATCH($C46, $C$8:$C$57, 0), (COLUMNS($DU46:DU46)-1)*5 + 4) = "SF"), INDEX($CZ$8:$CZ$23, COLUMNS($DU46:DU46)), "0"), "")</f>
        <v/>
      </c>
      <c r="DV46" s="395">
        <f t="array" ref="DV46">IFERROR(IF(AND(INDEX($E$8:$CE$57, MATCH($C46, $C$8:$C$57, 0), (COLUMNS($DU46:DV46)-1)*5 + 1) = INDEX($E$5:$CE$5, 1, (COLUMNS($DU46:DV46)-1)*5 + 1), INDEX($E$8:$CE$57, MATCH($C46, $C$8:$C$57, 0), (COLUMNS($DU46:DV46)-1)*5 + 4) = "SF"), INDEX($CZ$8:$CZ$23, COLUMNS($DU46:DV46)), "0"), "")</f>
        <v/>
      </c>
      <c r="DW46" s="395">
        <f t="array" ref="DW46">IFERROR(IF(AND(INDEX($E$8:$CE$57, MATCH($C46, $C$8:$C$57, 0), (COLUMNS($DU46:DW46)-1)*5 + 1) = INDEX($E$5:$CE$5, 1, (COLUMNS($DU46:DW46)-1)*5 + 1), INDEX($E$8:$CE$57, MATCH($C46, $C$8:$C$57, 0), (COLUMNS($DU46:DW46)-1)*5 + 4) = "SF"), INDEX($CZ$8:$CZ$23, COLUMNS($DU46:DW46)), "0"), "")</f>
        <v/>
      </c>
      <c r="DX46" s="395">
        <f t="array" ref="DX46">IFERROR(IF(AND(INDEX($E$8:$CE$57, MATCH($C46, $C$8:$C$57, 0), (COLUMNS($DU46:DX46)-1)*5 + 1) = INDEX($E$5:$CE$5, 1, (COLUMNS($DU46:DX46)-1)*5 + 1), INDEX($E$8:$CE$57, MATCH($C46, $C$8:$C$57, 0), (COLUMNS($DU46:DX46)-1)*5 + 4) = "SF"), INDEX($CZ$8:$CZ$23, COLUMNS($DU46:DX46)), "0"), "")</f>
        <v/>
      </c>
      <c r="DY46" s="395">
        <f t="array" ref="DY46">IFERROR(IF(AND(INDEX($E$8:$CE$57, MATCH($C46, $C$8:$C$57, 0), (COLUMNS($DU46:DY46)-1)*5 + 1) = INDEX($E$5:$CE$5, 1, (COLUMNS($DU46:DY46)-1)*5 + 1), INDEX($E$8:$CE$57, MATCH($C46, $C$8:$C$57, 0), (COLUMNS($DU46:DY46)-1)*5 + 4) = "SF"), INDEX($CZ$8:$CZ$23, COLUMNS($DU46:DY46)), "0"), "")</f>
        <v/>
      </c>
      <c r="DZ46" s="395">
        <f t="array" ref="DZ46">IFERROR(IF(AND(INDEX($E$8:$CE$57, MATCH($C46, $C$8:$C$57, 0), (COLUMNS($DU46:DZ46)-1)*5 + 1) = INDEX($E$5:$CE$5, 1, (COLUMNS($DU46:DZ46)-1)*5 + 1), INDEX($E$8:$CE$57, MATCH($C46, $C$8:$C$57, 0), (COLUMNS($DU46:DZ46)-1)*5 + 4) = "SF"), INDEX($CZ$8:$CZ$23, COLUMNS($DU46:DZ46)), "0"), "")</f>
        <v/>
      </c>
      <c r="EA46" s="395">
        <f t="array" ref="EA46">IFERROR(IF(AND(INDEX($E$8:$CE$57, MATCH($C46, $C$8:$C$57, 0), (COLUMNS($DU46:EA46)-1)*5 + 1) = INDEX($E$5:$CE$5, 1, (COLUMNS($DU46:EA46)-1)*5 + 1), INDEX($E$8:$CE$57, MATCH($C46, $C$8:$C$57, 0), (COLUMNS($DU46:EA46)-1)*5 + 4) = "SF"), INDEX($CZ$8:$CZ$23, COLUMNS($DU46:EA46)), "0"), "")</f>
        <v/>
      </c>
      <c r="EB46" s="395">
        <f t="array" ref="EB46">IFERROR(IF(AND(INDEX($E$8:$CE$57, MATCH($C46, $C$8:$C$57, 0), (COLUMNS($DU46:EB46)-1)*5 + 1) = INDEX($E$5:$CE$5, 1, (COLUMNS($DU46:EB46)-1)*5 + 1), INDEX($E$8:$CE$57, MATCH($C46, $C$8:$C$57, 0), (COLUMNS($DU46:EB46)-1)*5 + 4) = "SF"), INDEX($CZ$8:$CZ$23, COLUMNS($DU46:EB46)), "0"), "")</f>
        <v/>
      </c>
      <c r="EC46" s="395">
        <f t="array" ref="EC46">IFERROR(IF(AND(INDEX($E$8:$CE$57, MATCH($C46, $C$8:$C$57, 0), (COLUMNS($DU46:EC46)-1)*5 + 1) = INDEX($E$5:$CE$5, 1, (COLUMNS($DU46:EC46)-1)*5 + 1), INDEX($E$8:$CE$57, MATCH($C46, $C$8:$C$57, 0), (COLUMNS($DU46:EC46)-1)*5 + 4) = "SF"), INDEX($CZ$8:$CZ$23, COLUMNS($DU46:EC46)), "0"), "")</f>
        <v/>
      </c>
      <c r="ED46" s="395">
        <f t="array" ref="ED46">IFERROR(IF(AND(INDEX($E$8:$CE$57, MATCH($C46, $C$8:$C$57, 0), (COLUMNS($DU46:ED46)-1)*5 + 1) = INDEX($E$5:$CE$5, 1, (COLUMNS($DU46:ED46)-1)*5 + 1), INDEX($E$8:$CE$57, MATCH($C46, $C$8:$C$57, 0), (COLUMNS($DU46:ED46)-1)*5 + 4) = "SF"), INDEX($CZ$8:$CZ$23, COLUMNS($DU46:ED46)), "0"), "")</f>
        <v/>
      </c>
      <c r="EE46" s="395">
        <f t="array" ref="EE46">IFERROR(IF(AND(INDEX($E$8:$CE$57, MATCH($C46, $C$8:$C$57, 0), (COLUMNS($DU46:EE46)-1)*5 + 1) = INDEX($E$5:$CE$5, 1, (COLUMNS($DU46:EE46)-1)*5 + 1), INDEX($E$8:$CE$57, MATCH($C46, $C$8:$C$57, 0), (COLUMNS($DU46:EE46)-1)*5 + 4) = "SF"), INDEX($CZ$8:$CZ$23, COLUMNS($DU46:EE46)), "0"), "")</f>
        <v/>
      </c>
      <c r="EF46" s="395">
        <f t="array" ref="EF46">IFERROR(IF(AND(INDEX($E$8:$CE$57, MATCH($C46, $C$8:$C$57, 0), (COLUMNS($DU46:EF46)-1)*5 + 1) = INDEX($E$5:$CE$5, 1, (COLUMNS($DU46:EF46)-1)*5 + 1), INDEX($E$8:$CE$57, MATCH($C46, $C$8:$C$57, 0), (COLUMNS($DU46:EF46)-1)*5 + 4) = "SF"), INDEX($CZ$8:$CZ$23, COLUMNS($DU46:EF46)), "0"), "")</f>
        <v/>
      </c>
      <c r="EG46" s="395">
        <f t="array" ref="EG46">IFERROR(IF(AND(INDEX($E$8:$CE$57, MATCH($C46, $C$8:$C$57, 0), (COLUMNS($DU46:EG46)-1)*5 + 1) = INDEX($E$5:$CE$5, 1, (COLUMNS($DU46:EG46)-1)*5 + 1), INDEX($E$8:$CE$57, MATCH($C46, $C$8:$C$57, 0), (COLUMNS($DU46:EG46)-1)*5 + 4) = "SF"), INDEX($CZ$8:$CZ$23, COLUMNS($DU46:EG46)), "0"), "")</f>
        <v/>
      </c>
      <c r="EH46" s="395">
        <f t="array" ref="EH46">IFERROR(IF(AND(INDEX($E$8:$CE$57, MATCH($C46, $C$8:$C$57, 0), (COLUMNS($DU46:EH46)-1)*5 + 1) = INDEX($E$5:$CE$5, 1, (COLUMNS($DU46:EH46)-1)*5 + 1), INDEX($E$8:$CE$57, MATCH($C46, $C$8:$C$57, 0), (COLUMNS($DU46:EH46)-1)*5 + 4) = "SF"), INDEX($CZ$8:$CZ$23, COLUMNS($DU46:EH46)), "0"), "")</f>
        <v/>
      </c>
      <c r="EI46" s="395">
        <f t="array" ref="EI46">IFERROR(IF(AND(INDEX($E$8:$CE$57, MATCH($C46, $C$8:$C$57, 0), (COLUMNS($DU46:EI46)-1)*5 + 1) = INDEX($E$5:$CE$5, 1, (COLUMNS($DU46:EI46)-1)*5 + 1), INDEX($E$8:$CE$57, MATCH($C46, $C$8:$C$57, 0), (COLUMNS($DU46:EI46)-1)*5 + 4) = "SF"), INDEX($CZ$8:$CZ$23, COLUMNS($DU46:EI46)), "0"), "")</f>
        <v/>
      </c>
      <c r="EJ46" s="395">
        <f t="array" ref="EJ46">IFERROR(IF(AND(INDEX($E$8:$CE$57, MATCH($C46, $C$8:$C$57, 0), (COLUMNS($DU46:EJ46)-1)*5 + 1) = INDEX($E$5:$CE$5, 1, (COLUMNS($DU46:EJ46)-1)*5 + 1), INDEX($E$8:$CE$57, MATCH($C46, $C$8:$C$57, 0), (COLUMNS($DU46:EJ46)-1)*5 + 4) = "SF"), INDEX($CZ$8:$CZ$23, COLUMNS($DU46:EJ46)), "0"), "")</f>
        <v/>
      </c>
    </row>
    <row r="47" outlineLevel="1" ht="20.1" customHeight="1" s="568">
      <c r="A47" s="576" t="n"/>
      <c r="B47" s="449">
        <f>IF(SEMANA2[[#This Row],[COD]]&lt;&gt;"",B46+1,"")</f>
        <v/>
      </c>
      <c r="C47" s="622" t="inlineStr">
        <is>
          <t>COD 40</t>
        </is>
      </c>
      <c r="D47" s="415">
        <f t="array" ref="D47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7" s="416" t="n"/>
      <c r="F47" s="417" t="n"/>
      <c r="G47" s="417" t="n"/>
      <c r="H47" s="417" t="n"/>
      <c r="I47" s="602">
        <f>SUM(IF(E47=E$5,4,0),IF(E47&amp;F47=E$5&amp;F$5,1,0),
IF(AND(E47=E$5,F$6&gt;=$D$115),1,0),
IF(AND(F47=E$5,F$6&gt;=$D$115),1,0),
IF(AND(G47=E$5,F$6&gt;=$D$115),1,0),
IF(E47&amp;H47=I$5,1,0),
IF(F47=E$5,2,0),
IF(G47=E$5,1,0),
IF(OR(E47&amp;F47&amp;G47=E$5&amp;F$5&amp;G$5,E47&amp;F47&amp;G47=E$5&amp;G$5&amp;F$5,E47&amp;F47&amp;G47=F$5&amp;E$5&amp;G$5,E47&amp;F47&amp;G47=F$5&amp;G$5&amp;E$5,E47&amp;F47&amp;G47=G$5&amp;E$5&amp;F$5,E47&amp;F47&amp;G47=G$5&amp;F$5&amp;E$5),2,0),IF(AND(E47=E$5,F$6&gt;=$D$129),1,0),IF(AND(F47=E$5,F$6&gt;=$D$129),1,0),IF(AND(G47=E$5,F$6&gt;=$D$129),1,0),IF(E47&amp;H47=H$5,4,0),IF(AND(E47=E$5,F$6&lt;=$D$104),-0.5,0),IF(AND(F47=E$5,F$6&lt;=$D$104),-0.5,0),IF(AND(G47=E$5,F$6&lt;=$D$104),-0.5,0))</f>
        <v/>
      </c>
      <c r="J47" s="416" t="n"/>
      <c r="K47" s="417" t="n"/>
      <c r="L47" s="417" t="n"/>
      <c r="M47" s="417" t="n"/>
      <c r="N47" s="602">
        <f>SUM(IF(J47=J$5,4,0),IF(J47&amp;K47=J$5&amp;K$5,1,0),
IF(AND(J47=J$5,K$6&gt;=$D$115),1,0),
IF(AND(K47=J$5,K$6&gt;=$D$115),1,0),
IF(AND(L47=J$5,K$6&gt;=$D$115),1,0),
IF(J47&amp;M47=N$5,1,0),
IF(K47=J$5,2,0),
IF(L47=J$5,1,0),
IF(OR(J47&amp;K47&amp;L47=J$5&amp;K$5&amp;L$5,J47&amp;K47&amp;L47=J$5&amp;L$5&amp;K$5,J47&amp;K47&amp;L47=K$5&amp;J$5&amp;L$5,J47&amp;K47&amp;L47=K$5&amp;L$5&amp;J$5,J47&amp;K47&amp;L47=L$5&amp;J$5&amp;K$5,J47&amp;K47&amp;L47=L$5&amp;K$5&amp;J$5),2,0),IF(AND(J47=J$5,K$6&gt;=$D$129),1,0),IF(AND(K47=J$5,K$6&gt;=$D$129),1,0),IF(AND(L47=J$5,K$6&gt;=$D$129),1,0),IF(J47&amp;M47=M$5,4,0),IF(AND(J47=J$5,K$6&lt;=$D$104),-0.5,0),IF(AND(K47=J$5,K$6&lt;=$D$104),-0.5,0),IF(AND(L47=J$5,K$6&lt;=$D$104),-0.5,0))</f>
        <v/>
      </c>
      <c r="O47" s="416" t="n"/>
      <c r="P47" s="417" t="n"/>
      <c r="Q47" s="417" t="n"/>
      <c r="R47" s="417" t="n"/>
      <c r="S47" s="602">
        <f>SUM(IF(O47=O$5,4,0),IF(O47&amp;P47=O$5&amp;P$5,1,0),
IF(AND(O47=O$5,P$6&gt;=$D$115),1,0),
IF(AND(P47=O$5,P$6&gt;=$D$115),1,0),
IF(AND(Q47=O$5,P$6&gt;=$D$115),1,0),
IF(O47&amp;R47=S$5,1,0),
IF(P47=O$5,2,0),
IF(Q47=O$5,1,0),
IF(OR(O47&amp;P47&amp;Q47=O$5&amp;P$5&amp;Q$5,O47&amp;P47&amp;Q47=O$5&amp;Q$5&amp;P$5,O47&amp;P47&amp;Q47=P$5&amp;O$5&amp;Q$5,O47&amp;P47&amp;Q47=P$5&amp;Q$5&amp;O$5,O47&amp;P47&amp;Q47=Q$5&amp;O$5&amp;P$5,O47&amp;P47&amp;Q47=Q$5&amp;P$5&amp;O$5),2,0),IF(AND(O47=O$5,P$6&gt;=$D$129),1,0),IF(AND(P47=O$5,P$6&gt;=$D$129),1,0),IF(AND(Q47=O$5,P$6&gt;=$D$129),1,0),IF(O47&amp;R47=R$5,4,0),IF(AND(O47=O$5,P$6&lt;=$D$104),-0.5,0),IF(AND(P47=O$5,P$6&lt;=$D$104),-0.5,0),IF(AND(Q47=O$5,P$6&lt;=$D$104),-0.5,0))</f>
        <v/>
      </c>
      <c r="T47" s="416" t="n"/>
      <c r="U47" s="417" t="n"/>
      <c r="V47" s="417" t="n"/>
      <c r="W47" s="417" t="n"/>
      <c r="X47" s="602">
        <f>SUM(IF(T47=T$5,4,0),IF(T47&amp;U47=T$5&amp;U$5,1,0),
IF(AND(T47=T$5,U$6&gt;=$D$115),1,0),
IF(AND(U47=T$5,U$6&gt;=$D$115),1,0),
IF(AND(V47=T$5,U$6&gt;=$D$115),1,0),
IF(T47&amp;W47=X$5,1,0),
IF(U47=T$5,2,0),
IF(V47=T$5,1,0),
IF(OR(T47&amp;U47&amp;V47=T$5&amp;U$5&amp;V$5,T47&amp;U47&amp;V47=T$5&amp;V$5&amp;U$5,T47&amp;U47&amp;V47=U$5&amp;T$5&amp;V$5,T47&amp;U47&amp;V47=U$5&amp;V$5&amp;T$5,T47&amp;U47&amp;V47=V$5&amp;T$5&amp;U$5,T47&amp;U47&amp;V47=V$5&amp;U$5&amp;T$5),2,0),IF(AND(T47=T$5,U$6&gt;=$D$129),1,0),IF(AND(U47=T$5,U$6&gt;=$D$129),1,0),IF(AND(V47=T$5,U$6&gt;=$D$129),1,0),IF(T47&amp;W47=W$5,4,0),IF(AND(T47=T$5,U$6&lt;=$D$104),-0.5,0),IF(AND(U47=T$5,U$6&lt;=$D$104),-0.5,0),IF(AND(V47=T$5,U$6&lt;=$D$104),-0.5,0))</f>
        <v/>
      </c>
      <c r="Y47" s="416" t="n"/>
      <c r="Z47" s="417" t="n"/>
      <c r="AA47" s="417" t="n"/>
      <c r="AB47" s="417" t="n"/>
      <c r="AC47" s="602">
        <f>SUM(IF(Y47=Y$5,4,0),IF(Y47&amp;Z47=Y$5&amp;Z$5,1,0),
IF(AND(Y47=Y$5,Z$6&gt;=$D$115),1,0),
IF(AND(Z47=Y$5,Z$6&gt;=$D$115),1,0),
IF(AND(AA47=Y$5,Z$6&gt;=$D$115),1,0),
IF(Y47&amp;AB47=AC$5,1,0),
IF(Z47=Y$5,2,0),
IF(AA47=Y$5,1,0),
IF(OR(Y47&amp;Z47&amp;AA47=Y$5&amp;Z$5&amp;AA$5,Y47&amp;Z47&amp;AA47=Y$5&amp;AA$5&amp;Z$5,Y47&amp;Z47&amp;AA47=Z$5&amp;Y$5&amp;AA$5,Y47&amp;Z47&amp;AA47=Z$5&amp;AA$5&amp;Y$5,Y47&amp;Z47&amp;AA47=AA$5&amp;Y$5&amp;Z$5,Y47&amp;Z47&amp;AA47=AA$5&amp;Z$5&amp;Y$5),2,0),IF(AND(Y47=Y$5,Z$6&gt;=$D$129),1,0),IF(AND(Z47=Y$5,Z$6&gt;=$D$129),1,0),IF(AND(AA47=Y$5,Z$6&gt;=$D$129),1,0),IF(Y47&amp;AB47=AB$5,4,0),IF(AND(Y47=Y$5,Z$6&lt;=$D$104),-0.5,0),IF(AND(Z47=Y$5,Z$6&lt;=$D$104),-0.5,0),IF(AND(AA47=Y$5,Z$6&lt;=$D$104),-0.5,0))</f>
        <v/>
      </c>
      <c r="AD47" s="416" t="n"/>
      <c r="AE47" s="417" t="n"/>
      <c r="AF47" s="417" t="n"/>
      <c r="AG47" s="417" t="n"/>
      <c r="AH47" s="602">
        <f>SUM(IF(AD47=AD$5,4,0),IF(AD47&amp;AE47=AD$5&amp;AE$5,1,0),
IF(AND(AD47=AD$5,AE$6&gt;=$D$115),1,0),
IF(AND(AE47=AD$5,AE$6&gt;=$D$115),1,0),
IF(AND(AF47=AD$5,AE$6&gt;=$D$115),1,0),
IF(AD47&amp;AG47=AH$5,1,0),
IF(AE47=AD$5,2,0),
IF(AF47=AD$5,1,0),
IF(OR(AD47&amp;AE47&amp;AF47=AD$5&amp;AE$5&amp;AF$5,AD47&amp;AE47&amp;AF47=AD$5&amp;AF$5&amp;AE$5,AD47&amp;AE47&amp;AF47=AE$5&amp;AD$5&amp;AF$5,AD47&amp;AE47&amp;AF47=AE$5&amp;AF$5&amp;AD$5,AD47&amp;AE47&amp;AF47=AF$5&amp;AD$5&amp;AE$5,AD47&amp;AE47&amp;AF47=AF$5&amp;AE$5&amp;AD$5),2,0),IF(AND(AD47=AD$5,AE$6&gt;=$D$129),1,0),IF(AND(AE47=AD$5,AE$6&gt;=$D$129),1,0),IF(AND(AF47=AD$5,AE$6&gt;=$D$129),1,0),IF(AD47&amp;AG47=AG$5,4,0),IF(AND(AD47=AD$5,AE$6&lt;=$D$104),-0.5,0),IF(AND(AE47=AD$5,AE$6&lt;=$D$104),-0.5,0),IF(AND(AF47=AD$5,AE$6&lt;=$D$104),-0.5,0))</f>
        <v/>
      </c>
      <c r="AI47" s="416" t="n"/>
      <c r="AJ47" s="417" t="n"/>
      <c r="AK47" s="417" t="n"/>
      <c r="AL47" s="417" t="n"/>
      <c r="AM47" s="602">
        <f>SUM(IF(AI47=AI$5,4,0),IF(AI47&amp;AJ47=AI$5&amp;AJ$5,1,0),
IF(AND(AI47=AI$5,AJ$6&gt;=$D$115),1,0),
IF(AND(AJ47=AI$5,AJ$6&gt;=$D$115),1,0),
IF(AND(AK47=AI$5,AJ$6&gt;=$D$115),1,0),
IF(AI47&amp;AL47=AM$5,1,0),
IF(AJ47=AI$5,2,0),
IF(AK47=AI$5,1,0),
IF(OR(AI47&amp;AJ47&amp;AK47=AI$5&amp;AJ$5&amp;AK$5,AI47&amp;AJ47&amp;AK47=AI$5&amp;AK$5&amp;AJ$5,AI47&amp;AJ47&amp;AK47=AJ$5&amp;AI$5&amp;AK$5,AI47&amp;AJ47&amp;AK47=AJ$5&amp;AK$5&amp;AI$5,AI47&amp;AJ47&amp;AK47=AK$5&amp;AI$5&amp;AJ$5,AI47&amp;AJ47&amp;AK47=AK$5&amp;AJ$5&amp;AI$5),2,0),IF(AND(AI47=AI$5,AJ$6&gt;=$D$129),1,0),IF(AND(AJ47=AI$5,AJ$6&gt;=$D$129),1,0),IF(AND(AK47=AI$5,AJ$6&gt;=$D$129),1,0),IF(AI47&amp;AL47=AL$5,4,0),IF(AND(AI47=AI$5,AJ$6&lt;=$D$104),-0.5,0),IF(AND(AJ47=AI$5,AJ$6&lt;=$D$104),-0.5,0),IF(AND(AK47=AI$5,AJ$6&lt;=$D$104),-0.5,0))</f>
        <v/>
      </c>
      <c r="AN47" s="416" t="n"/>
      <c r="AO47" s="417" t="n"/>
      <c r="AP47" s="417" t="n"/>
      <c r="AQ47" s="417" t="n"/>
      <c r="AR47" s="602">
        <f>SUM(IF(AN47=AN$5,4,0),IF(AN47&amp;AO47=AN$5&amp;AO$5,1,0),
IF(AND(AN47=AN$5,AO$6&gt;=$D$115),1,0),
IF(AND(AO47=AN$5,AO$6&gt;=$D$115),1,0),
IF(AND(AP47=AN$5,AO$6&gt;=$D$115),1,0),
IF(AN47&amp;AQ47=AR$5,1,0),
IF(AO47=AN$5,2,0),
IF(AP47=AN$5,1,0),
IF(OR(AN47&amp;AO47&amp;AP47=AN$5&amp;AO$5&amp;AP$5,AN47&amp;AO47&amp;AP47=AN$5&amp;AP$5&amp;AO$5,AN47&amp;AO47&amp;AP47=AO$5&amp;AN$5&amp;AP$5,AN47&amp;AO47&amp;AP47=AO$5&amp;AP$5&amp;AN$5,AN47&amp;AO47&amp;AP47=AP$5&amp;AN$5&amp;AO$5,AN47&amp;AO47&amp;AP47=AP$5&amp;AO$5&amp;AN$5),2,0),IF(AND(AN47=AN$5,AO$6&gt;=$D$129),1,0),IF(AND(AO47=AN$5,AO$6&gt;=$D$129),1,0),IF(AND(AP47=AN$5,AO$6&gt;=$D$129),1,0),IF(AN47&amp;AQ47=AQ$5,4,0),IF(AND(AN47=AN$5,AO$6&lt;=$D$104),-0.5,0),IF(AND(AO47=AN$5,AO$6&lt;=$D$104),-0.5,0),IF(AND(AP47=AN$5,AO$6&lt;=$D$104),-0.5,0))</f>
        <v/>
      </c>
      <c r="AS47" s="416" t="n"/>
      <c r="AT47" s="417" t="n"/>
      <c r="AU47" s="417" t="n"/>
      <c r="AV47" s="417" t="n"/>
      <c r="AW47" s="602">
        <f>SUM(IF(AS47=AS$5,4,0),IF(AS47&amp;AT47=AS$5&amp;AT$5,1,0),
IF(AND(AS47=AS$5,AT$6&gt;=$D$115),1,0),
IF(AND(AT47=AS$5,AT$6&gt;=$D$115),1,0),
IF(AND(AU47=AS$5,AT$6&gt;=$D$115),1,0),
IF(AS47&amp;AV47=AW$5,1,0),
IF(AT47=AS$5,2,0),
IF(AU47=AS$5,1,0),
IF(OR(AS47&amp;AT47&amp;AU47=AS$5&amp;AT$5&amp;AU$5,AS47&amp;AT47&amp;AU47=AS$5&amp;AU$5&amp;AT$5,AS47&amp;AT47&amp;AU47=AT$5&amp;AS$5&amp;AU$5,AS47&amp;AT47&amp;AU47=AT$5&amp;AU$5&amp;AS$5,AS47&amp;AT47&amp;AU47=AU$5&amp;AS$5&amp;AT$5,AS47&amp;AT47&amp;AU47=AU$5&amp;AT$5&amp;AS$5),2,0),IF(AND(AS47=AS$5,AT$6&gt;=$D$129),1,0),IF(AND(AT47=AS$5,AT$6&gt;=$D$129),1,0),IF(AND(AU47=AS$5,AT$6&gt;=$D$129),1,0),IF(AS47&amp;AV47=AV$5,4,0),IF(AND(AS47=AS$5,AT$6&lt;=$D$104),-0.5,0),IF(AND(AT47=AS$5,AT$6&lt;=$D$104),-0.5,0),IF(AND(AU47=AS$5,AT$6&lt;=$D$104),-0.5,0))</f>
        <v/>
      </c>
      <c r="AX47" s="416" t="n"/>
      <c r="AY47" s="417" t="n"/>
      <c r="AZ47" s="417" t="n"/>
      <c r="BA47" s="417" t="n"/>
      <c r="BB47" s="602">
        <f>SUM(IF(AX47=AX$5,4,0),IF(AX47&amp;AY47=AX$5&amp;AY$5,1,0),
IF(AND(AX47=AX$5,AY$6&gt;=$D$115),1,0),
IF(AND(AY47=AX$5,AY$6&gt;=$D$115),1,0),
IF(AND(AZ47=AX$5,AY$6&gt;=$D$115),1,0),
IF(AX47&amp;BA47=BB$5,1,0),
IF(AY47=AX$5,2,0),
IF(AZ47=AX$5,1,0),
IF(OR(AX47&amp;AY47&amp;AZ47=AX$5&amp;AY$5&amp;AZ$5,AX47&amp;AY47&amp;AZ47=AX$5&amp;AZ$5&amp;AY$5,AX47&amp;AY47&amp;AZ47=AY$5&amp;AX$5&amp;AZ$5,AX47&amp;AY47&amp;AZ47=AY$5&amp;AZ$5&amp;AX$5,AX47&amp;AY47&amp;AZ47=AZ$5&amp;AX$5&amp;AY$5,AX47&amp;AY47&amp;AZ47=AZ$5&amp;AY$5&amp;AX$5),2,0),IF(AND(AX47=AX$5,AY$6&gt;=$D$129),1,0),IF(AND(AY47=AX$5,AY$6&gt;=$D$129),1,0),IF(AND(AZ47=AX$5,AY$6&gt;=$D$129),1,0),IF(AX47&amp;BA47=BA$5,4,0),IF(AND(AX47=AX$5,AY$6&lt;=$D$104),-0.5,0),IF(AND(AY47=AX$5,AY$6&lt;=$D$104),-0.5,0),IF(AND(AZ47=AX$5,AY$6&lt;=$D$104),-0.5,0))</f>
        <v/>
      </c>
      <c r="BC47" s="416" t="n"/>
      <c r="BD47" s="417" t="n"/>
      <c r="BE47" s="417" t="n"/>
      <c r="BF47" s="417" t="n"/>
      <c r="BG47" s="602">
        <f>SUM(IF(BC47=BC$5,4,0),IF(BC47&amp;BD47=BC$5&amp;BD$5,1,0),
IF(AND(BC47=BC$5,BD$6&gt;=$D$115),1,0),
IF(AND(BD47=BC$5,BD$6&gt;=$D$115),1,0),
IF(AND(BE47=BC$5,BD$6&gt;=$D$115),1,0),
IF(BC47&amp;BF47=BG$5,1,0),
IF(BD47=BC$5,2,0),
IF(BE47=BC$5,1,0),
IF(OR(BC47&amp;BD47&amp;BE47=BC$5&amp;BD$5&amp;BE$5,BC47&amp;BD47&amp;BE47=BC$5&amp;BE$5&amp;BD$5,BC47&amp;BD47&amp;BE47=BD$5&amp;BC$5&amp;BE$5,BC47&amp;BD47&amp;BE47=BD$5&amp;BE$5&amp;BC$5,BC47&amp;BD47&amp;BE47=BE$5&amp;BC$5&amp;BD$5,BC47&amp;BD47&amp;BE47=BE$5&amp;BD$5&amp;BC$5),2,0),IF(AND(BC47=BC$5,BD$6&gt;=$D$129),1,0),IF(AND(BD47=BC$5,BD$6&gt;=$D$129),1,0),IF(AND(BE47=BC$5,BD$6&gt;=$D$129),1,0),IF(BC47&amp;BF47=BF$5,4,0),IF(AND(BC47=BC$5,BD$6&lt;=$D$104),-0.5,0),IF(AND(BD47=BC$5,BD$6&lt;=$D$104),-0.5,0),IF(AND(BE47=BC$5,BD$6&lt;=$D$104),-0.5,0))</f>
        <v/>
      </c>
      <c r="BH47" s="416" t="n"/>
      <c r="BI47" s="417" t="n"/>
      <c r="BJ47" s="417" t="n"/>
      <c r="BK47" s="417" t="n"/>
      <c r="BL47" s="602">
        <f>SUM(IF(BH47=BH$5,4,0),IF(BH47&amp;BI47=BH$5&amp;BI$5,1,0),
IF(AND(BH47=BH$5,BI$6&gt;=$D$115),1,0),
IF(AND(BI47=BH$5,BI$6&gt;=$D$115),1,0),
IF(AND(BJ47=BH$5,BI$6&gt;=$D$115),1,0),
IF(BH47&amp;BK47=BL$5,1,0),
IF(BI47=BH$5,2,0),
IF(BJ47=BH$5,1,0),
IF(OR(BH47&amp;BI47&amp;BJ47=BH$5&amp;BI$5&amp;BJ$5,BH47&amp;BI47&amp;BJ47=BH$5&amp;BJ$5&amp;BI$5,BH47&amp;BI47&amp;BJ47=BI$5&amp;BH$5&amp;BJ$5,BH47&amp;BI47&amp;BJ47=BI$5&amp;BJ$5&amp;BH$5,BH47&amp;BI47&amp;BJ47=BJ$5&amp;BH$5&amp;BI$5,BH47&amp;BI47&amp;BJ47=BJ$5&amp;BI$5&amp;BH$5),2,0),IF(AND(BH47=BH$5,BI$6&gt;=$D$129),1,0),IF(AND(BI47=BH$5,BI$6&gt;=$D$129),1,0),IF(AND(BJ47=BH$5,BI$6&gt;=$D$129),1,0),IF(BH47&amp;BK47=BK$5,4,0),IF(AND(BH47=BH$5,BI$6&lt;=$D$104),-0.5,0),IF(AND(BI47=BH$5,BI$6&lt;=$D$104),-0.5,0),IF(AND(BJ47=BH$5,BI$6&lt;=$D$104),-0.5,0))</f>
        <v/>
      </c>
      <c r="BM47" s="416" t="n"/>
      <c r="BN47" s="417" t="n"/>
      <c r="BO47" s="417" t="n"/>
      <c r="BP47" s="417" t="n"/>
      <c r="BQ47" s="602">
        <f>SUM(IF(BM47=BM$5,4,0),IF(BM47&amp;BN47=BM$5&amp;BN$5,1,0),
IF(AND(BM47=BM$5,BN$6&gt;=$D$115),1,0),
IF(AND(BN47=BM$5,BN$6&gt;=$D$115),1,0),
IF(AND(BO47=BM$5,BN$6&gt;=$D$115),1,0),
IF(BM47&amp;BP47=BQ$5,1,0),
IF(BN47=BM$5,2,0),
IF(BO47=BM$5,1,0),
IF(OR(BM47&amp;BN47&amp;BO47=BM$5&amp;BN$5&amp;BO$5,BM47&amp;BN47&amp;BO47=BM$5&amp;BO$5&amp;BN$5,BM47&amp;BN47&amp;BO47=BN$5&amp;BM$5&amp;BO$5,BM47&amp;BN47&amp;BO47=BN$5&amp;BO$5&amp;BM$5,BM47&amp;BN47&amp;BO47=BO$5&amp;BM$5&amp;BN$5,BM47&amp;BN47&amp;BO47=BO$5&amp;BN$5&amp;BM$5),2,0),IF(AND(BM47=BM$5,BN$6&gt;=$D$129),1,0),IF(AND(BN47=BM$5,BN$6&gt;=$D$129),1,0),IF(AND(BO47=BM$5,BN$6&gt;=$D$129),1,0),IF(BM47&amp;BP47=BP$5,4,0),IF(AND(BM47=BM$5,BN$6&lt;=$D$104),-0.5,0),IF(AND(BN47=BM$5,BN$6&lt;=$D$104),-0.5,0),IF(AND(BO47=BM$5,BN$6&lt;=$D$104),-0.5,0))</f>
        <v/>
      </c>
      <c r="BR47" s="416" t="n"/>
      <c r="BS47" s="417" t="n"/>
      <c r="BT47" s="417" t="n"/>
      <c r="BU47" s="417" t="n"/>
      <c r="BV47" s="602">
        <f>SUM(IF(BR47=BR$5,4,0),IF(BR47&amp;BS47=BR$5&amp;BS$5,1,0),
IF(AND(BR47=BR$5,BS$6&gt;=$D$115),1,0),
IF(AND(BS47=BR$5,BS$6&gt;=$D$115),1,0),
IF(AND(BT47=BR$5,BS$6&gt;=$D$115),1,0),
IF(BR47&amp;BU47=BV$5,1,0),
IF(BS47=BR$5,2,0),
IF(BT47=BR$5,1,0),
IF(OR(BR47&amp;BS47&amp;BT47=BR$5&amp;BS$5&amp;BT$5,BR47&amp;BS47&amp;BT47=BR$5&amp;BT$5&amp;BS$5,BR47&amp;BS47&amp;BT47=BS$5&amp;BR$5&amp;BT$5,BR47&amp;BS47&amp;BT47=BS$5&amp;BT$5&amp;BR$5,BR47&amp;BS47&amp;BT47=BT$5&amp;BR$5&amp;BS$5,BR47&amp;BS47&amp;BT47=BT$5&amp;BS$5&amp;BR$5),2,0),IF(AND(BR47=BR$5,BS$6&gt;=$D$129),1,0),IF(AND(BS47=BR$5,BS$6&gt;=$D$129),1,0),IF(AND(BT47=BR$5,BS$6&gt;=$D$129),1,0),IF(BR47&amp;BU47=BU$5,4,0),IF(AND(BR47=BR$5,BS$6&lt;=$D$104),-0.5,0),IF(AND(BS47=BR$5,BS$6&lt;=$D$104),-0.5,0),IF(AND(BT47=BR$5,BS$6&lt;=$D$104),-0.5,0))</f>
        <v/>
      </c>
      <c r="BW47" s="416" t="n"/>
      <c r="BX47" s="417" t="n"/>
      <c r="BY47" s="417" t="n"/>
      <c r="BZ47" s="417" t="n"/>
      <c r="CA47" s="602">
        <f>SUM(IF(BW47=BW$5,4,0),IF(BW47&amp;BX47=BW$5&amp;BX$5,1,0),
IF(AND(BW47=BW$5,BX$6&gt;=$D$115),1,0),
IF(AND(BX47=BW$5,BX$6&gt;=$D$115),1,0),
IF(AND(BY47=BW$5,BX$6&gt;=$D$115),1,0),
IF(BW47&amp;BZ47=CA$5,1,0),
IF(BX47=BW$5,2,0),
IF(BY47=BW$5,1,0),
IF(OR(BW47&amp;BX47&amp;BY47=BW$5&amp;BX$5&amp;BY$5,BW47&amp;BX47&amp;BY47=BW$5&amp;BY$5&amp;BX$5,BW47&amp;BX47&amp;BY47=BX$5&amp;BW$5&amp;BY$5,BW47&amp;BX47&amp;BY47=BX$5&amp;BY$5&amp;BW$5,BW47&amp;BX47&amp;BY47=BY$5&amp;BW$5&amp;BX$5,BW47&amp;BX47&amp;BY47=BY$5&amp;BX$5&amp;BW$5),2,0),IF(AND(BW47=BW$5,BX$6&gt;=$D$129),1,0),IF(AND(BX47=BW$5,BX$6&gt;=$D$129),1,0),IF(AND(BY47=BW$5,BX$6&gt;=$D$129),1,0),IF(BW47&amp;BZ47=BZ$5,4,0),IF(AND(BW47=BW$5,BX$6&lt;=$D$104),-0.5,0),IF(AND(BX47=BW$5,BX$6&lt;=$D$104),-0.5,0),IF(AND(BY47=BW$5,BX$6&lt;=$D$104),-0.5,0))</f>
        <v/>
      </c>
      <c r="CB47" s="416" t="n"/>
      <c r="CC47" s="417" t="n"/>
      <c r="CD47" s="417" t="n"/>
      <c r="CE47" s="417" t="n"/>
      <c r="CF47" s="602">
        <f>SUM(IF(CB47=CB$5,4,0),IF(CB47&amp;CC47=CB$5&amp;CC$5,1,0),
IF(AND(CB47=CB$5,CC$6&gt;=$D$115),1,0),
IF(AND(CC47=CB$5,CC$6&gt;=$D$115),1,0),
IF(AND(CD47=CB$5,CC$6&gt;=$D$115),1,0),
IF(CB47&amp;CE47=CF$5,1,0),
IF(CC47=CB$5,2,0),
IF(CD47=CB$5,1,0),
IF(OR(CB47&amp;CC47&amp;CD47=CB$5&amp;CC$5&amp;CD$5,CB47&amp;CC47&amp;CD47=CB$5&amp;CD$5&amp;CC$5,CB47&amp;CC47&amp;CD47=CC$5&amp;CB$5&amp;CD$5,CB47&amp;CC47&amp;CD47=CC$5&amp;CD$5&amp;CB$5,CB47&amp;CC47&amp;CD47=CD$5&amp;CB$5&amp;CC$5,CB47&amp;CC47&amp;CD47=CD$5&amp;CC$5&amp;CB$5),2,0),IF(AND(CB47=CB$5,CC$6&gt;=$D$129),1,0),IF(AND(CC47=CB$5,CC$6&gt;=$D$129),1,0),IF(AND(CD47=CB$5,CC$6&gt;=$D$129),1,0),IF(CB47&amp;CE47=CE$5,4,0),IF(AND(CB47=CB$5,CC$6&lt;=$D$104),-0.5,0),IF(AND(CC47=CB$5,CC$6&lt;=$D$104),-0.5,0),IF(AND(CD47=CB$5,CC$6&lt;=$D$104),-0.5,0))</f>
        <v/>
      </c>
      <c r="CG47" s="164">
        <f>IF(SEMANA2[[#This Row],[1]]="",0,$B$4)</f>
        <v/>
      </c>
      <c r="CH47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7" s="166">
        <f>IF(SEMANA2[[#This Row],[Columna14]]=0,0,(CH47/CG47))</f>
        <v/>
      </c>
      <c r="CJ47" s="165">
        <f>IF(SEMANA2[[#This Row],[1]]="",0,$B$4)</f>
        <v/>
      </c>
      <c r="CK47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7" s="166">
        <f>IF(SEMANA2[[#This Row],[Columna14]]=0,0,(CK47/CJ47))</f>
        <v/>
      </c>
      <c r="CM47" s="164">
        <f>IF(SEMANA2[[#This Row],[1]]="",0,$B$4)</f>
        <v/>
      </c>
      <c r="CN47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7" s="166">
        <f>IF(SEMANA2[[#This Row],[Columna14]]=0,0,(CN47/CM47))</f>
        <v/>
      </c>
      <c r="CP47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7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Row],[Columna25]],$AX$5,BA47,"SF")+COUNTIFS(SEMANA2[[#This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7" s="166">
        <f>IFERROR(IF(SEMANA2[[#This Row],[Columna14]]=0,0,(CQ47/CP47)),0)</f>
        <v/>
      </c>
      <c r="CS47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7" s="95">
        <f>_xlfn.XLOOKUP(SEMANA2[[#This Row],[COD]],BASE01[COD],BASE01[Columna33])</f>
        <v/>
      </c>
      <c r="CU47" s="604">
        <f>SUM(CS47,CT47)</f>
        <v/>
      </c>
      <c r="CV47" s="450">
        <f>IF(SEMANA2[[#This Row],[TIPO]]="PREMIO",$O$3,"0,00")</f>
        <v/>
      </c>
      <c r="CW47" s="576" t="n"/>
      <c r="CY47" s="392">
        <f>IF(CZ47="","",$CZ$25)</f>
        <v/>
      </c>
      <c r="CZ47" s="392" t="n"/>
      <c r="DA47" s="392">
        <f t="array" ref="DA47">IF(CZ47="", "", IF((INDEX(E$8:CE$57, MATCH(CZ47, C$8:C$57, 0), ($CZ$25-1)*5 + 1) &amp; "") = (INDEX(E$5:CE$5, 1, ($CZ$25-1)*5 + 1) &amp; ""), 1, IF((INDEX(E$8:CE$57, MATCH(CZ47, C$8:C$57, 0), ($CZ$25-1)*5 + 2) &amp; "") = (INDEX(E$5:CE$5, 1, ($CZ$25-1)*5 + 1) &amp; ""), 2, IF((INDEX(E$8:CE$57, MATCH(CZ47, C$8:C$57, 0), ($CZ$25-1)*5 + 3) &amp; "") = (INDEX(E$5:CE$5, 1, ($CZ$25-1)*5 + 1) &amp; ""), 3, ""))))</f>
        <v/>
      </c>
      <c r="DB47" s="605">
        <f>SEMANA2[[#This Row],[COD]]</f>
        <v/>
      </c>
      <c r="DC47" s="395">
        <f t="array" ref="DC47">IFERROR(IF(AND(INDEX($E$8:$CE$57, MATCH($C47, $C$8:$C$57, 0), (COLUMNS($DC47:DC47)-1)*5 + 1) = INDEX($E$5:$CE$5, 1, (COLUMNS($DC47:DC47)-1)*5 + 1), INDEX($E$8:$CE$57, MATCH($C47, $C$8:$C$57, 0), (COLUMNS($DC47:DC47)-1)*5 + 4) = "F"), INDEX($CZ$8:$CZ$23, COLUMNS($DC47:DC47)), "0"), "")</f>
        <v/>
      </c>
      <c r="DD47" s="395">
        <f t="array" ref="DD47">IFERROR(IF(AND(INDEX($E$8:$CE$57, MATCH($C47, $C$8:$C$57, 0), (COLUMNS($DC47:DD47)-1)*5 + 1) = INDEX($E$5:$CE$5, 1, (COLUMNS($DC47:DD47)-1)*5 + 1), INDEX($E$8:$CE$57, MATCH($C47, $C$8:$C$57, 0), (COLUMNS($DC47:DD47)-1)*5 + 4) = "F"), INDEX($CZ$8:$CZ$23, COLUMNS($DC47:DD47)), "0"), "")</f>
        <v/>
      </c>
      <c r="DE47" s="395">
        <f t="array" ref="DE47">IFERROR(IF(AND(INDEX($E$8:$CE$57, MATCH($C47, $C$8:$C$57, 0), (COLUMNS($DC47:DE47)-1)*5 + 1) = INDEX($E$5:$CE$5, 1, (COLUMNS($DC47:DE47)-1)*5 + 1), INDEX($E$8:$CE$57, MATCH($C47, $C$8:$C$57, 0), (COLUMNS($DC47:DE47)-1)*5 + 4) = "F"), INDEX($CZ$8:$CZ$23, COLUMNS($DC47:DE47)), "0"), "")</f>
        <v/>
      </c>
      <c r="DF47" s="395">
        <f t="array" ref="DF47">IFERROR(IF(AND(INDEX($E$8:$CE$57, MATCH($C47, $C$8:$C$57, 0), (COLUMNS($DC47:DF47)-1)*5 + 1) = INDEX($E$5:$CE$5, 1, (COLUMNS($DC47:DF47)-1)*5 + 1), INDEX($E$8:$CE$57, MATCH($C47, $C$8:$C$57, 0), (COLUMNS($DC47:DF47)-1)*5 + 4) = "F"), INDEX($CZ$8:$CZ$23, COLUMNS($DC47:DF47)), "0"), "")</f>
        <v/>
      </c>
      <c r="DG47" s="395">
        <f t="array" ref="DG47">IFERROR(IF(AND(INDEX($E$8:$CE$57, MATCH($C47, $C$8:$C$57, 0), (COLUMNS($DC47:DG47)-1)*5 + 1) = INDEX($E$5:$CE$5, 1, (COLUMNS($DC47:DG47)-1)*5 + 1), INDEX($E$8:$CE$57, MATCH($C47, $C$8:$C$57, 0), (COLUMNS($DC47:DG47)-1)*5 + 4) = "F"), INDEX($CZ$8:$CZ$23, COLUMNS($DC47:DG47)), "0"), "")</f>
        <v/>
      </c>
      <c r="DH47" s="395">
        <f t="array" ref="DH47">IFERROR(IF(AND(INDEX($E$8:$CE$57, MATCH($C47, $C$8:$C$57, 0), (COLUMNS($DC47:DH47)-1)*5 + 1) = INDEX($E$5:$CE$5, 1, (COLUMNS($DC47:DH47)-1)*5 + 1), INDEX($E$8:$CE$57, MATCH($C47, $C$8:$C$57, 0), (COLUMNS($DC47:DH47)-1)*5 + 4) = "F"), INDEX($CZ$8:$CZ$23, COLUMNS($DC47:DH47)), "0"), "")</f>
        <v/>
      </c>
      <c r="DI47" s="395">
        <f t="array" ref="DI47">IFERROR(IF(AND(INDEX($E$8:$CE$57, MATCH($C47, $C$8:$C$57, 0), (COLUMNS($DC47:DI47)-1)*5 + 1) = INDEX($E$5:$CE$5, 1, (COLUMNS($DC47:DI47)-1)*5 + 1), INDEX($E$8:$CE$57, MATCH($C47, $C$8:$C$57, 0), (COLUMNS($DC47:DI47)-1)*5 + 4) = "F"), INDEX($CZ$8:$CZ$23, COLUMNS($DC47:DI47)), "0"), "")</f>
        <v/>
      </c>
      <c r="DJ47" s="395">
        <f t="array" ref="DJ47">IFERROR(IF(AND(INDEX($E$8:$CE$57, MATCH($C47, $C$8:$C$57, 0), (COLUMNS($DC47:DJ47)-1)*5 + 1) = INDEX($E$5:$CE$5, 1, (COLUMNS($DC47:DJ47)-1)*5 + 1), INDEX($E$8:$CE$57, MATCH($C47, $C$8:$C$57, 0), (COLUMNS($DC47:DJ47)-1)*5 + 4) = "F"), INDEX($CZ$8:$CZ$23, COLUMNS($DC47:DJ47)), "0"), "")</f>
        <v/>
      </c>
      <c r="DK47" s="395">
        <f t="array" ref="DK47">IFERROR(IF(AND(INDEX($E$8:$CE$57, MATCH($C47, $C$8:$C$57, 0), (COLUMNS($DC47:DK47)-1)*5 + 1) = INDEX($E$5:$CE$5, 1, (COLUMNS($DC47:DK47)-1)*5 + 1), INDEX($E$8:$CE$57, MATCH($C47, $C$8:$C$57, 0), (COLUMNS($DC47:DK47)-1)*5 + 4) = "F"), INDEX($CZ$8:$CZ$23, COLUMNS($DC47:DK47)), "0"), "")</f>
        <v/>
      </c>
      <c r="DL47" s="395">
        <f t="array" ref="DL47">IFERROR(IF(AND(INDEX($E$8:$CE$57, MATCH($C47, $C$8:$C$57, 0), (COLUMNS($DC47:DL47)-1)*5 + 1) = INDEX($E$5:$CE$5, 1, (COLUMNS($DC47:DL47)-1)*5 + 1), INDEX($E$8:$CE$57, MATCH($C47, $C$8:$C$57, 0), (COLUMNS($DC47:DL47)-1)*5 + 4) = "F"), INDEX($CZ$8:$CZ$23, COLUMNS($DC47:DL47)), "0"), "")</f>
        <v/>
      </c>
      <c r="DM47" s="395">
        <f t="array" ref="DM47">IFERROR(IF(AND(INDEX($E$8:$CE$57, MATCH($C47, $C$8:$C$57, 0), (COLUMNS($DC47:DM47)-1)*5 + 1) = INDEX($E$5:$CE$5, 1, (COLUMNS($DC47:DM47)-1)*5 + 1), INDEX($E$8:$CE$57, MATCH($C47, $C$8:$C$57, 0), (COLUMNS($DC47:DM47)-1)*5 + 4) = "F"), INDEX($CZ$8:$CZ$23, COLUMNS($DC47:DM47)), "0"), "")</f>
        <v/>
      </c>
      <c r="DN47" s="395">
        <f t="array" ref="DN47">IFERROR(IF(AND(INDEX($E$8:$CE$57, MATCH($C47, $C$8:$C$57, 0), (COLUMNS($DC47:DN47)-1)*5 + 1) = INDEX($E$5:$CE$5, 1, (COLUMNS($DC47:DN47)-1)*5 + 1), INDEX($E$8:$CE$57, MATCH($C47, $C$8:$C$57, 0), (COLUMNS($DC47:DN47)-1)*5 + 4) = "F"), INDEX($CZ$8:$CZ$23, COLUMNS($DC47:DN47)), "0"), "")</f>
        <v/>
      </c>
      <c r="DO47" s="395">
        <f t="array" ref="DO47">IFERROR(IF(AND(INDEX($E$8:$CE$57, MATCH($C47, $C$8:$C$57, 0), (COLUMNS($DC47:DO47)-1)*5 + 1) = INDEX($E$5:$CE$5, 1, (COLUMNS($DC47:DO47)-1)*5 + 1), INDEX($E$8:$CE$57, MATCH($C47, $C$8:$C$57, 0), (COLUMNS($DC47:DO47)-1)*5 + 4) = "F"), INDEX($CZ$8:$CZ$23, COLUMNS($DC47:DO47)), "0"), "")</f>
        <v/>
      </c>
      <c r="DP47" s="395">
        <f t="array" ref="DP47">IFERROR(IF(AND(INDEX($E$8:$CE$57, MATCH($C47, $C$8:$C$57, 0), (COLUMNS($DC47:DP47)-1)*5 + 1) = INDEX($E$5:$CE$5, 1, (COLUMNS($DC47:DP47)-1)*5 + 1), INDEX($E$8:$CE$57, MATCH($C47, $C$8:$C$57, 0), (COLUMNS($DC47:DP47)-1)*5 + 4) = "F"), INDEX($CZ$8:$CZ$23, COLUMNS($DC47:DP47)), "0"), "")</f>
        <v/>
      </c>
      <c r="DQ47" s="395">
        <f t="array" ref="DQ47">IFERROR(IF(AND(INDEX($E$8:$CE$57, MATCH($C47, $C$8:$C$57, 0), (COLUMNS($DC47:DQ47)-1)*5 + 1) = INDEX($E$5:$CE$5, 1, (COLUMNS($DC47:DQ47)-1)*5 + 1), INDEX($E$8:$CE$57, MATCH($C47, $C$8:$C$57, 0), (COLUMNS($DC47:DQ47)-1)*5 + 4) = "F"), INDEX($CZ$8:$CZ$23, COLUMNS($DC47:DQ47)), "0"), "")</f>
        <v/>
      </c>
      <c r="DR47" s="395">
        <f t="array" ref="DR47">IFERROR(IF(AND(INDEX($E$8:$CE$57, MATCH($C47, $C$8:$C$57, 0), (COLUMNS($DC47:DR47)-1)*5 + 1) = INDEX($E$5:$CE$5, 1, (COLUMNS($DC47:DR47)-1)*5 + 1), INDEX($E$8:$CE$57, MATCH($C47, $C$8:$C$57, 0), (COLUMNS($DC47:DR47)-1)*5 + 4) = "F"), INDEX($CZ$8:$CZ$23, COLUMNS($DC47:DR47)), "0"), "")</f>
        <v/>
      </c>
      <c r="DT47" s="605">
        <f>SEMANA2[[#This Row],[COD]]</f>
        <v/>
      </c>
      <c r="DU47" s="395">
        <f t="array" ref="DU47">IFERROR(IF(AND(INDEX($E$8:$CE$57, MATCH($C47, $C$8:$C$57, 0), (COLUMNS($DU47:DU47)-1)*5 + 1) = INDEX($E$5:$CE$5, 1, (COLUMNS($DU47:DU47)-1)*5 + 1), INDEX($E$8:$CE$57, MATCH($C47, $C$8:$C$57, 0), (COLUMNS($DU47:DU47)-1)*5 + 4) = "SF"), INDEX($CZ$8:$CZ$23, COLUMNS($DU47:DU47)), "0"), "")</f>
        <v/>
      </c>
      <c r="DV47" s="395">
        <f t="array" ref="DV47">IFERROR(IF(AND(INDEX($E$8:$CE$57, MATCH($C47, $C$8:$C$57, 0), (COLUMNS($DU47:DV47)-1)*5 + 1) = INDEX($E$5:$CE$5, 1, (COLUMNS($DU47:DV47)-1)*5 + 1), INDEX($E$8:$CE$57, MATCH($C47, $C$8:$C$57, 0), (COLUMNS($DU47:DV47)-1)*5 + 4) = "SF"), INDEX($CZ$8:$CZ$23, COLUMNS($DU47:DV47)), "0"), "")</f>
        <v/>
      </c>
      <c r="DW47" s="395">
        <f t="array" ref="DW47">IFERROR(IF(AND(INDEX($E$8:$CE$57, MATCH($C47, $C$8:$C$57, 0), (COLUMNS($DU47:DW47)-1)*5 + 1) = INDEX($E$5:$CE$5, 1, (COLUMNS($DU47:DW47)-1)*5 + 1), INDEX($E$8:$CE$57, MATCH($C47, $C$8:$C$57, 0), (COLUMNS($DU47:DW47)-1)*5 + 4) = "SF"), INDEX($CZ$8:$CZ$23, COLUMNS($DU47:DW47)), "0"), "")</f>
        <v/>
      </c>
      <c r="DX47" s="395">
        <f t="array" ref="DX47">IFERROR(IF(AND(INDEX($E$8:$CE$57, MATCH($C47, $C$8:$C$57, 0), (COLUMNS($DU47:DX47)-1)*5 + 1) = INDEX($E$5:$CE$5, 1, (COLUMNS($DU47:DX47)-1)*5 + 1), INDEX($E$8:$CE$57, MATCH($C47, $C$8:$C$57, 0), (COLUMNS($DU47:DX47)-1)*5 + 4) = "SF"), INDEX($CZ$8:$CZ$23, COLUMNS($DU47:DX47)), "0"), "")</f>
        <v/>
      </c>
      <c r="DY47" s="395">
        <f t="array" ref="DY47">IFERROR(IF(AND(INDEX($E$8:$CE$57, MATCH($C47, $C$8:$C$57, 0), (COLUMNS($DU47:DY47)-1)*5 + 1) = INDEX($E$5:$CE$5, 1, (COLUMNS($DU47:DY47)-1)*5 + 1), INDEX($E$8:$CE$57, MATCH($C47, $C$8:$C$57, 0), (COLUMNS($DU47:DY47)-1)*5 + 4) = "SF"), INDEX($CZ$8:$CZ$23, COLUMNS($DU47:DY47)), "0"), "")</f>
        <v/>
      </c>
      <c r="DZ47" s="395">
        <f t="array" ref="DZ47">IFERROR(IF(AND(INDEX($E$8:$CE$57, MATCH($C47, $C$8:$C$57, 0), (COLUMNS($DU47:DZ47)-1)*5 + 1) = INDEX($E$5:$CE$5, 1, (COLUMNS($DU47:DZ47)-1)*5 + 1), INDEX($E$8:$CE$57, MATCH($C47, $C$8:$C$57, 0), (COLUMNS($DU47:DZ47)-1)*5 + 4) = "SF"), INDEX($CZ$8:$CZ$23, COLUMNS($DU47:DZ47)), "0"), "")</f>
        <v/>
      </c>
      <c r="EA47" s="395">
        <f t="array" ref="EA47">IFERROR(IF(AND(INDEX($E$8:$CE$57, MATCH($C47, $C$8:$C$57, 0), (COLUMNS($DU47:EA47)-1)*5 + 1) = INDEX($E$5:$CE$5, 1, (COLUMNS($DU47:EA47)-1)*5 + 1), INDEX($E$8:$CE$57, MATCH($C47, $C$8:$C$57, 0), (COLUMNS($DU47:EA47)-1)*5 + 4) = "SF"), INDEX($CZ$8:$CZ$23, COLUMNS($DU47:EA47)), "0"), "")</f>
        <v/>
      </c>
      <c r="EB47" s="395">
        <f t="array" ref="EB47">IFERROR(IF(AND(INDEX($E$8:$CE$57, MATCH($C47, $C$8:$C$57, 0), (COLUMNS($DU47:EB47)-1)*5 + 1) = INDEX($E$5:$CE$5, 1, (COLUMNS($DU47:EB47)-1)*5 + 1), INDEX($E$8:$CE$57, MATCH($C47, $C$8:$C$57, 0), (COLUMNS($DU47:EB47)-1)*5 + 4) = "SF"), INDEX($CZ$8:$CZ$23, COLUMNS($DU47:EB47)), "0"), "")</f>
        <v/>
      </c>
      <c r="EC47" s="395">
        <f t="array" ref="EC47">IFERROR(IF(AND(INDEX($E$8:$CE$57, MATCH($C47, $C$8:$C$57, 0), (COLUMNS($DU47:EC47)-1)*5 + 1) = INDEX($E$5:$CE$5, 1, (COLUMNS($DU47:EC47)-1)*5 + 1), INDEX($E$8:$CE$57, MATCH($C47, $C$8:$C$57, 0), (COLUMNS($DU47:EC47)-1)*5 + 4) = "SF"), INDEX($CZ$8:$CZ$23, COLUMNS($DU47:EC47)), "0"), "")</f>
        <v/>
      </c>
      <c r="ED47" s="395">
        <f t="array" ref="ED47">IFERROR(IF(AND(INDEX($E$8:$CE$57, MATCH($C47, $C$8:$C$57, 0), (COLUMNS($DU47:ED47)-1)*5 + 1) = INDEX($E$5:$CE$5, 1, (COLUMNS($DU47:ED47)-1)*5 + 1), INDEX($E$8:$CE$57, MATCH($C47, $C$8:$C$57, 0), (COLUMNS($DU47:ED47)-1)*5 + 4) = "SF"), INDEX($CZ$8:$CZ$23, COLUMNS($DU47:ED47)), "0"), "")</f>
        <v/>
      </c>
      <c r="EE47" s="395">
        <f t="array" ref="EE47">IFERROR(IF(AND(INDEX($E$8:$CE$57, MATCH($C47, $C$8:$C$57, 0), (COLUMNS($DU47:EE47)-1)*5 + 1) = INDEX($E$5:$CE$5, 1, (COLUMNS($DU47:EE47)-1)*5 + 1), INDEX($E$8:$CE$57, MATCH($C47, $C$8:$C$57, 0), (COLUMNS($DU47:EE47)-1)*5 + 4) = "SF"), INDEX($CZ$8:$CZ$23, COLUMNS($DU47:EE47)), "0"), "")</f>
        <v/>
      </c>
      <c r="EF47" s="395">
        <f t="array" ref="EF47">IFERROR(IF(AND(INDEX($E$8:$CE$57, MATCH($C47, $C$8:$C$57, 0), (COLUMNS($DU47:EF47)-1)*5 + 1) = INDEX($E$5:$CE$5, 1, (COLUMNS($DU47:EF47)-1)*5 + 1), INDEX($E$8:$CE$57, MATCH($C47, $C$8:$C$57, 0), (COLUMNS($DU47:EF47)-1)*5 + 4) = "SF"), INDEX($CZ$8:$CZ$23, COLUMNS($DU47:EF47)), "0"), "")</f>
        <v/>
      </c>
      <c r="EG47" s="395">
        <f t="array" ref="EG47">IFERROR(IF(AND(INDEX($E$8:$CE$57, MATCH($C47, $C$8:$C$57, 0), (COLUMNS($DU47:EG47)-1)*5 + 1) = INDEX($E$5:$CE$5, 1, (COLUMNS($DU47:EG47)-1)*5 + 1), INDEX($E$8:$CE$57, MATCH($C47, $C$8:$C$57, 0), (COLUMNS($DU47:EG47)-1)*5 + 4) = "SF"), INDEX($CZ$8:$CZ$23, COLUMNS($DU47:EG47)), "0"), "")</f>
        <v/>
      </c>
      <c r="EH47" s="395">
        <f t="array" ref="EH47">IFERROR(IF(AND(INDEX($E$8:$CE$57, MATCH($C47, $C$8:$C$57, 0), (COLUMNS($DU47:EH47)-1)*5 + 1) = INDEX($E$5:$CE$5, 1, (COLUMNS($DU47:EH47)-1)*5 + 1), INDEX($E$8:$CE$57, MATCH($C47, $C$8:$C$57, 0), (COLUMNS($DU47:EH47)-1)*5 + 4) = "SF"), INDEX($CZ$8:$CZ$23, COLUMNS($DU47:EH47)), "0"), "")</f>
        <v/>
      </c>
      <c r="EI47" s="395">
        <f t="array" ref="EI47">IFERROR(IF(AND(INDEX($E$8:$CE$57, MATCH($C47, $C$8:$C$57, 0), (COLUMNS($DU47:EI47)-1)*5 + 1) = INDEX($E$5:$CE$5, 1, (COLUMNS($DU47:EI47)-1)*5 + 1), INDEX($E$8:$CE$57, MATCH($C47, $C$8:$C$57, 0), (COLUMNS($DU47:EI47)-1)*5 + 4) = "SF"), INDEX($CZ$8:$CZ$23, COLUMNS($DU47:EI47)), "0"), "")</f>
        <v/>
      </c>
      <c r="EJ47" s="395">
        <f t="array" ref="EJ47">IFERROR(IF(AND(INDEX($E$8:$CE$57, MATCH($C47, $C$8:$C$57, 0), (COLUMNS($DU47:EJ47)-1)*5 + 1) = INDEX($E$5:$CE$5, 1, (COLUMNS($DU47:EJ47)-1)*5 + 1), INDEX($E$8:$CE$57, MATCH($C47, $C$8:$C$57, 0), (COLUMNS($DU47:EJ47)-1)*5 + 4) = "SF"), INDEX($CZ$8:$CZ$23, COLUMNS($DU47:EJ47)), "0"), "")</f>
        <v/>
      </c>
    </row>
    <row r="48" outlineLevel="1" ht="20.1" customHeight="1" s="568">
      <c r="A48" s="576" t="n"/>
      <c r="B48" s="449">
        <f>IF(SEMANA2[[#This Row],[COD]]&lt;&gt;"",B47+1,"")</f>
        <v/>
      </c>
      <c r="C48" s="622" t="inlineStr">
        <is>
          <t>COD 41</t>
        </is>
      </c>
      <c r="D48" s="415">
        <f t="array" ref="D48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8" s="416" t="n"/>
      <c r="F48" s="418" t="n"/>
      <c r="G48" s="418" t="n"/>
      <c r="H48" s="418" t="n"/>
      <c r="I48" s="602">
        <f>SUM(IF(E48=E$5,4,0),IF(E48&amp;F48=E$5&amp;F$5,1,0),
IF(AND(E48=E$5,F$6&gt;=$D$115),1,0),
IF(AND(F48=E$5,F$6&gt;=$D$115),1,0),
IF(AND(G48=E$5,F$6&gt;=$D$115),1,0),
IF(E48&amp;H48=I$5,1,0),
IF(F48=E$5,2,0),
IF(G48=E$5,1,0),
IF(OR(E48&amp;F48&amp;G48=E$5&amp;F$5&amp;G$5,E48&amp;F48&amp;G48=E$5&amp;G$5&amp;F$5,E48&amp;F48&amp;G48=F$5&amp;E$5&amp;G$5,E48&amp;F48&amp;G48=F$5&amp;G$5&amp;E$5,E48&amp;F48&amp;G48=G$5&amp;E$5&amp;F$5,E48&amp;F48&amp;G48=G$5&amp;F$5&amp;E$5),2,0),IF(AND(E48=E$5,F$6&gt;=$D$129),1,0),IF(AND(F48=E$5,F$6&gt;=$D$129),1,0),IF(AND(G48=E$5,F$6&gt;=$D$129),1,0),IF(E48&amp;H48=H$5,4,0),IF(AND(E48=E$5,F$6&lt;=$D$104),-0.5,0),IF(AND(F48=E$5,F$6&lt;=$D$104),-0.5,0),IF(AND(G48=E$5,F$6&lt;=$D$104),-0.5,0))</f>
        <v/>
      </c>
      <c r="J48" s="416" t="n"/>
      <c r="K48" s="418" t="n"/>
      <c r="L48" s="418" t="n"/>
      <c r="M48" s="418" t="n"/>
      <c r="N48" s="602">
        <f>SUM(IF(J48=J$5,4,0),IF(J48&amp;K48=J$5&amp;K$5,1,0),
IF(AND(J48=J$5,K$6&gt;=$D$115),1,0),
IF(AND(K48=J$5,K$6&gt;=$D$115),1,0),
IF(AND(L48=J$5,K$6&gt;=$D$115),1,0),
IF(J48&amp;M48=N$5,1,0),
IF(K48=J$5,2,0),
IF(L48=J$5,1,0),
IF(OR(J48&amp;K48&amp;L48=J$5&amp;K$5&amp;L$5,J48&amp;K48&amp;L48=J$5&amp;L$5&amp;K$5,J48&amp;K48&amp;L48=K$5&amp;J$5&amp;L$5,J48&amp;K48&amp;L48=K$5&amp;L$5&amp;J$5,J48&amp;K48&amp;L48=L$5&amp;J$5&amp;K$5,J48&amp;K48&amp;L48=L$5&amp;K$5&amp;J$5),2,0),IF(AND(J48=J$5,K$6&gt;=$D$129),1,0),IF(AND(K48=J$5,K$6&gt;=$D$129),1,0),IF(AND(L48=J$5,K$6&gt;=$D$129),1,0),IF(J48&amp;M48=M$5,4,0),IF(AND(J48=J$5,K$6&lt;=$D$104),-0.5,0),IF(AND(K48=J$5,K$6&lt;=$D$104),-0.5,0),IF(AND(L48=J$5,K$6&lt;=$D$104),-0.5,0))</f>
        <v/>
      </c>
      <c r="O48" s="416" t="n"/>
      <c r="P48" s="418" t="n"/>
      <c r="Q48" s="418" t="n"/>
      <c r="R48" s="418" t="n"/>
      <c r="S48" s="602">
        <f>SUM(IF(O48=O$5,4,0),IF(O48&amp;P48=O$5&amp;P$5,1,0),
IF(AND(O48=O$5,P$6&gt;=$D$115),1,0),
IF(AND(P48=O$5,P$6&gt;=$D$115),1,0),
IF(AND(Q48=O$5,P$6&gt;=$D$115),1,0),
IF(O48&amp;R48=S$5,1,0),
IF(P48=O$5,2,0),
IF(Q48=O$5,1,0),
IF(OR(O48&amp;P48&amp;Q48=O$5&amp;P$5&amp;Q$5,O48&amp;P48&amp;Q48=O$5&amp;Q$5&amp;P$5,O48&amp;P48&amp;Q48=P$5&amp;O$5&amp;Q$5,O48&amp;P48&amp;Q48=P$5&amp;Q$5&amp;O$5,O48&amp;P48&amp;Q48=Q$5&amp;O$5&amp;P$5,O48&amp;P48&amp;Q48=Q$5&amp;P$5&amp;O$5),2,0),IF(AND(O48=O$5,P$6&gt;=$D$129),1,0),IF(AND(P48=O$5,P$6&gt;=$D$129),1,0),IF(AND(Q48=O$5,P$6&gt;=$D$129),1,0),IF(O48&amp;R48=R$5,4,0),IF(AND(O48=O$5,P$6&lt;=$D$104),-0.5,0),IF(AND(P48=O$5,P$6&lt;=$D$104),-0.5,0),IF(AND(Q48=O$5,P$6&lt;=$D$104),-0.5,0))</f>
        <v/>
      </c>
      <c r="T48" s="416" t="n"/>
      <c r="U48" s="418" t="n"/>
      <c r="V48" s="418" t="n"/>
      <c r="W48" s="418" t="n"/>
      <c r="X48" s="602">
        <f>SUM(IF(T48=T$5,4,0),IF(T48&amp;U48=T$5&amp;U$5,1,0),
IF(AND(T48=T$5,U$6&gt;=$D$115),1,0),
IF(AND(U48=T$5,U$6&gt;=$D$115),1,0),
IF(AND(V48=T$5,U$6&gt;=$D$115),1,0),
IF(T48&amp;W48=X$5,1,0),
IF(U48=T$5,2,0),
IF(V48=T$5,1,0),
IF(OR(T48&amp;U48&amp;V48=T$5&amp;U$5&amp;V$5,T48&amp;U48&amp;V48=T$5&amp;V$5&amp;U$5,T48&amp;U48&amp;V48=U$5&amp;T$5&amp;V$5,T48&amp;U48&amp;V48=U$5&amp;V$5&amp;T$5,T48&amp;U48&amp;V48=V$5&amp;T$5&amp;U$5,T48&amp;U48&amp;V48=V$5&amp;U$5&amp;T$5),2,0),IF(AND(T48=T$5,U$6&gt;=$D$129),1,0),IF(AND(U48=T$5,U$6&gt;=$D$129),1,0),IF(AND(V48=T$5,U$6&gt;=$D$129),1,0),IF(T48&amp;W48=W$5,4,0),IF(AND(T48=T$5,U$6&lt;=$D$104),-0.5,0),IF(AND(U48=T$5,U$6&lt;=$D$104),-0.5,0),IF(AND(V48=T$5,U$6&lt;=$D$104),-0.5,0))</f>
        <v/>
      </c>
      <c r="Y48" s="416" t="n"/>
      <c r="Z48" s="418" t="n"/>
      <c r="AA48" s="418" t="n"/>
      <c r="AB48" s="418" t="n"/>
      <c r="AC48" s="602">
        <f>SUM(IF(Y48=Y$5,4,0),IF(Y48&amp;Z48=Y$5&amp;Z$5,1,0),
IF(AND(Y48=Y$5,Z$6&gt;=$D$115),1,0),
IF(AND(Z48=Y$5,Z$6&gt;=$D$115),1,0),
IF(AND(AA48=Y$5,Z$6&gt;=$D$115),1,0),
IF(Y48&amp;AB48=AC$5,1,0),
IF(Z48=Y$5,2,0),
IF(AA48=Y$5,1,0),
IF(OR(Y48&amp;Z48&amp;AA48=Y$5&amp;Z$5&amp;AA$5,Y48&amp;Z48&amp;AA48=Y$5&amp;AA$5&amp;Z$5,Y48&amp;Z48&amp;AA48=Z$5&amp;Y$5&amp;AA$5,Y48&amp;Z48&amp;AA48=Z$5&amp;AA$5&amp;Y$5,Y48&amp;Z48&amp;AA48=AA$5&amp;Y$5&amp;Z$5,Y48&amp;Z48&amp;AA48=AA$5&amp;Z$5&amp;Y$5),2,0),IF(AND(Y48=Y$5,Z$6&gt;=$D$129),1,0),IF(AND(Z48=Y$5,Z$6&gt;=$D$129),1,0),IF(AND(AA48=Y$5,Z$6&gt;=$D$129),1,0),IF(Y48&amp;AB48=AB$5,4,0),IF(AND(Y48=Y$5,Z$6&lt;=$D$104),-0.5,0),IF(AND(Z48=Y$5,Z$6&lt;=$D$104),-0.5,0),IF(AND(AA48=Y$5,Z$6&lt;=$D$104),-0.5,0))</f>
        <v/>
      </c>
      <c r="AD48" s="416" t="n"/>
      <c r="AE48" s="418" t="n"/>
      <c r="AF48" s="418" t="n"/>
      <c r="AG48" s="418" t="n"/>
      <c r="AH48" s="602">
        <f>SUM(IF(AD48=AD$5,4,0),IF(AD48&amp;AE48=AD$5&amp;AE$5,1,0),
IF(AND(AD48=AD$5,AE$6&gt;=$D$115),1,0),
IF(AND(AE48=AD$5,AE$6&gt;=$D$115),1,0),
IF(AND(AF48=AD$5,AE$6&gt;=$D$115),1,0),
IF(AD48&amp;AG48=AH$5,1,0),
IF(AE48=AD$5,2,0),
IF(AF48=AD$5,1,0),
IF(OR(AD48&amp;AE48&amp;AF48=AD$5&amp;AE$5&amp;AF$5,AD48&amp;AE48&amp;AF48=AD$5&amp;AF$5&amp;AE$5,AD48&amp;AE48&amp;AF48=AE$5&amp;AD$5&amp;AF$5,AD48&amp;AE48&amp;AF48=AE$5&amp;AF$5&amp;AD$5,AD48&amp;AE48&amp;AF48=AF$5&amp;AD$5&amp;AE$5,AD48&amp;AE48&amp;AF48=AF$5&amp;AE$5&amp;AD$5),2,0),IF(AND(AD48=AD$5,AE$6&gt;=$D$129),1,0),IF(AND(AE48=AD$5,AE$6&gt;=$D$129),1,0),IF(AND(AF48=AD$5,AE$6&gt;=$D$129),1,0),IF(AD48&amp;AG48=AG$5,4,0),IF(AND(AD48=AD$5,AE$6&lt;=$D$104),-0.5,0),IF(AND(AE48=AD$5,AE$6&lt;=$D$104),-0.5,0),IF(AND(AF48=AD$5,AE$6&lt;=$D$104),-0.5,0))</f>
        <v/>
      </c>
      <c r="AI48" s="416" t="n"/>
      <c r="AJ48" s="418" t="n"/>
      <c r="AK48" s="418" t="n"/>
      <c r="AL48" s="418" t="n"/>
      <c r="AM48" s="602">
        <f>SUM(IF(AI48=AI$5,4,0),IF(AI48&amp;AJ48=AI$5&amp;AJ$5,1,0),
IF(AND(AI48=AI$5,AJ$6&gt;=$D$115),1,0),
IF(AND(AJ48=AI$5,AJ$6&gt;=$D$115),1,0),
IF(AND(AK48=AI$5,AJ$6&gt;=$D$115),1,0),
IF(AI48&amp;AL48=AM$5,1,0),
IF(AJ48=AI$5,2,0),
IF(AK48=AI$5,1,0),
IF(OR(AI48&amp;AJ48&amp;AK48=AI$5&amp;AJ$5&amp;AK$5,AI48&amp;AJ48&amp;AK48=AI$5&amp;AK$5&amp;AJ$5,AI48&amp;AJ48&amp;AK48=AJ$5&amp;AI$5&amp;AK$5,AI48&amp;AJ48&amp;AK48=AJ$5&amp;AK$5&amp;AI$5,AI48&amp;AJ48&amp;AK48=AK$5&amp;AI$5&amp;AJ$5,AI48&amp;AJ48&amp;AK48=AK$5&amp;AJ$5&amp;AI$5),2,0),IF(AND(AI48=AI$5,AJ$6&gt;=$D$129),1,0),IF(AND(AJ48=AI$5,AJ$6&gt;=$D$129),1,0),IF(AND(AK48=AI$5,AJ$6&gt;=$D$129),1,0),IF(AI48&amp;AL48=AL$5,4,0),IF(AND(AI48=AI$5,AJ$6&lt;=$D$104),-0.5,0),IF(AND(AJ48=AI$5,AJ$6&lt;=$D$104),-0.5,0),IF(AND(AK48=AI$5,AJ$6&lt;=$D$104),-0.5,0))</f>
        <v/>
      </c>
      <c r="AN48" s="416" t="n"/>
      <c r="AO48" s="418" t="n"/>
      <c r="AP48" s="418" t="n"/>
      <c r="AQ48" s="418" t="n"/>
      <c r="AR48" s="602">
        <f>SUM(IF(AN48=AN$5,4,0),IF(AN48&amp;AO48=AN$5&amp;AO$5,1,0),
IF(AND(AN48=AN$5,AO$6&gt;=$D$115),1,0),
IF(AND(AO48=AN$5,AO$6&gt;=$D$115),1,0),
IF(AND(AP48=AN$5,AO$6&gt;=$D$115),1,0),
IF(AN48&amp;AQ48=AR$5,1,0),
IF(AO48=AN$5,2,0),
IF(AP48=AN$5,1,0),
IF(OR(AN48&amp;AO48&amp;AP48=AN$5&amp;AO$5&amp;AP$5,AN48&amp;AO48&amp;AP48=AN$5&amp;AP$5&amp;AO$5,AN48&amp;AO48&amp;AP48=AO$5&amp;AN$5&amp;AP$5,AN48&amp;AO48&amp;AP48=AO$5&amp;AP$5&amp;AN$5,AN48&amp;AO48&amp;AP48=AP$5&amp;AN$5&amp;AO$5,AN48&amp;AO48&amp;AP48=AP$5&amp;AO$5&amp;AN$5),2,0),IF(AND(AN48=AN$5,AO$6&gt;=$D$129),1,0),IF(AND(AO48=AN$5,AO$6&gt;=$D$129),1,0),IF(AND(AP48=AN$5,AO$6&gt;=$D$129),1,0),IF(AN48&amp;AQ48=AQ$5,4,0),IF(AND(AN48=AN$5,AO$6&lt;=$D$104),-0.5,0),IF(AND(AO48=AN$5,AO$6&lt;=$D$104),-0.5,0),IF(AND(AP48=AN$5,AO$6&lt;=$D$104),-0.5,0))</f>
        <v/>
      </c>
      <c r="AS48" s="416" t="n"/>
      <c r="AT48" s="418" t="n"/>
      <c r="AU48" s="418" t="n"/>
      <c r="AV48" s="418" t="n"/>
      <c r="AW48" s="602">
        <f>SUM(IF(AS48=AS$5,4,0),IF(AS48&amp;AT48=AS$5&amp;AT$5,1,0),
IF(AND(AS48=AS$5,AT$6&gt;=$D$115),1,0),
IF(AND(AT48=AS$5,AT$6&gt;=$D$115),1,0),
IF(AND(AU48=AS$5,AT$6&gt;=$D$115),1,0),
IF(AS48&amp;AV48=AW$5,1,0),
IF(AT48=AS$5,2,0),
IF(AU48=AS$5,1,0),
IF(OR(AS48&amp;AT48&amp;AU48=AS$5&amp;AT$5&amp;AU$5,AS48&amp;AT48&amp;AU48=AS$5&amp;AU$5&amp;AT$5,AS48&amp;AT48&amp;AU48=AT$5&amp;AS$5&amp;AU$5,AS48&amp;AT48&amp;AU48=AT$5&amp;AU$5&amp;AS$5,AS48&amp;AT48&amp;AU48=AU$5&amp;AS$5&amp;AT$5,AS48&amp;AT48&amp;AU48=AU$5&amp;AT$5&amp;AS$5),2,0),IF(AND(AS48=AS$5,AT$6&gt;=$D$129),1,0),IF(AND(AT48=AS$5,AT$6&gt;=$D$129),1,0),IF(AND(AU48=AS$5,AT$6&gt;=$D$129),1,0),IF(AS48&amp;AV48=AV$5,4,0),IF(AND(AS48=AS$5,AT$6&lt;=$D$104),-0.5,0),IF(AND(AT48=AS$5,AT$6&lt;=$D$104),-0.5,0),IF(AND(AU48=AS$5,AT$6&lt;=$D$104),-0.5,0))</f>
        <v/>
      </c>
      <c r="AX48" s="416" t="n"/>
      <c r="AY48" s="418" t="n"/>
      <c r="AZ48" s="418" t="n"/>
      <c r="BA48" s="418" t="n"/>
      <c r="BB48" s="602">
        <f>SUM(IF(AX48=AX$5,4,0),IF(AX48&amp;AY48=AX$5&amp;AY$5,1,0),
IF(AND(AX48=AX$5,AY$6&gt;=$D$115),1,0),
IF(AND(AY48=AX$5,AY$6&gt;=$D$115),1,0),
IF(AND(AZ48=AX$5,AY$6&gt;=$D$115),1,0),
IF(AX48&amp;BA48=BB$5,1,0),
IF(AY48=AX$5,2,0),
IF(AZ48=AX$5,1,0),
IF(OR(AX48&amp;AY48&amp;AZ48=AX$5&amp;AY$5&amp;AZ$5,AX48&amp;AY48&amp;AZ48=AX$5&amp;AZ$5&amp;AY$5,AX48&amp;AY48&amp;AZ48=AY$5&amp;AX$5&amp;AZ$5,AX48&amp;AY48&amp;AZ48=AY$5&amp;AZ$5&amp;AX$5,AX48&amp;AY48&amp;AZ48=AZ$5&amp;AX$5&amp;AY$5,AX48&amp;AY48&amp;AZ48=AZ$5&amp;AY$5&amp;AX$5),2,0),IF(AND(AX48=AX$5,AY$6&gt;=$D$129),1,0),IF(AND(AY48=AX$5,AY$6&gt;=$D$129),1,0),IF(AND(AZ48=AX$5,AY$6&gt;=$D$129),1,0),IF(AX48&amp;BA48=BA$5,4,0),IF(AND(AX48=AX$5,AY$6&lt;=$D$104),-0.5,0),IF(AND(AY48=AX$5,AY$6&lt;=$D$104),-0.5,0),IF(AND(AZ48=AX$5,AY$6&lt;=$D$104),-0.5,0))</f>
        <v/>
      </c>
      <c r="BC48" s="416" t="n"/>
      <c r="BD48" s="418" t="n"/>
      <c r="BE48" s="418" t="n"/>
      <c r="BF48" s="418" t="n"/>
      <c r="BG48" s="602">
        <f>SUM(IF(BC48=BC$5,4,0),IF(BC48&amp;BD48=BC$5&amp;BD$5,1,0),
IF(AND(BC48=BC$5,BD$6&gt;=$D$115),1,0),
IF(AND(BD48=BC$5,BD$6&gt;=$D$115),1,0),
IF(AND(BE48=BC$5,BD$6&gt;=$D$115),1,0),
IF(BC48&amp;BF48=BG$5,1,0),
IF(BD48=BC$5,2,0),
IF(BE48=BC$5,1,0),
IF(OR(BC48&amp;BD48&amp;BE48=BC$5&amp;BD$5&amp;BE$5,BC48&amp;BD48&amp;BE48=BC$5&amp;BE$5&amp;BD$5,BC48&amp;BD48&amp;BE48=BD$5&amp;BC$5&amp;BE$5,BC48&amp;BD48&amp;BE48=BD$5&amp;BE$5&amp;BC$5,BC48&amp;BD48&amp;BE48=BE$5&amp;BC$5&amp;BD$5,BC48&amp;BD48&amp;BE48=BE$5&amp;BD$5&amp;BC$5),2,0),IF(AND(BC48=BC$5,BD$6&gt;=$D$129),1,0),IF(AND(BD48=BC$5,BD$6&gt;=$D$129),1,0),IF(AND(BE48=BC$5,BD$6&gt;=$D$129),1,0),IF(BC48&amp;BF48=BF$5,4,0),IF(AND(BC48=BC$5,BD$6&lt;=$D$104),-0.5,0),IF(AND(BD48=BC$5,BD$6&lt;=$D$104),-0.5,0),IF(AND(BE48=BC$5,BD$6&lt;=$D$104),-0.5,0))</f>
        <v/>
      </c>
      <c r="BH48" s="416" t="n"/>
      <c r="BI48" s="418" t="n"/>
      <c r="BJ48" s="418" t="n"/>
      <c r="BK48" s="418" t="n"/>
      <c r="BL48" s="602">
        <f>SUM(IF(BH48=BH$5,4,0),IF(BH48&amp;BI48=BH$5&amp;BI$5,1,0),
IF(AND(BH48=BH$5,BI$6&gt;=$D$115),1,0),
IF(AND(BI48=BH$5,BI$6&gt;=$D$115),1,0),
IF(AND(BJ48=BH$5,BI$6&gt;=$D$115),1,0),
IF(BH48&amp;BK48=BL$5,1,0),
IF(BI48=BH$5,2,0),
IF(BJ48=BH$5,1,0),
IF(OR(BH48&amp;BI48&amp;BJ48=BH$5&amp;BI$5&amp;BJ$5,BH48&amp;BI48&amp;BJ48=BH$5&amp;BJ$5&amp;BI$5,BH48&amp;BI48&amp;BJ48=BI$5&amp;BH$5&amp;BJ$5,BH48&amp;BI48&amp;BJ48=BI$5&amp;BJ$5&amp;BH$5,BH48&amp;BI48&amp;BJ48=BJ$5&amp;BH$5&amp;BI$5,BH48&amp;BI48&amp;BJ48=BJ$5&amp;BI$5&amp;BH$5),2,0),IF(AND(BH48=BH$5,BI$6&gt;=$D$129),1,0),IF(AND(BI48=BH$5,BI$6&gt;=$D$129),1,0),IF(AND(BJ48=BH$5,BI$6&gt;=$D$129),1,0),IF(BH48&amp;BK48=BK$5,4,0),IF(AND(BH48=BH$5,BI$6&lt;=$D$104),-0.5,0),IF(AND(BI48=BH$5,BI$6&lt;=$D$104),-0.5,0),IF(AND(BJ48=BH$5,BI$6&lt;=$D$104),-0.5,0))</f>
        <v/>
      </c>
      <c r="BM48" s="416" t="n"/>
      <c r="BN48" s="418" t="n"/>
      <c r="BO48" s="418" t="n"/>
      <c r="BP48" s="418" t="n"/>
      <c r="BQ48" s="602">
        <f>SUM(IF(BM48=BM$5,4,0),IF(BM48&amp;BN48=BM$5&amp;BN$5,1,0),
IF(AND(BM48=BM$5,BN$6&gt;=$D$115),1,0),
IF(AND(BN48=BM$5,BN$6&gt;=$D$115),1,0),
IF(AND(BO48=BM$5,BN$6&gt;=$D$115),1,0),
IF(BM48&amp;BP48=BQ$5,1,0),
IF(BN48=BM$5,2,0),
IF(BO48=BM$5,1,0),
IF(OR(BM48&amp;BN48&amp;BO48=BM$5&amp;BN$5&amp;BO$5,BM48&amp;BN48&amp;BO48=BM$5&amp;BO$5&amp;BN$5,BM48&amp;BN48&amp;BO48=BN$5&amp;BM$5&amp;BO$5,BM48&amp;BN48&amp;BO48=BN$5&amp;BO$5&amp;BM$5,BM48&amp;BN48&amp;BO48=BO$5&amp;BM$5&amp;BN$5,BM48&amp;BN48&amp;BO48=BO$5&amp;BN$5&amp;BM$5),2,0),IF(AND(BM48=BM$5,BN$6&gt;=$D$129),1,0),IF(AND(BN48=BM$5,BN$6&gt;=$D$129),1,0),IF(AND(BO48=BM$5,BN$6&gt;=$D$129),1,0),IF(BM48&amp;BP48=BP$5,4,0),IF(AND(BM48=BM$5,BN$6&lt;=$D$104),-0.5,0),IF(AND(BN48=BM$5,BN$6&lt;=$D$104),-0.5,0),IF(AND(BO48=BM$5,BN$6&lt;=$D$104),-0.5,0))</f>
        <v/>
      </c>
      <c r="BR48" s="416" t="n"/>
      <c r="BS48" s="418" t="n"/>
      <c r="BT48" s="418" t="n"/>
      <c r="BU48" s="418" t="n"/>
      <c r="BV48" s="602">
        <f>SUM(IF(BR48=BR$5,4,0),IF(BR48&amp;BS48=BR$5&amp;BS$5,1,0),
IF(AND(BR48=BR$5,BS$6&gt;=$D$115),1,0),
IF(AND(BS48=BR$5,BS$6&gt;=$D$115),1,0),
IF(AND(BT48=BR$5,BS$6&gt;=$D$115),1,0),
IF(BR48&amp;BU48=BV$5,1,0),
IF(BS48=BR$5,2,0),
IF(BT48=BR$5,1,0),
IF(OR(BR48&amp;BS48&amp;BT48=BR$5&amp;BS$5&amp;BT$5,BR48&amp;BS48&amp;BT48=BR$5&amp;BT$5&amp;BS$5,BR48&amp;BS48&amp;BT48=BS$5&amp;BR$5&amp;BT$5,BR48&amp;BS48&amp;BT48=BS$5&amp;BT$5&amp;BR$5,BR48&amp;BS48&amp;BT48=BT$5&amp;BR$5&amp;BS$5,BR48&amp;BS48&amp;BT48=BT$5&amp;BS$5&amp;BR$5),2,0),IF(AND(BR48=BR$5,BS$6&gt;=$D$129),1,0),IF(AND(BS48=BR$5,BS$6&gt;=$D$129),1,0),IF(AND(BT48=BR$5,BS$6&gt;=$D$129),1,0),IF(BR48&amp;BU48=BU$5,4,0),IF(AND(BR48=BR$5,BS$6&lt;=$D$104),-0.5,0),IF(AND(BS48=BR$5,BS$6&lt;=$D$104),-0.5,0),IF(AND(BT48=BR$5,BS$6&lt;=$D$104),-0.5,0))</f>
        <v/>
      </c>
      <c r="BW48" s="416" t="n"/>
      <c r="BX48" s="418" t="n"/>
      <c r="BY48" s="418" t="n"/>
      <c r="BZ48" s="418" t="n"/>
      <c r="CA48" s="602">
        <f>SUM(IF(BW48=BW$5,4,0),IF(BW48&amp;BX48=BW$5&amp;BX$5,1,0),
IF(AND(BW48=BW$5,BX$6&gt;=$D$115),1,0),
IF(AND(BX48=BW$5,BX$6&gt;=$D$115),1,0),
IF(AND(BY48=BW$5,BX$6&gt;=$D$115),1,0),
IF(BW48&amp;BZ48=CA$5,1,0),
IF(BX48=BW$5,2,0),
IF(BY48=BW$5,1,0),
IF(OR(BW48&amp;BX48&amp;BY48=BW$5&amp;BX$5&amp;BY$5,BW48&amp;BX48&amp;BY48=BW$5&amp;BY$5&amp;BX$5,BW48&amp;BX48&amp;BY48=BX$5&amp;BW$5&amp;BY$5,BW48&amp;BX48&amp;BY48=BX$5&amp;BY$5&amp;BW$5,BW48&amp;BX48&amp;BY48=BY$5&amp;BW$5&amp;BX$5,BW48&amp;BX48&amp;BY48=BY$5&amp;BX$5&amp;BW$5),2,0),IF(AND(BW48=BW$5,BX$6&gt;=$D$129),1,0),IF(AND(BX48=BW$5,BX$6&gt;=$D$129),1,0),IF(AND(BY48=BW$5,BX$6&gt;=$D$129),1,0),IF(BW48&amp;BZ48=BZ$5,4,0),IF(AND(BW48=BW$5,BX$6&lt;=$D$104),-0.5,0),IF(AND(BX48=BW$5,BX$6&lt;=$D$104),-0.5,0),IF(AND(BY48=BW$5,BX$6&lt;=$D$104),-0.5,0))</f>
        <v/>
      </c>
      <c r="CB48" s="416" t="n"/>
      <c r="CC48" s="418" t="n"/>
      <c r="CD48" s="418" t="n"/>
      <c r="CE48" s="418" t="n"/>
      <c r="CF48" s="602">
        <f>SUM(IF(CB48=CB$5,4,0),IF(CB48&amp;CC48=CB$5&amp;CC$5,1,0),
IF(AND(CB48=CB$5,CC$6&gt;=$D$115),1,0),
IF(AND(CC48=CB$5,CC$6&gt;=$D$115),1,0),
IF(AND(CD48=CB$5,CC$6&gt;=$D$115),1,0),
IF(CB48&amp;CE48=CF$5,1,0),
IF(CC48=CB$5,2,0),
IF(CD48=CB$5,1,0),
IF(OR(CB48&amp;CC48&amp;CD48=CB$5&amp;CC$5&amp;CD$5,CB48&amp;CC48&amp;CD48=CB$5&amp;CD$5&amp;CC$5,CB48&amp;CC48&amp;CD48=CC$5&amp;CB$5&amp;CD$5,CB48&amp;CC48&amp;CD48=CC$5&amp;CD$5&amp;CB$5,CB48&amp;CC48&amp;CD48=CD$5&amp;CB$5&amp;CC$5,CB48&amp;CC48&amp;CD48=CD$5&amp;CC$5&amp;CB$5),2,0),IF(AND(CB48=CB$5,CC$6&gt;=$D$129),1,0),IF(AND(CC48=CB$5,CC$6&gt;=$D$129),1,0),IF(AND(CD48=CB$5,CC$6&gt;=$D$129),1,0),IF(CB48&amp;CE48=CE$5,4,0),IF(AND(CB48=CB$5,CC$6&lt;=$D$104),-0.5,0),IF(AND(CC48=CB$5,CC$6&lt;=$D$104),-0.5,0),IF(AND(CD48=CB$5,CC$6&lt;=$D$104),-0.5,0))</f>
        <v/>
      </c>
      <c r="CG48" s="164">
        <f>IF(SEMANA2[[#This Row],[1]]="",0,$B$4)</f>
        <v/>
      </c>
      <c r="CH48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8" s="166">
        <f>IF(SEMANA2[[#This Row],[Columna14]]=0,0,(CH48/CG48))</f>
        <v/>
      </c>
      <c r="CJ48" s="165">
        <f>IF(SEMANA2[[#This Row],[1]]="",0,$B$4)</f>
        <v/>
      </c>
      <c r="CK48" s="165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8" s="166">
        <f>IF(SEMANA2[[#This Row],[Columna14]]=0,0,(CK48/CJ48))</f>
        <v/>
      </c>
      <c r="CM48" s="164">
        <f>IF(SEMANA2[[#This Row],[1]]="",0,$B$4)</f>
        <v/>
      </c>
      <c r="CN48" s="165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8" s="166">
        <f>IF(SEMANA2[[#This Row],[Columna14]]=0,0,(CN48/CM48))</f>
        <v/>
      </c>
      <c r="CP48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8" s="165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Row],[Columna25]],$AX$5,BA48,"SF")+COUNTIFS(SEMANA2[[#This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8" s="166">
        <f>IFERROR(IF(SEMANA2[[#This Row],[Columna14]]=0,0,(CQ48/CP48)),0)</f>
        <v/>
      </c>
      <c r="CS48" s="603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8" s="95">
        <f>_xlfn.XLOOKUP(SEMANA2[[#This Row],[COD]],BASE01[COD],BASE01[Columna33])</f>
        <v/>
      </c>
      <c r="CU48" s="604">
        <f>SUM(CS48,CT48)</f>
        <v/>
      </c>
      <c r="CV48" s="450">
        <f>IF(SEMANA2[[#This Row],[TIPO]]="PREMIO",$O$3,"0,00")</f>
        <v/>
      </c>
      <c r="CW48" s="576" t="n"/>
      <c r="CY48" s="392">
        <f>IF(CZ48="","",$CZ$25)</f>
        <v/>
      </c>
      <c r="CZ48" s="392" t="n"/>
      <c r="DA48" s="392">
        <f t="array" ref="DA48">IF(CZ48="", "", IF((INDEX(E$8:CE$57, MATCH(CZ48, C$8:C$57, 0), ($CZ$25-1)*5 + 1) &amp; "") = (INDEX(E$5:CE$5, 1, ($CZ$25-1)*5 + 1) &amp; ""), 1, IF((INDEX(E$8:CE$57, MATCH(CZ48, C$8:C$57, 0), ($CZ$25-1)*5 + 2) &amp; "") = (INDEX(E$5:CE$5, 1, ($CZ$25-1)*5 + 1) &amp; ""), 2, IF((INDEX(E$8:CE$57, MATCH(CZ48, C$8:C$57, 0), ($CZ$25-1)*5 + 3) &amp; "") = (INDEX(E$5:CE$5, 1, ($CZ$25-1)*5 + 1) &amp; ""), 3, ""))))</f>
        <v/>
      </c>
      <c r="DB48" s="605">
        <f>SEMANA2[[#This Row],[COD]]</f>
        <v/>
      </c>
      <c r="DC48" s="395">
        <f t="array" ref="DC48">IFERROR(IF(AND(INDEX($E$8:$CE$57, MATCH($C48, $C$8:$C$57, 0), (COLUMNS($DC48:DC48)-1)*5 + 1) = INDEX($E$5:$CE$5, 1, (COLUMNS($DC48:DC48)-1)*5 + 1), INDEX($E$8:$CE$57, MATCH($C48, $C$8:$C$57, 0), (COLUMNS($DC48:DC48)-1)*5 + 4) = "F"), INDEX($CZ$8:$CZ$23, COLUMNS($DC48:DC48)), "0"), "")</f>
        <v/>
      </c>
      <c r="DD48" s="395">
        <f t="array" ref="DD48">IFERROR(IF(AND(INDEX($E$8:$CE$57, MATCH($C48, $C$8:$C$57, 0), (COLUMNS($DC48:DD48)-1)*5 + 1) = INDEX($E$5:$CE$5, 1, (COLUMNS($DC48:DD48)-1)*5 + 1), INDEX($E$8:$CE$57, MATCH($C48, $C$8:$C$57, 0), (COLUMNS($DC48:DD48)-1)*5 + 4) = "F"), INDEX($CZ$8:$CZ$23, COLUMNS($DC48:DD48)), "0"), "")</f>
        <v/>
      </c>
      <c r="DE48" s="395">
        <f t="array" ref="DE48">IFERROR(IF(AND(INDEX($E$8:$CE$57, MATCH($C48, $C$8:$C$57, 0), (COLUMNS($DC48:DE48)-1)*5 + 1) = INDEX($E$5:$CE$5, 1, (COLUMNS($DC48:DE48)-1)*5 + 1), INDEX($E$8:$CE$57, MATCH($C48, $C$8:$C$57, 0), (COLUMNS($DC48:DE48)-1)*5 + 4) = "F"), INDEX($CZ$8:$CZ$23, COLUMNS($DC48:DE48)), "0"), "")</f>
        <v/>
      </c>
      <c r="DF48" s="395">
        <f t="array" ref="DF48">IFERROR(IF(AND(INDEX($E$8:$CE$57, MATCH($C48, $C$8:$C$57, 0), (COLUMNS($DC48:DF48)-1)*5 + 1) = INDEX($E$5:$CE$5, 1, (COLUMNS($DC48:DF48)-1)*5 + 1), INDEX($E$8:$CE$57, MATCH($C48, $C$8:$C$57, 0), (COLUMNS($DC48:DF48)-1)*5 + 4) = "F"), INDEX($CZ$8:$CZ$23, COLUMNS($DC48:DF48)), "0"), "")</f>
        <v/>
      </c>
      <c r="DG48" s="395">
        <f t="array" ref="DG48">IFERROR(IF(AND(INDEX($E$8:$CE$57, MATCH($C48, $C$8:$C$57, 0), (COLUMNS($DC48:DG48)-1)*5 + 1) = INDEX($E$5:$CE$5, 1, (COLUMNS($DC48:DG48)-1)*5 + 1), INDEX($E$8:$CE$57, MATCH($C48, $C$8:$C$57, 0), (COLUMNS($DC48:DG48)-1)*5 + 4) = "F"), INDEX($CZ$8:$CZ$23, COLUMNS($DC48:DG48)), "0"), "")</f>
        <v/>
      </c>
      <c r="DH48" s="395">
        <f t="array" ref="DH48">IFERROR(IF(AND(INDEX($E$8:$CE$57, MATCH($C48, $C$8:$C$57, 0), (COLUMNS($DC48:DH48)-1)*5 + 1) = INDEX($E$5:$CE$5, 1, (COLUMNS($DC48:DH48)-1)*5 + 1), INDEX($E$8:$CE$57, MATCH($C48, $C$8:$C$57, 0), (COLUMNS($DC48:DH48)-1)*5 + 4) = "F"), INDEX($CZ$8:$CZ$23, COLUMNS($DC48:DH48)), "0"), "")</f>
        <v/>
      </c>
      <c r="DI48" s="395">
        <f t="array" ref="DI48">IFERROR(IF(AND(INDEX($E$8:$CE$57, MATCH($C48, $C$8:$C$57, 0), (COLUMNS($DC48:DI48)-1)*5 + 1) = INDEX($E$5:$CE$5, 1, (COLUMNS($DC48:DI48)-1)*5 + 1), INDEX($E$8:$CE$57, MATCH($C48, $C$8:$C$57, 0), (COLUMNS($DC48:DI48)-1)*5 + 4) = "F"), INDEX($CZ$8:$CZ$23, COLUMNS($DC48:DI48)), "0"), "")</f>
        <v/>
      </c>
      <c r="DJ48" s="395">
        <f t="array" ref="DJ48">IFERROR(IF(AND(INDEX($E$8:$CE$57, MATCH($C48, $C$8:$C$57, 0), (COLUMNS($DC48:DJ48)-1)*5 + 1) = INDEX($E$5:$CE$5, 1, (COLUMNS($DC48:DJ48)-1)*5 + 1), INDEX($E$8:$CE$57, MATCH($C48, $C$8:$C$57, 0), (COLUMNS($DC48:DJ48)-1)*5 + 4) = "F"), INDEX($CZ$8:$CZ$23, COLUMNS($DC48:DJ48)), "0"), "")</f>
        <v/>
      </c>
      <c r="DK48" s="395">
        <f t="array" ref="DK48">IFERROR(IF(AND(INDEX($E$8:$CE$57, MATCH($C48, $C$8:$C$57, 0), (COLUMNS($DC48:DK48)-1)*5 + 1) = INDEX($E$5:$CE$5, 1, (COLUMNS($DC48:DK48)-1)*5 + 1), INDEX($E$8:$CE$57, MATCH($C48, $C$8:$C$57, 0), (COLUMNS($DC48:DK48)-1)*5 + 4) = "F"), INDEX($CZ$8:$CZ$23, COLUMNS($DC48:DK48)), "0"), "")</f>
        <v/>
      </c>
      <c r="DL48" s="395">
        <f t="array" ref="DL48">IFERROR(IF(AND(INDEX($E$8:$CE$57, MATCH($C48, $C$8:$C$57, 0), (COLUMNS($DC48:DL48)-1)*5 + 1) = INDEX($E$5:$CE$5, 1, (COLUMNS($DC48:DL48)-1)*5 + 1), INDEX($E$8:$CE$57, MATCH($C48, $C$8:$C$57, 0), (COLUMNS($DC48:DL48)-1)*5 + 4) = "F"), INDEX($CZ$8:$CZ$23, COLUMNS($DC48:DL48)), "0"), "")</f>
        <v/>
      </c>
      <c r="DM48" s="395">
        <f t="array" ref="DM48">IFERROR(IF(AND(INDEX($E$8:$CE$57, MATCH($C48, $C$8:$C$57, 0), (COLUMNS($DC48:DM48)-1)*5 + 1) = INDEX($E$5:$CE$5, 1, (COLUMNS($DC48:DM48)-1)*5 + 1), INDEX($E$8:$CE$57, MATCH($C48, $C$8:$C$57, 0), (COLUMNS($DC48:DM48)-1)*5 + 4) = "F"), INDEX($CZ$8:$CZ$23, COLUMNS($DC48:DM48)), "0"), "")</f>
        <v/>
      </c>
      <c r="DN48" s="395">
        <f t="array" ref="DN48">IFERROR(IF(AND(INDEX($E$8:$CE$57, MATCH($C48, $C$8:$C$57, 0), (COLUMNS($DC48:DN48)-1)*5 + 1) = INDEX($E$5:$CE$5, 1, (COLUMNS($DC48:DN48)-1)*5 + 1), INDEX($E$8:$CE$57, MATCH($C48, $C$8:$C$57, 0), (COLUMNS($DC48:DN48)-1)*5 + 4) = "F"), INDEX($CZ$8:$CZ$23, COLUMNS($DC48:DN48)), "0"), "")</f>
        <v/>
      </c>
      <c r="DO48" s="395">
        <f t="array" ref="DO48">IFERROR(IF(AND(INDEX($E$8:$CE$57, MATCH($C48, $C$8:$C$57, 0), (COLUMNS($DC48:DO48)-1)*5 + 1) = INDEX($E$5:$CE$5, 1, (COLUMNS($DC48:DO48)-1)*5 + 1), INDEX($E$8:$CE$57, MATCH($C48, $C$8:$C$57, 0), (COLUMNS($DC48:DO48)-1)*5 + 4) = "F"), INDEX($CZ$8:$CZ$23, COLUMNS($DC48:DO48)), "0"), "")</f>
        <v/>
      </c>
      <c r="DP48" s="395">
        <f t="array" ref="DP48">IFERROR(IF(AND(INDEX($E$8:$CE$57, MATCH($C48, $C$8:$C$57, 0), (COLUMNS($DC48:DP48)-1)*5 + 1) = INDEX($E$5:$CE$5, 1, (COLUMNS($DC48:DP48)-1)*5 + 1), INDEX($E$8:$CE$57, MATCH($C48, $C$8:$C$57, 0), (COLUMNS($DC48:DP48)-1)*5 + 4) = "F"), INDEX($CZ$8:$CZ$23, COLUMNS($DC48:DP48)), "0"), "")</f>
        <v/>
      </c>
      <c r="DQ48" s="395">
        <f t="array" ref="DQ48">IFERROR(IF(AND(INDEX($E$8:$CE$57, MATCH($C48, $C$8:$C$57, 0), (COLUMNS($DC48:DQ48)-1)*5 + 1) = INDEX($E$5:$CE$5, 1, (COLUMNS($DC48:DQ48)-1)*5 + 1), INDEX($E$8:$CE$57, MATCH($C48, $C$8:$C$57, 0), (COLUMNS($DC48:DQ48)-1)*5 + 4) = "F"), INDEX($CZ$8:$CZ$23, COLUMNS($DC48:DQ48)), "0"), "")</f>
        <v/>
      </c>
      <c r="DR48" s="395">
        <f t="array" ref="DR48">IFERROR(IF(AND(INDEX($E$8:$CE$57, MATCH($C48, $C$8:$C$57, 0), (COLUMNS($DC48:DR48)-1)*5 + 1) = INDEX($E$5:$CE$5, 1, (COLUMNS($DC48:DR48)-1)*5 + 1), INDEX($E$8:$CE$57, MATCH($C48, $C$8:$C$57, 0), (COLUMNS($DC48:DR48)-1)*5 + 4) = "F"), INDEX($CZ$8:$CZ$23, COLUMNS($DC48:DR48)), "0"), "")</f>
        <v/>
      </c>
      <c r="DT48" s="605">
        <f>SEMANA2[[#This Row],[COD]]</f>
        <v/>
      </c>
      <c r="DU48" s="395">
        <f t="array" ref="DU48">IFERROR(IF(AND(INDEX($E$8:$CE$57, MATCH($C48, $C$8:$C$57, 0), (COLUMNS($DU48:DU48)-1)*5 + 1) = INDEX($E$5:$CE$5, 1, (COLUMNS($DU48:DU48)-1)*5 + 1), INDEX($E$8:$CE$57, MATCH($C48, $C$8:$C$57, 0), (COLUMNS($DU48:DU48)-1)*5 + 4) = "SF"), INDEX($CZ$8:$CZ$23, COLUMNS($DU48:DU48)), "0"), "")</f>
        <v/>
      </c>
      <c r="DV48" s="395">
        <f t="array" ref="DV48">IFERROR(IF(AND(INDEX($E$8:$CE$57, MATCH($C48, $C$8:$C$57, 0), (COLUMNS($DU48:DV48)-1)*5 + 1) = INDEX($E$5:$CE$5, 1, (COLUMNS($DU48:DV48)-1)*5 + 1), INDEX($E$8:$CE$57, MATCH($C48, $C$8:$C$57, 0), (COLUMNS($DU48:DV48)-1)*5 + 4) = "SF"), INDEX($CZ$8:$CZ$23, COLUMNS($DU48:DV48)), "0"), "")</f>
        <v/>
      </c>
      <c r="DW48" s="395">
        <f t="array" ref="DW48">IFERROR(IF(AND(INDEX($E$8:$CE$57, MATCH($C48, $C$8:$C$57, 0), (COLUMNS($DU48:DW48)-1)*5 + 1) = INDEX($E$5:$CE$5, 1, (COLUMNS($DU48:DW48)-1)*5 + 1), INDEX($E$8:$CE$57, MATCH($C48, $C$8:$C$57, 0), (COLUMNS($DU48:DW48)-1)*5 + 4) = "SF"), INDEX($CZ$8:$CZ$23, COLUMNS($DU48:DW48)), "0"), "")</f>
        <v/>
      </c>
      <c r="DX48" s="395">
        <f t="array" ref="DX48">IFERROR(IF(AND(INDEX($E$8:$CE$57, MATCH($C48, $C$8:$C$57, 0), (COLUMNS($DU48:DX48)-1)*5 + 1) = INDEX($E$5:$CE$5, 1, (COLUMNS($DU48:DX48)-1)*5 + 1), INDEX($E$8:$CE$57, MATCH($C48, $C$8:$C$57, 0), (COLUMNS($DU48:DX48)-1)*5 + 4) = "SF"), INDEX($CZ$8:$CZ$23, COLUMNS($DU48:DX48)), "0"), "")</f>
        <v/>
      </c>
      <c r="DY48" s="395">
        <f t="array" ref="DY48">IFERROR(IF(AND(INDEX($E$8:$CE$57, MATCH($C48, $C$8:$C$57, 0), (COLUMNS($DU48:DY48)-1)*5 + 1) = INDEX($E$5:$CE$5, 1, (COLUMNS($DU48:DY48)-1)*5 + 1), INDEX($E$8:$CE$57, MATCH($C48, $C$8:$C$57, 0), (COLUMNS($DU48:DY48)-1)*5 + 4) = "SF"), INDEX($CZ$8:$CZ$23, COLUMNS($DU48:DY48)), "0"), "")</f>
        <v/>
      </c>
      <c r="DZ48" s="395">
        <f t="array" ref="DZ48">IFERROR(IF(AND(INDEX($E$8:$CE$57, MATCH($C48, $C$8:$C$57, 0), (COLUMNS($DU48:DZ48)-1)*5 + 1) = INDEX($E$5:$CE$5, 1, (COLUMNS($DU48:DZ48)-1)*5 + 1), INDEX($E$8:$CE$57, MATCH($C48, $C$8:$C$57, 0), (COLUMNS($DU48:DZ48)-1)*5 + 4) = "SF"), INDEX($CZ$8:$CZ$23, COLUMNS($DU48:DZ48)), "0"), "")</f>
        <v/>
      </c>
      <c r="EA48" s="395">
        <f t="array" ref="EA48">IFERROR(IF(AND(INDEX($E$8:$CE$57, MATCH($C48, $C$8:$C$57, 0), (COLUMNS($DU48:EA48)-1)*5 + 1) = INDEX($E$5:$CE$5, 1, (COLUMNS($DU48:EA48)-1)*5 + 1), INDEX($E$8:$CE$57, MATCH($C48, $C$8:$C$57, 0), (COLUMNS($DU48:EA48)-1)*5 + 4) = "SF"), INDEX($CZ$8:$CZ$23, COLUMNS($DU48:EA48)), "0"), "")</f>
        <v/>
      </c>
      <c r="EB48" s="395">
        <f t="array" ref="EB48">IFERROR(IF(AND(INDEX($E$8:$CE$57, MATCH($C48, $C$8:$C$57, 0), (COLUMNS($DU48:EB48)-1)*5 + 1) = INDEX($E$5:$CE$5, 1, (COLUMNS($DU48:EB48)-1)*5 + 1), INDEX($E$8:$CE$57, MATCH($C48, $C$8:$C$57, 0), (COLUMNS($DU48:EB48)-1)*5 + 4) = "SF"), INDEX($CZ$8:$CZ$23, COLUMNS($DU48:EB48)), "0"), "")</f>
        <v/>
      </c>
      <c r="EC48" s="395">
        <f t="array" ref="EC48">IFERROR(IF(AND(INDEX($E$8:$CE$57, MATCH($C48, $C$8:$C$57, 0), (COLUMNS($DU48:EC48)-1)*5 + 1) = INDEX($E$5:$CE$5, 1, (COLUMNS($DU48:EC48)-1)*5 + 1), INDEX($E$8:$CE$57, MATCH($C48, $C$8:$C$57, 0), (COLUMNS($DU48:EC48)-1)*5 + 4) = "SF"), INDEX($CZ$8:$CZ$23, COLUMNS($DU48:EC48)), "0"), "")</f>
        <v/>
      </c>
      <c r="ED48" s="395">
        <f t="array" ref="ED48">IFERROR(IF(AND(INDEX($E$8:$CE$57, MATCH($C48, $C$8:$C$57, 0), (COLUMNS($DU48:ED48)-1)*5 + 1) = INDEX($E$5:$CE$5, 1, (COLUMNS($DU48:ED48)-1)*5 + 1), INDEX($E$8:$CE$57, MATCH($C48, $C$8:$C$57, 0), (COLUMNS($DU48:ED48)-1)*5 + 4) = "SF"), INDEX($CZ$8:$CZ$23, COLUMNS($DU48:ED48)), "0"), "")</f>
        <v/>
      </c>
      <c r="EE48" s="395">
        <f t="array" ref="EE48">IFERROR(IF(AND(INDEX($E$8:$CE$57, MATCH($C48, $C$8:$C$57, 0), (COLUMNS($DU48:EE48)-1)*5 + 1) = INDEX($E$5:$CE$5, 1, (COLUMNS($DU48:EE48)-1)*5 + 1), INDEX($E$8:$CE$57, MATCH($C48, $C$8:$C$57, 0), (COLUMNS($DU48:EE48)-1)*5 + 4) = "SF"), INDEX($CZ$8:$CZ$23, COLUMNS($DU48:EE48)), "0"), "")</f>
        <v/>
      </c>
      <c r="EF48" s="395">
        <f t="array" ref="EF48">IFERROR(IF(AND(INDEX($E$8:$CE$57, MATCH($C48, $C$8:$C$57, 0), (COLUMNS($DU48:EF48)-1)*5 + 1) = INDEX($E$5:$CE$5, 1, (COLUMNS($DU48:EF48)-1)*5 + 1), INDEX($E$8:$CE$57, MATCH($C48, $C$8:$C$57, 0), (COLUMNS($DU48:EF48)-1)*5 + 4) = "SF"), INDEX($CZ$8:$CZ$23, COLUMNS($DU48:EF48)), "0"), "")</f>
        <v/>
      </c>
      <c r="EG48" s="395">
        <f t="array" ref="EG48">IFERROR(IF(AND(INDEX($E$8:$CE$57, MATCH($C48, $C$8:$C$57, 0), (COLUMNS($DU48:EG48)-1)*5 + 1) = INDEX($E$5:$CE$5, 1, (COLUMNS($DU48:EG48)-1)*5 + 1), INDEX($E$8:$CE$57, MATCH($C48, $C$8:$C$57, 0), (COLUMNS($DU48:EG48)-1)*5 + 4) = "SF"), INDEX($CZ$8:$CZ$23, COLUMNS($DU48:EG48)), "0"), "")</f>
        <v/>
      </c>
      <c r="EH48" s="395">
        <f t="array" ref="EH48">IFERROR(IF(AND(INDEX($E$8:$CE$57, MATCH($C48, $C$8:$C$57, 0), (COLUMNS($DU48:EH48)-1)*5 + 1) = INDEX($E$5:$CE$5, 1, (COLUMNS($DU48:EH48)-1)*5 + 1), INDEX($E$8:$CE$57, MATCH($C48, $C$8:$C$57, 0), (COLUMNS($DU48:EH48)-1)*5 + 4) = "SF"), INDEX($CZ$8:$CZ$23, COLUMNS($DU48:EH48)), "0"), "")</f>
        <v/>
      </c>
      <c r="EI48" s="395">
        <f t="array" ref="EI48">IFERROR(IF(AND(INDEX($E$8:$CE$57, MATCH($C48, $C$8:$C$57, 0), (COLUMNS($DU48:EI48)-1)*5 + 1) = INDEX($E$5:$CE$5, 1, (COLUMNS($DU48:EI48)-1)*5 + 1), INDEX($E$8:$CE$57, MATCH($C48, $C$8:$C$57, 0), (COLUMNS($DU48:EI48)-1)*5 + 4) = "SF"), INDEX($CZ$8:$CZ$23, COLUMNS($DU48:EI48)), "0"), "")</f>
        <v/>
      </c>
      <c r="EJ48" s="395">
        <f t="array" ref="EJ48">IFERROR(IF(AND(INDEX($E$8:$CE$57, MATCH($C48, $C$8:$C$57, 0), (COLUMNS($DU48:EJ48)-1)*5 + 1) = INDEX($E$5:$CE$5, 1, (COLUMNS($DU48:EJ48)-1)*5 + 1), INDEX($E$8:$CE$57, MATCH($C48, $C$8:$C$57, 0), (COLUMNS($DU48:EJ48)-1)*5 + 4) = "SF"), INDEX($CZ$8:$CZ$23, COLUMNS($DU48:EJ48)), "0"), "")</f>
        <v/>
      </c>
    </row>
    <row r="49" outlineLevel="1" ht="20.1" customHeight="1" s="568">
      <c r="A49" s="576" t="n"/>
      <c r="B49" s="449">
        <f>IF(SEMANA2[[#This Row],[COD]]&lt;&gt;"",B48+1,"")</f>
        <v/>
      </c>
      <c r="C49" s="622" t="inlineStr">
        <is>
          <t>COD 42</t>
        </is>
      </c>
      <c r="D49" s="415">
        <f t="array" ref="D49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49" s="416" t="n"/>
      <c r="F49" s="418" t="n"/>
      <c r="G49" s="418" t="n"/>
      <c r="H49" s="418" t="n"/>
      <c r="I49" s="602">
        <f>SUM(IF(E49=E$5,4,0),IF(E49&amp;F49=E$5&amp;F$5,1,0),
IF(AND(E49=E$5,F$6&gt;=$D$115),1,0),
IF(AND(F49=E$5,F$6&gt;=$D$115),1,0),
IF(AND(G49=E$5,F$6&gt;=$D$115),1,0),
IF(E49&amp;H49=I$5,1,0),
IF(F49=E$5,2,0),
IF(G49=E$5,1,0),
IF(OR(E49&amp;F49&amp;G49=E$5&amp;F$5&amp;G$5,E49&amp;F49&amp;G49=E$5&amp;G$5&amp;F$5,E49&amp;F49&amp;G49=F$5&amp;E$5&amp;G$5,E49&amp;F49&amp;G49=F$5&amp;G$5&amp;E$5,E49&amp;F49&amp;G49=G$5&amp;E$5&amp;F$5,E49&amp;F49&amp;G49=G$5&amp;F$5&amp;E$5),2,0),IF(AND(E49=E$5,F$6&gt;=$D$129),1,0),IF(AND(F49=E$5,F$6&gt;=$D$129),1,0),IF(AND(G49=E$5,F$6&gt;=$D$129),1,0),IF(E49&amp;H49=H$5,4,0),IF(AND(E49=E$5,F$6&lt;=$D$104),-0.5,0),IF(AND(F49=E$5,F$6&lt;=$D$104),-0.5,0),IF(AND(G49=E$5,F$6&lt;=$D$104),-0.5,0))</f>
        <v/>
      </c>
      <c r="J49" s="416" t="n"/>
      <c r="K49" s="418" t="n"/>
      <c r="L49" s="418" t="n"/>
      <c r="M49" s="418" t="n"/>
      <c r="N49" s="602">
        <f>SUM(IF(J49=J$5,4,0),IF(J49&amp;K49=J$5&amp;K$5,1,0),
IF(AND(J49=J$5,K$6&gt;=$D$115),1,0),
IF(AND(K49=J$5,K$6&gt;=$D$115),1,0),
IF(AND(L49=J$5,K$6&gt;=$D$115),1,0),
IF(J49&amp;M49=N$5,1,0),
IF(K49=J$5,2,0),
IF(L49=J$5,1,0),
IF(OR(J49&amp;K49&amp;L49=J$5&amp;K$5&amp;L$5,J49&amp;K49&amp;L49=J$5&amp;L$5&amp;K$5,J49&amp;K49&amp;L49=K$5&amp;J$5&amp;L$5,J49&amp;K49&amp;L49=K$5&amp;L$5&amp;J$5,J49&amp;K49&amp;L49=L$5&amp;J$5&amp;K$5,J49&amp;K49&amp;L49=L$5&amp;K$5&amp;J$5),2,0),IF(AND(J49=J$5,K$6&gt;=$D$129),1,0),IF(AND(K49=J$5,K$6&gt;=$D$129),1,0),IF(AND(L49=J$5,K$6&gt;=$D$129),1,0),IF(J49&amp;M49=M$5,4,0),IF(AND(J49=J$5,K$6&lt;=$D$104),-0.5,0),IF(AND(K49=J$5,K$6&lt;=$D$104),-0.5,0),IF(AND(L49=J$5,K$6&lt;=$D$104),-0.5,0))</f>
        <v/>
      </c>
      <c r="O49" s="416" t="n"/>
      <c r="P49" s="418" t="n"/>
      <c r="Q49" s="418" t="n"/>
      <c r="R49" s="418" t="n"/>
      <c r="S49" s="602">
        <f>SUM(IF(O49=O$5,4,0),IF(O49&amp;P49=O$5&amp;P$5,1,0),
IF(AND(O49=O$5,P$6&gt;=$D$115),1,0),
IF(AND(P49=O$5,P$6&gt;=$D$115),1,0),
IF(AND(Q49=O$5,P$6&gt;=$D$115),1,0),
IF(O49&amp;R49=S$5,1,0),
IF(P49=O$5,2,0),
IF(Q49=O$5,1,0),
IF(OR(O49&amp;P49&amp;Q49=O$5&amp;P$5&amp;Q$5,O49&amp;P49&amp;Q49=O$5&amp;Q$5&amp;P$5,O49&amp;P49&amp;Q49=P$5&amp;O$5&amp;Q$5,O49&amp;P49&amp;Q49=P$5&amp;Q$5&amp;O$5,O49&amp;P49&amp;Q49=Q$5&amp;O$5&amp;P$5,O49&amp;P49&amp;Q49=Q$5&amp;P$5&amp;O$5),2,0),IF(AND(O49=O$5,P$6&gt;=$D$129),1,0),IF(AND(P49=O$5,P$6&gt;=$D$129),1,0),IF(AND(Q49=O$5,P$6&gt;=$D$129),1,0),IF(O49&amp;R49=R$5,4,0),IF(AND(O49=O$5,P$6&lt;=$D$104),-0.5,0),IF(AND(P49=O$5,P$6&lt;=$D$104),-0.5,0),IF(AND(Q49=O$5,P$6&lt;=$D$104),-0.5,0))</f>
        <v/>
      </c>
      <c r="T49" s="416" t="n"/>
      <c r="U49" s="418" t="n"/>
      <c r="V49" s="418" t="n"/>
      <c r="W49" s="418" t="n"/>
      <c r="X49" s="602">
        <f>SUM(IF(T49=T$5,4,0),IF(T49&amp;U49=T$5&amp;U$5,1,0),
IF(AND(T49=T$5,U$6&gt;=$D$115),1,0),
IF(AND(U49=T$5,U$6&gt;=$D$115),1,0),
IF(AND(V49=T$5,U$6&gt;=$D$115),1,0),
IF(T49&amp;W49=X$5,1,0),
IF(U49=T$5,2,0),
IF(V49=T$5,1,0),
IF(OR(T49&amp;U49&amp;V49=T$5&amp;U$5&amp;V$5,T49&amp;U49&amp;V49=T$5&amp;V$5&amp;U$5,T49&amp;U49&amp;V49=U$5&amp;T$5&amp;V$5,T49&amp;U49&amp;V49=U$5&amp;V$5&amp;T$5,T49&amp;U49&amp;V49=V$5&amp;T$5&amp;U$5,T49&amp;U49&amp;V49=V$5&amp;U$5&amp;T$5),2,0),IF(AND(T49=T$5,U$6&gt;=$D$129),1,0),IF(AND(U49=T$5,U$6&gt;=$D$129),1,0),IF(AND(V49=T$5,U$6&gt;=$D$129),1,0),IF(T49&amp;W49=W$5,4,0),IF(AND(T49=T$5,U$6&lt;=$D$104),-0.5,0),IF(AND(U49=T$5,U$6&lt;=$D$104),-0.5,0),IF(AND(V49=T$5,U$6&lt;=$D$104),-0.5,0))</f>
        <v/>
      </c>
      <c r="Y49" s="416" t="n"/>
      <c r="Z49" s="418" t="n"/>
      <c r="AA49" s="418" t="n"/>
      <c r="AB49" s="418" t="n"/>
      <c r="AC49" s="602">
        <f>SUM(IF(Y49=Y$5,4,0),IF(Y49&amp;Z49=Y$5&amp;Z$5,1,0),
IF(AND(Y49=Y$5,Z$6&gt;=$D$115),1,0),
IF(AND(Z49=Y$5,Z$6&gt;=$D$115),1,0),
IF(AND(AA49=Y$5,Z$6&gt;=$D$115),1,0),
IF(Y49&amp;AB49=AC$5,1,0),
IF(Z49=Y$5,2,0),
IF(AA49=Y$5,1,0),
IF(OR(Y49&amp;Z49&amp;AA49=Y$5&amp;Z$5&amp;AA$5,Y49&amp;Z49&amp;AA49=Y$5&amp;AA$5&amp;Z$5,Y49&amp;Z49&amp;AA49=Z$5&amp;Y$5&amp;AA$5,Y49&amp;Z49&amp;AA49=Z$5&amp;AA$5&amp;Y$5,Y49&amp;Z49&amp;AA49=AA$5&amp;Y$5&amp;Z$5,Y49&amp;Z49&amp;AA49=AA$5&amp;Z$5&amp;Y$5),2,0),IF(AND(Y49=Y$5,Z$6&gt;=$D$129),1,0),IF(AND(Z49=Y$5,Z$6&gt;=$D$129),1,0),IF(AND(AA49=Y$5,Z$6&gt;=$D$129),1,0),IF(Y49&amp;AB49=AB$5,4,0),IF(AND(Y49=Y$5,Z$6&lt;=$D$104),-0.5,0),IF(AND(Z49=Y$5,Z$6&lt;=$D$104),-0.5,0),IF(AND(AA49=Y$5,Z$6&lt;=$D$104),-0.5,0))</f>
        <v/>
      </c>
      <c r="AD49" s="416" t="n"/>
      <c r="AE49" s="418" t="n"/>
      <c r="AF49" s="418" t="n"/>
      <c r="AG49" s="418" t="n"/>
      <c r="AH49" s="602">
        <f>SUM(IF(AD49=AD$5,4,0),IF(AD49&amp;AE49=AD$5&amp;AE$5,1,0),
IF(AND(AD49=AD$5,AE$6&gt;=$D$115),1,0),
IF(AND(AE49=AD$5,AE$6&gt;=$D$115),1,0),
IF(AND(AF49=AD$5,AE$6&gt;=$D$115),1,0),
IF(AD49&amp;AG49=AH$5,1,0),
IF(AE49=AD$5,2,0),
IF(AF49=AD$5,1,0),
IF(OR(AD49&amp;AE49&amp;AF49=AD$5&amp;AE$5&amp;AF$5,AD49&amp;AE49&amp;AF49=AD$5&amp;AF$5&amp;AE$5,AD49&amp;AE49&amp;AF49=AE$5&amp;AD$5&amp;AF$5,AD49&amp;AE49&amp;AF49=AE$5&amp;AF$5&amp;AD$5,AD49&amp;AE49&amp;AF49=AF$5&amp;AD$5&amp;AE$5,AD49&amp;AE49&amp;AF49=AF$5&amp;AE$5&amp;AD$5),2,0),IF(AND(AD49=AD$5,AE$6&gt;=$D$129),1,0),IF(AND(AE49=AD$5,AE$6&gt;=$D$129),1,0),IF(AND(AF49=AD$5,AE$6&gt;=$D$129),1,0),IF(AD49&amp;AG49=AG$5,4,0),IF(AND(AD49=AD$5,AE$6&lt;=$D$104),-0.5,0),IF(AND(AE49=AD$5,AE$6&lt;=$D$104),-0.5,0),IF(AND(AF49=AD$5,AE$6&lt;=$D$104),-0.5,0))</f>
        <v/>
      </c>
      <c r="AI49" s="416" t="n"/>
      <c r="AJ49" s="418" t="n"/>
      <c r="AK49" s="418" t="n"/>
      <c r="AL49" s="418" t="n"/>
      <c r="AM49" s="602">
        <f>SUM(IF(AI49=AI$5,4,0),IF(AI49&amp;AJ49=AI$5&amp;AJ$5,1,0),
IF(AND(AI49=AI$5,AJ$6&gt;=$D$115),1,0),
IF(AND(AJ49=AI$5,AJ$6&gt;=$D$115),1,0),
IF(AND(AK49=AI$5,AJ$6&gt;=$D$115),1,0),
IF(AI49&amp;AL49=AM$5,1,0),
IF(AJ49=AI$5,2,0),
IF(AK49=AI$5,1,0),
IF(OR(AI49&amp;AJ49&amp;AK49=AI$5&amp;AJ$5&amp;AK$5,AI49&amp;AJ49&amp;AK49=AI$5&amp;AK$5&amp;AJ$5,AI49&amp;AJ49&amp;AK49=AJ$5&amp;AI$5&amp;AK$5,AI49&amp;AJ49&amp;AK49=AJ$5&amp;AK$5&amp;AI$5,AI49&amp;AJ49&amp;AK49=AK$5&amp;AI$5&amp;AJ$5,AI49&amp;AJ49&amp;AK49=AK$5&amp;AJ$5&amp;AI$5),2,0),IF(AND(AI49=AI$5,AJ$6&gt;=$D$129),1,0),IF(AND(AJ49=AI$5,AJ$6&gt;=$D$129),1,0),IF(AND(AK49=AI$5,AJ$6&gt;=$D$129),1,0),IF(AI49&amp;AL49=AL$5,4,0),IF(AND(AI49=AI$5,AJ$6&lt;=$D$104),-0.5,0),IF(AND(AJ49=AI$5,AJ$6&lt;=$D$104),-0.5,0),IF(AND(AK49=AI$5,AJ$6&lt;=$D$104),-0.5,0))</f>
        <v/>
      </c>
      <c r="AN49" s="416" t="n"/>
      <c r="AO49" s="418" t="n"/>
      <c r="AP49" s="418" t="n"/>
      <c r="AQ49" s="418" t="n"/>
      <c r="AR49" s="602">
        <f>SUM(IF(AN49=AN$5,4,0),IF(AN49&amp;AO49=AN$5&amp;AO$5,1,0),
IF(AND(AN49=AN$5,AO$6&gt;=$D$115),1,0),
IF(AND(AO49=AN$5,AO$6&gt;=$D$115),1,0),
IF(AND(AP49=AN$5,AO$6&gt;=$D$115),1,0),
IF(AN49&amp;AQ49=AR$5,1,0),
IF(AO49=AN$5,2,0),
IF(AP49=AN$5,1,0),
IF(OR(AN49&amp;AO49&amp;AP49=AN$5&amp;AO$5&amp;AP$5,AN49&amp;AO49&amp;AP49=AN$5&amp;AP$5&amp;AO$5,AN49&amp;AO49&amp;AP49=AO$5&amp;AN$5&amp;AP$5,AN49&amp;AO49&amp;AP49=AO$5&amp;AP$5&amp;AN$5,AN49&amp;AO49&amp;AP49=AP$5&amp;AN$5&amp;AO$5,AN49&amp;AO49&amp;AP49=AP$5&amp;AO$5&amp;AN$5),2,0),IF(AND(AN49=AN$5,AO$6&gt;=$D$129),1,0),IF(AND(AO49=AN$5,AO$6&gt;=$D$129),1,0),IF(AND(AP49=AN$5,AO$6&gt;=$D$129),1,0),IF(AN49&amp;AQ49=AQ$5,4,0),IF(AND(AN49=AN$5,AO$6&lt;=$D$104),-0.5,0),IF(AND(AO49=AN$5,AO$6&lt;=$D$104),-0.5,0),IF(AND(AP49=AN$5,AO$6&lt;=$D$104),-0.5,0))</f>
        <v/>
      </c>
      <c r="AS49" s="416" t="n"/>
      <c r="AT49" s="418" t="n"/>
      <c r="AU49" s="418" t="n"/>
      <c r="AV49" s="418" t="n"/>
      <c r="AW49" s="602">
        <f>SUM(IF(AS49=AS$5,4,0),IF(AS49&amp;AT49=AS$5&amp;AT$5,1,0),
IF(AND(AS49=AS$5,AT$6&gt;=$D$115),1,0),
IF(AND(AT49=AS$5,AT$6&gt;=$D$115),1,0),
IF(AND(AU49=AS$5,AT$6&gt;=$D$115),1,0),
IF(AS49&amp;AV49=AW$5,1,0),
IF(AT49=AS$5,2,0),
IF(AU49=AS$5,1,0),
IF(OR(AS49&amp;AT49&amp;AU49=AS$5&amp;AT$5&amp;AU$5,AS49&amp;AT49&amp;AU49=AS$5&amp;AU$5&amp;AT$5,AS49&amp;AT49&amp;AU49=AT$5&amp;AS$5&amp;AU$5,AS49&amp;AT49&amp;AU49=AT$5&amp;AU$5&amp;AS$5,AS49&amp;AT49&amp;AU49=AU$5&amp;AS$5&amp;AT$5,AS49&amp;AT49&amp;AU49=AU$5&amp;AT$5&amp;AS$5),2,0),IF(AND(AS49=AS$5,AT$6&gt;=$D$129),1,0),IF(AND(AT49=AS$5,AT$6&gt;=$D$129),1,0),IF(AND(AU49=AS$5,AT$6&gt;=$D$129),1,0),IF(AS49&amp;AV49=AV$5,4,0),IF(AND(AS49=AS$5,AT$6&lt;=$D$104),-0.5,0),IF(AND(AT49=AS$5,AT$6&lt;=$D$104),-0.5,0),IF(AND(AU49=AS$5,AT$6&lt;=$D$104),-0.5,0))</f>
        <v/>
      </c>
      <c r="AX49" s="416" t="n"/>
      <c r="AY49" s="418" t="n"/>
      <c r="AZ49" s="418" t="n"/>
      <c r="BA49" s="418" t="n"/>
      <c r="BB49" s="602">
        <f>SUM(IF(AX49=AX$5,4,0),IF(AX49&amp;AY49=AX$5&amp;AY$5,1,0),
IF(AND(AX49=AX$5,AY$6&gt;=$D$115),1,0),
IF(AND(AY49=AX$5,AY$6&gt;=$D$115),1,0),
IF(AND(AZ49=AX$5,AY$6&gt;=$D$115),1,0),
IF(AX49&amp;BA49=BB$5,1,0),
IF(AY49=AX$5,2,0),
IF(AZ49=AX$5,1,0),
IF(OR(AX49&amp;AY49&amp;AZ49=AX$5&amp;AY$5&amp;AZ$5,AX49&amp;AY49&amp;AZ49=AX$5&amp;AZ$5&amp;AY$5,AX49&amp;AY49&amp;AZ49=AY$5&amp;AX$5&amp;AZ$5,AX49&amp;AY49&amp;AZ49=AY$5&amp;AZ$5&amp;AX$5,AX49&amp;AY49&amp;AZ49=AZ$5&amp;AX$5&amp;AY$5,AX49&amp;AY49&amp;AZ49=AZ$5&amp;AY$5&amp;AX$5),2,0),IF(AND(AX49=AX$5,AY$6&gt;=$D$129),1,0),IF(AND(AY49=AX$5,AY$6&gt;=$D$129),1,0),IF(AND(AZ49=AX$5,AY$6&gt;=$D$129),1,0),IF(AX49&amp;BA49=BA$5,4,0),IF(AND(AX49=AX$5,AY$6&lt;=$D$104),-0.5,0),IF(AND(AY49=AX$5,AY$6&lt;=$D$104),-0.5,0),IF(AND(AZ49=AX$5,AY$6&lt;=$D$104),-0.5,0))</f>
        <v/>
      </c>
      <c r="BC49" s="416" t="n"/>
      <c r="BD49" s="418" t="n"/>
      <c r="BE49" s="418" t="n"/>
      <c r="BF49" s="418" t="n"/>
      <c r="BG49" s="602">
        <f>SUM(IF(BC49=BC$5,4,0),IF(BC49&amp;BD49=BC$5&amp;BD$5,1,0),
IF(AND(BC49=BC$5,BD$6&gt;=$D$115),1,0),
IF(AND(BD49=BC$5,BD$6&gt;=$D$115),1,0),
IF(AND(BE49=BC$5,BD$6&gt;=$D$115),1,0),
IF(BC49&amp;BF49=BG$5,1,0),
IF(BD49=BC$5,2,0),
IF(BE49=BC$5,1,0),
IF(OR(BC49&amp;BD49&amp;BE49=BC$5&amp;BD$5&amp;BE$5,BC49&amp;BD49&amp;BE49=BC$5&amp;BE$5&amp;BD$5,BC49&amp;BD49&amp;BE49=BD$5&amp;BC$5&amp;BE$5,BC49&amp;BD49&amp;BE49=BD$5&amp;BE$5&amp;BC$5,BC49&amp;BD49&amp;BE49=BE$5&amp;BC$5&amp;BD$5,BC49&amp;BD49&amp;BE49=BE$5&amp;BD$5&amp;BC$5),2,0),IF(AND(BC49=BC$5,BD$6&gt;=$D$129),1,0),IF(AND(BD49=BC$5,BD$6&gt;=$D$129),1,0),IF(AND(BE49=BC$5,BD$6&gt;=$D$129),1,0),IF(BC49&amp;BF49=BF$5,4,0),IF(AND(BC49=BC$5,BD$6&lt;=$D$104),-0.5,0),IF(AND(BD49=BC$5,BD$6&lt;=$D$104),-0.5,0),IF(AND(BE49=BC$5,BD$6&lt;=$D$104),-0.5,0))</f>
        <v/>
      </c>
      <c r="BH49" s="416" t="n"/>
      <c r="BI49" s="418" t="n"/>
      <c r="BJ49" s="418" t="n"/>
      <c r="BK49" s="418" t="n"/>
      <c r="BL49" s="602">
        <f>SUM(IF(BH49=BH$5,4,0),IF(BH49&amp;BI49=BH$5&amp;BI$5,1,0),
IF(AND(BH49=BH$5,BI$6&gt;=$D$115),1,0),
IF(AND(BI49=BH$5,BI$6&gt;=$D$115),1,0),
IF(AND(BJ49=BH$5,BI$6&gt;=$D$115),1,0),
IF(BH49&amp;BK49=BL$5,1,0),
IF(BI49=BH$5,2,0),
IF(BJ49=BH$5,1,0),
IF(OR(BH49&amp;BI49&amp;BJ49=BH$5&amp;BI$5&amp;BJ$5,BH49&amp;BI49&amp;BJ49=BH$5&amp;BJ$5&amp;BI$5,BH49&amp;BI49&amp;BJ49=BI$5&amp;BH$5&amp;BJ$5,BH49&amp;BI49&amp;BJ49=BI$5&amp;BJ$5&amp;BH$5,BH49&amp;BI49&amp;BJ49=BJ$5&amp;BH$5&amp;BI$5,BH49&amp;BI49&amp;BJ49=BJ$5&amp;BI$5&amp;BH$5),2,0),IF(AND(BH49=BH$5,BI$6&gt;=$D$129),1,0),IF(AND(BI49=BH$5,BI$6&gt;=$D$129),1,0),IF(AND(BJ49=BH$5,BI$6&gt;=$D$129),1,0),IF(BH49&amp;BK49=BK$5,4,0),IF(AND(BH49=BH$5,BI$6&lt;=$D$104),-0.5,0),IF(AND(BI49=BH$5,BI$6&lt;=$D$104),-0.5,0),IF(AND(BJ49=BH$5,BI$6&lt;=$D$104),-0.5,0))</f>
        <v/>
      </c>
      <c r="BM49" s="416" t="n"/>
      <c r="BN49" s="418" t="n"/>
      <c r="BO49" s="418" t="n"/>
      <c r="BP49" s="418" t="n"/>
      <c r="BQ49" s="602">
        <f>SUM(IF(BM49=BM$5,4,0),IF(BM49&amp;BN49=BM$5&amp;BN$5,1,0),
IF(AND(BM49=BM$5,BN$6&gt;=$D$115),1,0),
IF(AND(BN49=BM$5,BN$6&gt;=$D$115),1,0),
IF(AND(BO49=BM$5,BN$6&gt;=$D$115),1,0),
IF(BM49&amp;BP49=BQ$5,1,0),
IF(BN49=BM$5,2,0),
IF(BO49=BM$5,1,0),
IF(OR(BM49&amp;BN49&amp;BO49=BM$5&amp;BN$5&amp;BO$5,BM49&amp;BN49&amp;BO49=BM$5&amp;BO$5&amp;BN$5,BM49&amp;BN49&amp;BO49=BN$5&amp;BM$5&amp;BO$5,BM49&amp;BN49&amp;BO49=BN$5&amp;BO$5&amp;BM$5,BM49&amp;BN49&amp;BO49=BO$5&amp;BM$5&amp;BN$5,BM49&amp;BN49&amp;BO49=BO$5&amp;BN$5&amp;BM$5),2,0),IF(AND(BM49=BM$5,BN$6&gt;=$D$129),1,0),IF(AND(BN49=BM$5,BN$6&gt;=$D$129),1,0),IF(AND(BO49=BM$5,BN$6&gt;=$D$129),1,0),IF(BM49&amp;BP49=BP$5,4,0),IF(AND(BM49=BM$5,BN$6&lt;=$D$104),-0.5,0),IF(AND(BN49=BM$5,BN$6&lt;=$D$104),-0.5,0),IF(AND(BO49=BM$5,BN$6&lt;=$D$104),-0.5,0))</f>
        <v/>
      </c>
      <c r="BR49" s="416" t="n"/>
      <c r="BS49" s="418" t="n"/>
      <c r="BT49" s="418" t="n"/>
      <c r="BU49" s="418" t="n"/>
      <c r="BV49" s="602">
        <f>SUM(IF(BR49=BR$5,4,0),IF(BR49&amp;BS49=BR$5&amp;BS$5,1,0),
IF(AND(BR49=BR$5,BS$6&gt;=$D$115),1,0),
IF(AND(BS49=BR$5,BS$6&gt;=$D$115),1,0),
IF(AND(BT49=BR$5,BS$6&gt;=$D$115),1,0),
IF(BR49&amp;BU49=BV$5,1,0),
IF(BS49=BR$5,2,0),
IF(BT49=BR$5,1,0),
IF(OR(BR49&amp;BS49&amp;BT49=BR$5&amp;BS$5&amp;BT$5,BR49&amp;BS49&amp;BT49=BR$5&amp;BT$5&amp;BS$5,BR49&amp;BS49&amp;BT49=BS$5&amp;BR$5&amp;BT$5,BR49&amp;BS49&amp;BT49=BS$5&amp;BT$5&amp;BR$5,BR49&amp;BS49&amp;BT49=BT$5&amp;BR$5&amp;BS$5,BR49&amp;BS49&amp;BT49=BT$5&amp;BS$5&amp;BR$5),2,0),IF(AND(BR49=BR$5,BS$6&gt;=$D$129),1,0),IF(AND(BS49=BR$5,BS$6&gt;=$D$129),1,0),IF(AND(BT49=BR$5,BS$6&gt;=$D$129),1,0),IF(BR49&amp;BU49=BU$5,4,0),IF(AND(BR49=BR$5,BS$6&lt;=$D$104),-0.5,0),IF(AND(BS49=BR$5,BS$6&lt;=$D$104),-0.5,0),IF(AND(BT49=BR$5,BS$6&lt;=$D$104),-0.5,0))</f>
        <v/>
      </c>
      <c r="BW49" s="416" t="n"/>
      <c r="BX49" s="418" t="n"/>
      <c r="BY49" s="418" t="n"/>
      <c r="BZ49" s="418" t="n"/>
      <c r="CA49" s="602">
        <f>SUM(IF(BW49=BW$5,4,0),IF(BW49&amp;BX49=BW$5&amp;BX$5,1,0),
IF(AND(BW49=BW$5,BX$6&gt;=$D$115),1,0),
IF(AND(BX49=BW$5,BX$6&gt;=$D$115),1,0),
IF(AND(BY49=BW$5,BX$6&gt;=$D$115),1,0),
IF(BW49&amp;BZ49=CA$5,1,0),
IF(BX49=BW$5,2,0),
IF(BY49=BW$5,1,0),
IF(OR(BW49&amp;BX49&amp;BY49=BW$5&amp;BX$5&amp;BY$5,BW49&amp;BX49&amp;BY49=BW$5&amp;BY$5&amp;BX$5,BW49&amp;BX49&amp;BY49=BX$5&amp;BW$5&amp;BY$5,BW49&amp;BX49&amp;BY49=BX$5&amp;BY$5&amp;BW$5,BW49&amp;BX49&amp;BY49=BY$5&amp;BW$5&amp;BX$5,BW49&amp;BX49&amp;BY49=BY$5&amp;BX$5&amp;BW$5),2,0),IF(AND(BW49=BW$5,BX$6&gt;=$D$129),1,0),IF(AND(BX49=BW$5,BX$6&gt;=$D$129),1,0),IF(AND(BY49=BW$5,BX$6&gt;=$D$129),1,0),IF(BW49&amp;BZ49=BZ$5,4,0),IF(AND(BW49=BW$5,BX$6&lt;=$D$104),-0.5,0),IF(AND(BX49=BW$5,BX$6&lt;=$D$104),-0.5,0),IF(AND(BY49=BW$5,BX$6&lt;=$D$104),-0.5,0))</f>
        <v/>
      </c>
      <c r="CB49" s="416" t="n"/>
      <c r="CC49" s="418" t="n"/>
      <c r="CD49" s="418" t="n"/>
      <c r="CE49" s="418" t="n"/>
      <c r="CF49" s="602">
        <f>SUM(IF(CB49=CB$5,4,0),IF(CB49&amp;CC49=CB$5&amp;CC$5,1,0),
IF(AND(CB49=CB$5,CC$6&gt;=$D$115),1,0),
IF(AND(CC49=CB$5,CC$6&gt;=$D$115),1,0),
IF(AND(CD49=CB$5,CC$6&gt;=$D$115),1,0),
IF(CB49&amp;CE49=CF$5,1,0),
IF(CC49=CB$5,2,0),
IF(CD49=CB$5,1,0),
IF(OR(CB49&amp;CC49&amp;CD49=CB$5&amp;CC$5&amp;CD$5,CB49&amp;CC49&amp;CD49=CB$5&amp;CD$5&amp;CC$5,CB49&amp;CC49&amp;CD49=CC$5&amp;CB$5&amp;CD$5,CB49&amp;CC49&amp;CD49=CC$5&amp;CD$5&amp;CB$5,CB49&amp;CC49&amp;CD49=CD$5&amp;CB$5&amp;CC$5,CB49&amp;CC49&amp;CD49=CD$5&amp;CC$5&amp;CB$5),2,0),IF(AND(CB49=CB$5,CC$6&gt;=$D$129),1,0),IF(AND(CC49=CB$5,CC$6&gt;=$D$129),1,0),IF(AND(CD49=CB$5,CC$6&gt;=$D$129),1,0),IF(CB49&amp;CE49=CE$5,4,0),IF(AND(CB49=CB$5,CC$6&lt;=$D$104),-0.5,0),IF(AND(CC49=CB$5,CC$6&lt;=$D$104),-0.5,0),IF(AND(CD49=CB$5,CC$6&lt;=$D$104),-0.5,0))</f>
        <v/>
      </c>
      <c r="CG49" s="164">
        <f>IF(SEMANA2[[#This Row],[1]]="",0,$B$4)</f>
        <v/>
      </c>
      <c r="CH49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49" s="189">
        <f>IF(SEMANA2[[#This Row],[Columna14]]=0,0,(CH49/CG49))</f>
        <v/>
      </c>
      <c r="CJ49" s="165">
        <f>IF(SEMANA2[[#This Row],[1]]="",0,$B$4)</f>
        <v/>
      </c>
      <c r="CK49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49" s="189">
        <f>IF(SEMANA2[[#This Row],[Columna14]]=0,0,(CK49/CJ49))</f>
        <v/>
      </c>
      <c r="CM49" s="164">
        <f>IF(SEMANA2[[#This Row],[1]]="",0,$B$4)</f>
        <v/>
      </c>
      <c r="CN49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49" s="189">
        <f>IF(SEMANA2[[#This Row],[Columna14]]=0,0,(CN49/CM49))</f>
        <v/>
      </c>
      <c r="CP49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49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Row],[Columna25]],$AX$5,BA49,"SF")+COUNTIFS(SEMANA2[[#This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49" s="189">
        <f>IFERROR(IF(SEMANA2[[#This Row],[Columna14]]=0,0,(CQ49/CP49)),0)</f>
        <v/>
      </c>
      <c r="CS49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49" s="95">
        <f>_xlfn.XLOOKUP(SEMANA2[[#This Row],[COD]],BASE01[COD],BASE01[Columna33])</f>
        <v/>
      </c>
      <c r="CU49" s="604">
        <f>SUM(CS49,CT49)</f>
        <v/>
      </c>
      <c r="CV49" s="450">
        <f>IF(SEMANA2[[#This Row],[TIPO]]="PREMIO",$O$3,"0,00")</f>
        <v/>
      </c>
      <c r="CW49" s="576" t="n"/>
      <c r="CY49" s="392">
        <f>IF(CZ49="","",$CZ$25)</f>
        <v/>
      </c>
      <c r="CZ49" s="392" t="n"/>
      <c r="DA49" s="392">
        <f t="array" ref="DA49">IF(CZ49="", "", IF((INDEX(E$8:CE$57, MATCH(CZ49, C$8:C$57, 0), ($CZ$25-1)*5 + 1) &amp; "") = (INDEX(E$5:CE$5, 1, ($CZ$25-1)*5 + 1) &amp; ""), 1, IF((INDEX(E$8:CE$57, MATCH(CZ49, C$8:C$57, 0), ($CZ$25-1)*5 + 2) &amp; "") = (INDEX(E$5:CE$5, 1, ($CZ$25-1)*5 + 1) &amp; ""), 2, IF((INDEX(E$8:CE$57, MATCH(CZ49, C$8:C$57, 0), ($CZ$25-1)*5 + 3) &amp; "") = (INDEX(E$5:CE$5, 1, ($CZ$25-1)*5 + 1) &amp; ""), 3, ""))))</f>
        <v/>
      </c>
      <c r="DB49" s="605">
        <f>SEMANA2[[#This Row],[COD]]</f>
        <v/>
      </c>
      <c r="DC49" s="395">
        <f t="array" ref="DC49">IFERROR(IF(AND(INDEX($E$8:$CE$57, MATCH($C49, $C$8:$C$57, 0), (COLUMNS($DC49:DC49)-1)*5 + 1) = INDEX($E$5:$CE$5, 1, (COLUMNS($DC49:DC49)-1)*5 + 1), INDEX($E$8:$CE$57, MATCH($C49, $C$8:$C$57, 0), (COLUMNS($DC49:DC49)-1)*5 + 4) = "F"), INDEX($CZ$8:$CZ$23, COLUMNS($DC49:DC49)), "0"), "")</f>
        <v/>
      </c>
      <c r="DD49" s="395">
        <f t="array" ref="DD49">IFERROR(IF(AND(INDEX($E$8:$CE$57, MATCH($C49, $C$8:$C$57, 0), (COLUMNS($DC49:DD49)-1)*5 + 1) = INDEX($E$5:$CE$5, 1, (COLUMNS($DC49:DD49)-1)*5 + 1), INDEX($E$8:$CE$57, MATCH($C49, $C$8:$C$57, 0), (COLUMNS($DC49:DD49)-1)*5 + 4) = "F"), INDEX($CZ$8:$CZ$23, COLUMNS($DC49:DD49)), "0"), "")</f>
        <v/>
      </c>
      <c r="DE49" s="395">
        <f t="array" ref="DE49">IFERROR(IF(AND(INDEX($E$8:$CE$57, MATCH($C49, $C$8:$C$57, 0), (COLUMNS($DC49:DE49)-1)*5 + 1) = INDEX($E$5:$CE$5, 1, (COLUMNS($DC49:DE49)-1)*5 + 1), INDEX($E$8:$CE$57, MATCH($C49, $C$8:$C$57, 0), (COLUMNS($DC49:DE49)-1)*5 + 4) = "F"), INDEX($CZ$8:$CZ$23, COLUMNS($DC49:DE49)), "0"), "")</f>
        <v/>
      </c>
      <c r="DF49" s="395">
        <f t="array" ref="DF49">IFERROR(IF(AND(INDEX($E$8:$CE$57, MATCH($C49, $C$8:$C$57, 0), (COLUMNS($DC49:DF49)-1)*5 + 1) = INDEX($E$5:$CE$5, 1, (COLUMNS($DC49:DF49)-1)*5 + 1), INDEX($E$8:$CE$57, MATCH($C49, $C$8:$C$57, 0), (COLUMNS($DC49:DF49)-1)*5 + 4) = "F"), INDEX($CZ$8:$CZ$23, COLUMNS($DC49:DF49)), "0"), "")</f>
        <v/>
      </c>
      <c r="DG49" s="395">
        <f t="array" ref="DG49">IFERROR(IF(AND(INDEX($E$8:$CE$57, MATCH($C49, $C$8:$C$57, 0), (COLUMNS($DC49:DG49)-1)*5 + 1) = INDEX($E$5:$CE$5, 1, (COLUMNS($DC49:DG49)-1)*5 + 1), INDEX($E$8:$CE$57, MATCH($C49, $C$8:$C$57, 0), (COLUMNS($DC49:DG49)-1)*5 + 4) = "F"), INDEX($CZ$8:$CZ$23, COLUMNS($DC49:DG49)), "0"), "")</f>
        <v/>
      </c>
      <c r="DH49" s="395">
        <f t="array" ref="DH49">IFERROR(IF(AND(INDEX($E$8:$CE$57, MATCH($C49, $C$8:$C$57, 0), (COLUMNS($DC49:DH49)-1)*5 + 1) = INDEX($E$5:$CE$5, 1, (COLUMNS($DC49:DH49)-1)*5 + 1), INDEX($E$8:$CE$57, MATCH($C49, $C$8:$C$57, 0), (COLUMNS($DC49:DH49)-1)*5 + 4) = "F"), INDEX($CZ$8:$CZ$23, COLUMNS($DC49:DH49)), "0"), "")</f>
        <v/>
      </c>
      <c r="DI49" s="395">
        <f t="array" ref="DI49">IFERROR(IF(AND(INDEX($E$8:$CE$57, MATCH($C49, $C$8:$C$57, 0), (COLUMNS($DC49:DI49)-1)*5 + 1) = INDEX($E$5:$CE$5, 1, (COLUMNS($DC49:DI49)-1)*5 + 1), INDEX($E$8:$CE$57, MATCH($C49, $C$8:$C$57, 0), (COLUMNS($DC49:DI49)-1)*5 + 4) = "F"), INDEX($CZ$8:$CZ$23, COLUMNS($DC49:DI49)), "0"), "")</f>
        <v/>
      </c>
      <c r="DJ49" s="395">
        <f t="array" ref="DJ49">IFERROR(IF(AND(INDEX($E$8:$CE$57, MATCH($C49, $C$8:$C$57, 0), (COLUMNS($DC49:DJ49)-1)*5 + 1) = INDEX($E$5:$CE$5, 1, (COLUMNS($DC49:DJ49)-1)*5 + 1), INDEX($E$8:$CE$57, MATCH($C49, $C$8:$C$57, 0), (COLUMNS($DC49:DJ49)-1)*5 + 4) = "F"), INDEX($CZ$8:$CZ$23, COLUMNS($DC49:DJ49)), "0"), "")</f>
        <v/>
      </c>
      <c r="DK49" s="395">
        <f t="array" ref="DK49">IFERROR(IF(AND(INDEX($E$8:$CE$57, MATCH($C49, $C$8:$C$57, 0), (COLUMNS($DC49:DK49)-1)*5 + 1) = INDEX($E$5:$CE$5, 1, (COLUMNS($DC49:DK49)-1)*5 + 1), INDEX($E$8:$CE$57, MATCH($C49, $C$8:$C$57, 0), (COLUMNS($DC49:DK49)-1)*5 + 4) = "F"), INDEX($CZ$8:$CZ$23, COLUMNS($DC49:DK49)), "0"), "")</f>
        <v/>
      </c>
      <c r="DL49" s="395">
        <f t="array" ref="DL49">IFERROR(IF(AND(INDEX($E$8:$CE$57, MATCH($C49, $C$8:$C$57, 0), (COLUMNS($DC49:DL49)-1)*5 + 1) = INDEX($E$5:$CE$5, 1, (COLUMNS($DC49:DL49)-1)*5 + 1), INDEX($E$8:$CE$57, MATCH($C49, $C$8:$C$57, 0), (COLUMNS($DC49:DL49)-1)*5 + 4) = "F"), INDEX($CZ$8:$CZ$23, COLUMNS($DC49:DL49)), "0"), "")</f>
        <v/>
      </c>
      <c r="DM49" s="395">
        <f t="array" ref="DM49">IFERROR(IF(AND(INDEX($E$8:$CE$57, MATCH($C49, $C$8:$C$57, 0), (COLUMNS($DC49:DM49)-1)*5 + 1) = INDEX($E$5:$CE$5, 1, (COLUMNS($DC49:DM49)-1)*5 + 1), INDEX($E$8:$CE$57, MATCH($C49, $C$8:$C$57, 0), (COLUMNS($DC49:DM49)-1)*5 + 4) = "F"), INDEX($CZ$8:$CZ$23, COLUMNS($DC49:DM49)), "0"), "")</f>
        <v/>
      </c>
      <c r="DN49" s="395">
        <f t="array" ref="DN49">IFERROR(IF(AND(INDEX($E$8:$CE$57, MATCH($C49, $C$8:$C$57, 0), (COLUMNS($DC49:DN49)-1)*5 + 1) = INDEX($E$5:$CE$5, 1, (COLUMNS($DC49:DN49)-1)*5 + 1), INDEX($E$8:$CE$57, MATCH($C49, $C$8:$C$57, 0), (COLUMNS($DC49:DN49)-1)*5 + 4) = "F"), INDEX($CZ$8:$CZ$23, COLUMNS($DC49:DN49)), "0"), "")</f>
        <v/>
      </c>
      <c r="DO49" s="395">
        <f t="array" ref="DO49">IFERROR(IF(AND(INDEX($E$8:$CE$57, MATCH($C49, $C$8:$C$57, 0), (COLUMNS($DC49:DO49)-1)*5 + 1) = INDEX($E$5:$CE$5, 1, (COLUMNS($DC49:DO49)-1)*5 + 1), INDEX($E$8:$CE$57, MATCH($C49, $C$8:$C$57, 0), (COLUMNS($DC49:DO49)-1)*5 + 4) = "F"), INDEX($CZ$8:$CZ$23, COLUMNS($DC49:DO49)), "0"), "")</f>
        <v/>
      </c>
      <c r="DP49" s="395">
        <f t="array" ref="DP49">IFERROR(IF(AND(INDEX($E$8:$CE$57, MATCH($C49, $C$8:$C$57, 0), (COLUMNS($DC49:DP49)-1)*5 + 1) = INDEX($E$5:$CE$5, 1, (COLUMNS($DC49:DP49)-1)*5 + 1), INDEX($E$8:$CE$57, MATCH($C49, $C$8:$C$57, 0), (COLUMNS($DC49:DP49)-1)*5 + 4) = "F"), INDEX($CZ$8:$CZ$23, COLUMNS($DC49:DP49)), "0"), "")</f>
        <v/>
      </c>
      <c r="DQ49" s="395">
        <f t="array" ref="DQ49">IFERROR(IF(AND(INDEX($E$8:$CE$57, MATCH($C49, $C$8:$C$57, 0), (COLUMNS($DC49:DQ49)-1)*5 + 1) = INDEX($E$5:$CE$5, 1, (COLUMNS($DC49:DQ49)-1)*5 + 1), INDEX($E$8:$CE$57, MATCH($C49, $C$8:$C$57, 0), (COLUMNS($DC49:DQ49)-1)*5 + 4) = "F"), INDEX($CZ$8:$CZ$23, COLUMNS($DC49:DQ49)), "0"), "")</f>
        <v/>
      </c>
      <c r="DR49" s="395">
        <f t="array" ref="DR49">IFERROR(IF(AND(INDEX($E$8:$CE$57, MATCH($C49, $C$8:$C$57, 0), (COLUMNS($DC49:DR49)-1)*5 + 1) = INDEX($E$5:$CE$5, 1, (COLUMNS($DC49:DR49)-1)*5 + 1), INDEX($E$8:$CE$57, MATCH($C49, $C$8:$C$57, 0), (COLUMNS($DC49:DR49)-1)*5 + 4) = "F"), INDEX($CZ$8:$CZ$23, COLUMNS($DC49:DR49)), "0"), "")</f>
        <v/>
      </c>
      <c r="DT49" s="605">
        <f>SEMANA2[[#This Row],[COD]]</f>
        <v/>
      </c>
      <c r="DU49" s="395">
        <f t="array" ref="DU49">IFERROR(IF(AND(INDEX($E$8:$CE$57, MATCH($C49, $C$8:$C$57, 0), (COLUMNS($DU49:DU49)-1)*5 + 1) = INDEX($E$5:$CE$5, 1, (COLUMNS($DU49:DU49)-1)*5 + 1), INDEX($E$8:$CE$57, MATCH($C49, $C$8:$C$57, 0), (COLUMNS($DU49:DU49)-1)*5 + 4) = "SF"), INDEX($CZ$8:$CZ$23, COLUMNS($DU49:DU49)), "0"), "")</f>
        <v/>
      </c>
      <c r="DV49" s="395">
        <f t="array" ref="DV49">IFERROR(IF(AND(INDEX($E$8:$CE$57, MATCH($C49, $C$8:$C$57, 0), (COLUMNS($DU49:DV49)-1)*5 + 1) = INDEX($E$5:$CE$5, 1, (COLUMNS($DU49:DV49)-1)*5 + 1), INDEX($E$8:$CE$57, MATCH($C49, $C$8:$C$57, 0), (COLUMNS($DU49:DV49)-1)*5 + 4) = "SF"), INDEX($CZ$8:$CZ$23, COLUMNS($DU49:DV49)), "0"), "")</f>
        <v/>
      </c>
      <c r="DW49" s="395">
        <f t="array" ref="DW49">IFERROR(IF(AND(INDEX($E$8:$CE$57, MATCH($C49, $C$8:$C$57, 0), (COLUMNS($DU49:DW49)-1)*5 + 1) = INDEX($E$5:$CE$5, 1, (COLUMNS($DU49:DW49)-1)*5 + 1), INDEX($E$8:$CE$57, MATCH($C49, $C$8:$C$57, 0), (COLUMNS($DU49:DW49)-1)*5 + 4) = "SF"), INDEX($CZ$8:$CZ$23, COLUMNS($DU49:DW49)), "0"), "")</f>
        <v/>
      </c>
      <c r="DX49" s="395">
        <f t="array" ref="DX49">IFERROR(IF(AND(INDEX($E$8:$CE$57, MATCH($C49, $C$8:$C$57, 0), (COLUMNS($DU49:DX49)-1)*5 + 1) = INDEX($E$5:$CE$5, 1, (COLUMNS($DU49:DX49)-1)*5 + 1), INDEX($E$8:$CE$57, MATCH($C49, $C$8:$C$57, 0), (COLUMNS($DU49:DX49)-1)*5 + 4) = "SF"), INDEX($CZ$8:$CZ$23, COLUMNS($DU49:DX49)), "0"), "")</f>
        <v/>
      </c>
      <c r="DY49" s="395">
        <f t="array" ref="DY49">IFERROR(IF(AND(INDEX($E$8:$CE$57, MATCH($C49, $C$8:$C$57, 0), (COLUMNS($DU49:DY49)-1)*5 + 1) = INDEX($E$5:$CE$5, 1, (COLUMNS($DU49:DY49)-1)*5 + 1), INDEX($E$8:$CE$57, MATCH($C49, $C$8:$C$57, 0), (COLUMNS($DU49:DY49)-1)*5 + 4) = "SF"), INDEX($CZ$8:$CZ$23, COLUMNS($DU49:DY49)), "0"), "")</f>
        <v/>
      </c>
      <c r="DZ49" s="395">
        <f t="array" ref="DZ49">IFERROR(IF(AND(INDEX($E$8:$CE$57, MATCH($C49, $C$8:$C$57, 0), (COLUMNS($DU49:DZ49)-1)*5 + 1) = INDEX($E$5:$CE$5, 1, (COLUMNS($DU49:DZ49)-1)*5 + 1), INDEX($E$8:$CE$57, MATCH($C49, $C$8:$C$57, 0), (COLUMNS($DU49:DZ49)-1)*5 + 4) = "SF"), INDEX($CZ$8:$CZ$23, COLUMNS($DU49:DZ49)), "0"), "")</f>
        <v/>
      </c>
      <c r="EA49" s="395">
        <f t="array" ref="EA49">IFERROR(IF(AND(INDEX($E$8:$CE$57, MATCH($C49, $C$8:$C$57, 0), (COLUMNS($DU49:EA49)-1)*5 + 1) = INDEX($E$5:$CE$5, 1, (COLUMNS($DU49:EA49)-1)*5 + 1), INDEX($E$8:$CE$57, MATCH($C49, $C$8:$C$57, 0), (COLUMNS($DU49:EA49)-1)*5 + 4) = "SF"), INDEX($CZ$8:$CZ$23, COLUMNS($DU49:EA49)), "0"), "")</f>
        <v/>
      </c>
      <c r="EB49" s="395">
        <f t="array" ref="EB49">IFERROR(IF(AND(INDEX($E$8:$CE$57, MATCH($C49, $C$8:$C$57, 0), (COLUMNS($DU49:EB49)-1)*5 + 1) = INDEX($E$5:$CE$5, 1, (COLUMNS($DU49:EB49)-1)*5 + 1), INDEX($E$8:$CE$57, MATCH($C49, $C$8:$C$57, 0), (COLUMNS($DU49:EB49)-1)*5 + 4) = "SF"), INDEX($CZ$8:$CZ$23, COLUMNS($DU49:EB49)), "0"), "")</f>
        <v/>
      </c>
      <c r="EC49" s="395">
        <f t="array" ref="EC49">IFERROR(IF(AND(INDEX($E$8:$CE$57, MATCH($C49, $C$8:$C$57, 0), (COLUMNS($DU49:EC49)-1)*5 + 1) = INDEX($E$5:$CE$5, 1, (COLUMNS($DU49:EC49)-1)*5 + 1), INDEX($E$8:$CE$57, MATCH($C49, $C$8:$C$57, 0), (COLUMNS($DU49:EC49)-1)*5 + 4) = "SF"), INDEX($CZ$8:$CZ$23, COLUMNS($DU49:EC49)), "0"), "")</f>
        <v/>
      </c>
      <c r="ED49" s="395">
        <f t="array" ref="ED49">IFERROR(IF(AND(INDEX($E$8:$CE$57, MATCH($C49, $C$8:$C$57, 0), (COLUMNS($DU49:ED49)-1)*5 + 1) = INDEX($E$5:$CE$5, 1, (COLUMNS($DU49:ED49)-1)*5 + 1), INDEX($E$8:$CE$57, MATCH($C49, $C$8:$C$57, 0), (COLUMNS($DU49:ED49)-1)*5 + 4) = "SF"), INDEX($CZ$8:$CZ$23, COLUMNS($DU49:ED49)), "0"), "")</f>
        <v/>
      </c>
      <c r="EE49" s="395">
        <f t="array" ref="EE49">IFERROR(IF(AND(INDEX($E$8:$CE$57, MATCH($C49, $C$8:$C$57, 0), (COLUMNS($DU49:EE49)-1)*5 + 1) = INDEX($E$5:$CE$5, 1, (COLUMNS($DU49:EE49)-1)*5 + 1), INDEX($E$8:$CE$57, MATCH($C49, $C$8:$C$57, 0), (COLUMNS($DU49:EE49)-1)*5 + 4) = "SF"), INDEX($CZ$8:$CZ$23, COLUMNS($DU49:EE49)), "0"), "")</f>
        <v/>
      </c>
      <c r="EF49" s="395">
        <f t="array" ref="EF49">IFERROR(IF(AND(INDEX($E$8:$CE$57, MATCH($C49, $C$8:$C$57, 0), (COLUMNS($DU49:EF49)-1)*5 + 1) = INDEX($E$5:$CE$5, 1, (COLUMNS($DU49:EF49)-1)*5 + 1), INDEX($E$8:$CE$57, MATCH($C49, $C$8:$C$57, 0), (COLUMNS($DU49:EF49)-1)*5 + 4) = "SF"), INDEX($CZ$8:$CZ$23, COLUMNS($DU49:EF49)), "0"), "")</f>
        <v/>
      </c>
      <c r="EG49" s="395">
        <f t="array" ref="EG49">IFERROR(IF(AND(INDEX($E$8:$CE$57, MATCH($C49, $C$8:$C$57, 0), (COLUMNS($DU49:EG49)-1)*5 + 1) = INDEX($E$5:$CE$5, 1, (COLUMNS($DU49:EG49)-1)*5 + 1), INDEX($E$8:$CE$57, MATCH($C49, $C$8:$C$57, 0), (COLUMNS($DU49:EG49)-1)*5 + 4) = "SF"), INDEX($CZ$8:$CZ$23, COLUMNS($DU49:EG49)), "0"), "")</f>
        <v/>
      </c>
      <c r="EH49" s="395">
        <f t="array" ref="EH49">IFERROR(IF(AND(INDEX($E$8:$CE$57, MATCH($C49, $C$8:$C$57, 0), (COLUMNS($DU49:EH49)-1)*5 + 1) = INDEX($E$5:$CE$5, 1, (COLUMNS($DU49:EH49)-1)*5 + 1), INDEX($E$8:$CE$57, MATCH($C49, $C$8:$C$57, 0), (COLUMNS($DU49:EH49)-1)*5 + 4) = "SF"), INDEX($CZ$8:$CZ$23, COLUMNS($DU49:EH49)), "0"), "")</f>
        <v/>
      </c>
      <c r="EI49" s="395">
        <f t="array" ref="EI49">IFERROR(IF(AND(INDEX($E$8:$CE$57, MATCH($C49, $C$8:$C$57, 0), (COLUMNS($DU49:EI49)-1)*5 + 1) = INDEX($E$5:$CE$5, 1, (COLUMNS($DU49:EI49)-1)*5 + 1), INDEX($E$8:$CE$57, MATCH($C49, $C$8:$C$57, 0), (COLUMNS($DU49:EI49)-1)*5 + 4) = "SF"), INDEX($CZ$8:$CZ$23, COLUMNS($DU49:EI49)), "0"), "")</f>
        <v/>
      </c>
      <c r="EJ49" s="395">
        <f t="array" ref="EJ49">IFERROR(IF(AND(INDEX($E$8:$CE$57, MATCH($C49, $C$8:$C$57, 0), (COLUMNS($DU49:EJ49)-1)*5 + 1) = INDEX($E$5:$CE$5, 1, (COLUMNS($DU49:EJ49)-1)*5 + 1), INDEX($E$8:$CE$57, MATCH($C49, $C$8:$C$57, 0), (COLUMNS($DU49:EJ49)-1)*5 + 4) = "SF"), INDEX($CZ$8:$CZ$23, COLUMNS($DU49:EJ49)), "0"), "")</f>
        <v/>
      </c>
    </row>
    <row r="50" outlineLevel="1" ht="20.1" customHeight="1" s="568">
      <c r="A50" s="576" t="n"/>
      <c r="B50" s="449">
        <f>IF(SEMANA2[[#This Row],[COD]]&lt;&gt;"",B49+1,"")</f>
        <v/>
      </c>
      <c r="C50" s="622" t="inlineStr">
        <is>
          <t>COD 43</t>
        </is>
      </c>
      <c r="D50" s="415">
        <f t="array" ref="D50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0" s="416" t="n"/>
      <c r="F50" s="418" t="n"/>
      <c r="G50" s="418" t="n"/>
      <c r="H50" s="418" t="n"/>
      <c r="I50" s="602">
        <f>SUM(IF(E50=E$5,4,0),IF(E50&amp;F50=E$5&amp;F$5,1,0),
IF(AND(E50=E$5,F$6&gt;=$D$115),1,0),
IF(AND(F50=E$5,F$6&gt;=$D$115),1,0),
IF(AND(G50=E$5,F$6&gt;=$D$115),1,0),
IF(E50&amp;H50=I$5,1,0),
IF(F50=E$5,2,0),
IF(G50=E$5,1,0),
IF(OR(E50&amp;F50&amp;G50=E$5&amp;F$5&amp;G$5,E50&amp;F50&amp;G50=E$5&amp;G$5&amp;F$5,E50&amp;F50&amp;G50=F$5&amp;E$5&amp;G$5,E50&amp;F50&amp;G50=F$5&amp;G$5&amp;E$5,E50&amp;F50&amp;G50=G$5&amp;E$5&amp;F$5,E50&amp;F50&amp;G50=G$5&amp;F$5&amp;E$5),2,0),IF(AND(E50=E$5,F$6&gt;=$D$129),1,0),IF(AND(F50=E$5,F$6&gt;=$D$129),1,0),IF(AND(G50=E$5,F$6&gt;=$D$129),1,0),IF(E50&amp;H50=H$5,4,0),IF(AND(E50=E$5,F$6&lt;=$D$104),-0.5,0),IF(AND(F50=E$5,F$6&lt;=$D$104),-0.5,0),IF(AND(G50=E$5,F$6&lt;=$D$104),-0.5,0))</f>
        <v/>
      </c>
      <c r="J50" s="416" t="n"/>
      <c r="K50" s="418" t="n"/>
      <c r="L50" s="418" t="n"/>
      <c r="M50" s="418" t="n"/>
      <c r="N50" s="602">
        <f>SUM(IF(J50=J$5,4,0),IF(J50&amp;K50=J$5&amp;K$5,1,0),
IF(AND(J50=J$5,K$6&gt;=$D$115),1,0),
IF(AND(K50=J$5,K$6&gt;=$D$115),1,0),
IF(AND(L50=J$5,K$6&gt;=$D$115),1,0),
IF(J50&amp;M50=N$5,1,0),
IF(K50=J$5,2,0),
IF(L50=J$5,1,0),
IF(OR(J50&amp;K50&amp;L50=J$5&amp;K$5&amp;L$5,J50&amp;K50&amp;L50=J$5&amp;L$5&amp;K$5,J50&amp;K50&amp;L50=K$5&amp;J$5&amp;L$5,J50&amp;K50&amp;L50=K$5&amp;L$5&amp;J$5,J50&amp;K50&amp;L50=L$5&amp;J$5&amp;K$5,J50&amp;K50&amp;L50=L$5&amp;K$5&amp;J$5),2,0),IF(AND(J50=J$5,K$6&gt;=$D$129),1,0),IF(AND(K50=J$5,K$6&gt;=$D$129),1,0),IF(AND(L50=J$5,K$6&gt;=$D$129),1,0),IF(J50&amp;M50=M$5,4,0),IF(AND(J50=J$5,K$6&lt;=$D$104),-0.5,0),IF(AND(K50=J$5,K$6&lt;=$D$104),-0.5,0),IF(AND(L50=J$5,K$6&lt;=$D$104),-0.5,0))</f>
        <v/>
      </c>
      <c r="O50" s="416" t="n"/>
      <c r="P50" s="418" t="n"/>
      <c r="Q50" s="418" t="n"/>
      <c r="R50" s="418" t="n"/>
      <c r="S50" s="602">
        <f>SUM(IF(O50=O$5,4,0),IF(O50&amp;P50=O$5&amp;P$5,1,0),
IF(AND(O50=O$5,P$6&gt;=$D$115),1,0),
IF(AND(P50=O$5,P$6&gt;=$D$115),1,0),
IF(AND(Q50=O$5,P$6&gt;=$D$115),1,0),
IF(O50&amp;R50=S$5,1,0),
IF(P50=O$5,2,0),
IF(Q50=O$5,1,0),
IF(OR(O50&amp;P50&amp;Q50=O$5&amp;P$5&amp;Q$5,O50&amp;P50&amp;Q50=O$5&amp;Q$5&amp;P$5,O50&amp;P50&amp;Q50=P$5&amp;O$5&amp;Q$5,O50&amp;P50&amp;Q50=P$5&amp;Q$5&amp;O$5,O50&amp;P50&amp;Q50=Q$5&amp;O$5&amp;P$5,O50&amp;P50&amp;Q50=Q$5&amp;P$5&amp;O$5),2,0),IF(AND(O50=O$5,P$6&gt;=$D$129),1,0),IF(AND(P50=O$5,P$6&gt;=$D$129),1,0),IF(AND(Q50=O$5,P$6&gt;=$D$129),1,0),IF(O50&amp;R50=R$5,4,0),IF(AND(O50=O$5,P$6&lt;=$D$104),-0.5,0),IF(AND(P50=O$5,P$6&lt;=$D$104),-0.5,0),IF(AND(Q50=O$5,P$6&lt;=$D$104),-0.5,0))</f>
        <v/>
      </c>
      <c r="T50" s="416" t="n"/>
      <c r="U50" s="418" t="n"/>
      <c r="V50" s="418" t="n"/>
      <c r="W50" s="418" t="n"/>
      <c r="X50" s="602">
        <f>SUM(IF(T50=T$5,4,0),IF(T50&amp;U50=T$5&amp;U$5,1,0),
IF(AND(T50=T$5,U$6&gt;=$D$115),1,0),
IF(AND(U50=T$5,U$6&gt;=$D$115),1,0),
IF(AND(V50=T$5,U$6&gt;=$D$115),1,0),
IF(T50&amp;W50=X$5,1,0),
IF(U50=T$5,2,0),
IF(V50=T$5,1,0),
IF(OR(T50&amp;U50&amp;V50=T$5&amp;U$5&amp;V$5,T50&amp;U50&amp;V50=T$5&amp;V$5&amp;U$5,T50&amp;U50&amp;V50=U$5&amp;T$5&amp;V$5,T50&amp;U50&amp;V50=U$5&amp;V$5&amp;T$5,T50&amp;U50&amp;V50=V$5&amp;T$5&amp;U$5,T50&amp;U50&amp;V50=V$5&amp;U$5&amp;T$5),2,0),IF(AND(T50=T$5,U$6&gt;=$D$129),1,0),IF(AND(U50=T$5,U$6&gt;=$D$129),1,0),IF(AND(V50=T$5,U$6&gt;=$D$129),1,0),IF(T50&amp;W50=W$5,4,0),IF(AND(T50=T$5,U$6&lt;=$D$104),-0.5,0),IF(AND(U50=T$5,U$6&lt;=$D$104),-0.5,0),IF(AND(V50=T$5,U$6&lt;=$D$104),-0.5,0))</f>
        <v/>
      </c>
      <c r="Y50" s="416" t="n"/>
      <c r="Z50" s="418" t="n"/>
      <c r="AA50" s="418" t="n"/>
      <c r="AB50" s="418" t="n"/>
      <c r="AC50" s="602">
        <f>SUM(IF(Y50=Y$5,4,0),IF(Y50&amp;Z50=Y$5&amp;Z$5,1,0),
IF(AND(Y50=Y$5,Z$6&gt;=$D$115),1,0),
IF(AND(Z50=Y$5,Z$6&gt;=$D$115),1,0),
IF(AND(AA50=Y$5,Z$6&gt;=$D$115),1,0),
IF(Y50&amp;AB50=AC$5,1,0),
IF(Z50=Y$5,2,0),
IF(AA50=Y$5,1,0),
IF(OR(Y50&amp;Z50&amp;AA50=Y$5&amp;Z$5&amp;AA$5,Y50&amp;Z50&amp;AA50=Y$5&amp;AA$5&amp;Z$5,Y50&amp;Z50&amp;AA50=Z$5&amp;Y$5&amp;AA$5,Y50&amp;Z50&amp;AA50=Z$5&amp;AA$5&amp;Y$5,Y50&amp;Z50&amp;AA50=AA$5&amp;Y$5&amp;Z$5,Y50&amp;Z50&amp;AA50=AA$5&amp;Z$5&amp;Y$5),2,0),IF(AND(Y50=Y$5,Z$6&gt;=$D$129),1,0),IF(AND(Z50=Y$5,Z$6&gt;=$D$129),1,0),IF(AND(AA50=Y$5,Z$6&gt;=$D$129),1,0),IF(Y50&amp;AB50=AB$5,4,0),IF(AND(Y50=Y$5,Z$6&lt;=$D$104),-0.5,0),IF(AND(Z50=Y$5,Z$6&lt;=$D$104),-0.5,0),IF(AND(AA50=Y$5,Z$6&lt;=$D$104),-0.5,0))</f>
        <v/>
      </c>
      <c r="AD50" s="416" t="n"/>
      <c r="AE50" s="418" t="n"/>
      <c r="AF50" s="418" t="n"/>
      <c r="AG50" s="418" t="n"/>
      <c r="AH50" s="602">
        <f>SUM(IF(AD50=AD$5,4,0),IF(AD50&amp;AE50=AD$5&amp;AE$5,1,0),
IF(AND(AD50=AD$5,AE$6&gt;=$D$115),1,0),
IF(AND(AE50=AD$5,AE$6&gt;=$D$115),1,0),
IF(AND(AF50=AD$5,AE$6&gt;=$D$115),1,0),
IF(AD50&amp;AG50=AH$5,1,0),
IF(AE50=AD$5,2,0),
IF(AF50=AD$5,1,0),
IF(OR(AD50&amp;AE50&amp;AF50=AD$5&amp;AE$5&amp;AF$5,AD50&amp;AE50&amp;AF50=AD$5&amp;AF$5&amp;AE$5,AD50&amp;AE50&amp;AF50=AE$5&amp;AD$5&amp;AF$5,AD50&amp;AE50&amp;AF50=AE$5&amp;AF$5&amp;AD$5,AD50&amp;AE50&amp;AF50=AF$5&amp;AD$5&amp;AE$5,AD50&amp;AE50&amp;AF50=AF$5&amp;AE$5&amp;AD$5),2,0),IF(AND(AD50=AD$5,AE$6&gt;=$D$129),1,0),IF(AND(AE50=AD$5,AE$6&gt;=$D$129),1,0),IF(AND(AF50=AD$5,AE$6&gt;=$D$129),1,0),IF(AD50&amp;AG50=AG$5,4,0),IF(AND(AD50=AD$5,AE$6&lt;=$D$104),-0.5,0),IF(AND(AE50=AD$5,AE$6&lt;=$D$104),-0.5,0),IF(AND(AF50=AD$5,AE$6&lt;=$D$104),-0.5,0))</f>
        <v/>
      </c>
      <c r="AI50" s="416" t="n"/>
      <c r="AJ50" s="418" t="n"/>
      <c r="AK50" s="418" t="n"/>
      <c r="AL50" s="418" t="n"/>
      <c r="AM50" s="602">
        <f>SUM(IF(AI50=AI$5,4,0),IF(AI50&amp;AJ50=AI$5&amp;AJ$5,1,0),
IF(AND(AI50=AI$5,AJ$6&gt;=$D$115),1,0),
IF(AND(AJ50=AI$5,AJ$6&gt;=$D$115),1,0),
IF(AND(AK50=AI$5,AJ$6&gt;=$D$115),1,0),
IF(AI50&amp;AL50=AM$5,1,0),
IF(AJ50=AI$5,2,0),
IF(AK50=AI$5,1,0),
IF(OR(AI50&amp;AJ50&amp;AK50=AI$5&amp;AJ$5&amp;AK$5,AI50&amp;AJ50&amp;AK50=AI$5&amp;AK$5&amp;AJ$5,AI50&amp;AJ50&amp;AK50=AJ$5&amp;AI$5&amp;AK$5,AI50&amp;AJ50&amp;AK50=AJ$5&amp;AK$5&amp;AI$5,AI50&amp;AJ50&amp;AK50=AK$5&amp;AI$5&amp;AJ$5,AI50&amp;AJ50&amp;AK50=AK$5&amp;AJ$5&amp;AI$5),2,0),IF(AND(AI50=AI$5,AJ$6&gt;=$D$129),1,0),IF(AND(AJ50=AI$5,AJ$6&gt;=$D$129),1,0),IF(AND(AK50=AI$5,AJ$6&gt;=$D$129),1,0),IF(AI50&amp;AL50=AL$5,4,0),IF(AND(AI50=AI$5,AJ$6&lt;=$D$104),-0.5,0),IF(AND(AJ50=AI$5,AJ$6&lt;=$D$104),-0.5,0),IF(AND(AK50=AI$5,AJ$6&lt;=$D$104),-0.5,0))</f>
        <v/>
      </c>
      <c r="AN50" s="416" t="n"/>
      <c r="AO50" s="418" t="n"/>
      <c r="AP50" s="418" t="n"/>
      <c r="AQ50" s="418" t="n"/>
      <c r="AR50" s="602">
        <f>SUM(IF(AN50=AN$5,4,0),IF(AN50&amp;AO50=AN$5&amp;AO$5,1,0),
IF(AND(AN50=AN$5,AO$6&gt;=$D$115),1,0),
IF(AND(AO50=AN$5,AO$6&gt;=$D$115),1,0),
IF(AND(AP50=AN$5,AO$6&gt;=$D$115),1,0),
IF(AN50&amp;AQ50=AR$5,1,0),
IF(AO50=AN$5,2,0),
IF(AP50=AN$5,1,0),
IF(OR(AN50&amp;AO50&amp;AP50=AN$5&amp;AO$5&amp;AP$5,AN50&amp;AO50&amp;AP50=AN$5&amp;AP$5&amp;AO$5,AN50&amp;AO50&amp;AP50=AO$5&amp;AN$5&amp;AP$5,AN50&amp;AO50&amp;AP50=AO$5&amp;AP$5&amp;AN$5,AN50&amp;AO50&amp;AP50=AP$5&amp;AN$5&amp;AO$5,AN50&amp;AO50&amp;AP50=AP$5&amp;AO$5&amp;AN$5),2,0),IF(AND(AN50=AN$5,AO$6&gt;=$D$129),1,0),IF(AND(AO50=AN$5,AO$6&gt;=$D$129),1,0),IF(AND(AP50=AN$5,AO$6&gt;=$D$129),1,0),IF(AN50&amp;AQ50=AQ$5,4,0),IF(AND(AN50=AN$5,AO$6&lt;=$D$104),-0.5,0),IF(AND(AO50=AN$5,AO$6&lt;=$D$104),-0.5,0),IF(AND(AP50=AN$5,AO$6&lt;=$D$104),-0.5,0))</f>
        <v/>
      </c>
      <c r="AS50" s="416" t="n"/>
      <c r="AT50" s="418" t="n"/>
      <c r="AU50" s="418" t="n"/>
      <c r="AV50" s="418" t="n"/>
      <c r="AW50" s="602">
        <f>SUM(IF(AS50=AS$5,4,0),IF(AS50&amp;AT50=AS$5&amp;AT$5,1,0),
IF(AND(AS50=AS$5,AT$6&gt;=$D$115),1,0),
IF(AND(AT50=AS$5,AT$6&gt;=$D$115),1,0),
IF(AND(AU50=AS$5,AT$6&gt;=$D$115),1,0),
IF(AS50&amp;AV50=AW$5,1,0),
IF(AT50=AS$5,2,0),
IF(AU50=AS$5,1,0),
IF(OR(AS50&amp;AT50&amp;AU50=AS$5&amp;AT$5&amp;AU$5,AS50&amp;AT50&amp;AU50=AS$5&amp;AU$5&amp;AT$5,AS50&amp;AT50&amp;AU50=AT$5&amp;AS$5&amp;AU$5,AS50&amp;AT50&amp;AU50=AT$5&amp;AU$5&amp;AS$5,AS50&amp;AT50&amp;AU50=AU$5&amp;AS$5&amp;AT$5,AS50&amp;AT50&amp;AU50=AU$5&amp;AT$5&amp;AS$5),2,0),IF(AND(AS50=AS$5,AT$6&gt;=$D$129),1,0),IF(AND(AT50=AS$5,AT$6&gt;=$D$129),1,0),IF(AND(AU50=AS$5,AT$6&gt;=$D$129),1,0),IF(AS50&amp;AV50=AV$5,4,0),IF(AND(AS50=AS$5,AT$6&lt;=$D$104),-0.5,0),IF(AND(AT50=AS$5,AT$6&lt;=$D$104),-0.5,0),IF(AND(AU50=AS$5,AT$6&lt;=$D$104),-0.5,0))</f>
        <v/>
      </c>
      <c r="AX50" s="416" t="n"/>
      <c r="AY50" s="418" t="n"/>
      <c r="AZ50" s="418" t="n"/>
      <c r="BA50" s="418" t="n"/>
      <c r="BB50" s="602">
        <f>SUM(IF(AX50=AX$5,4,0),IF(AX50&amp;AY50=AX$5&amp;AY$5,1,0),
IF(AND(AX50=AX$5,AY$6&gt;=$D$115),1,0),
IF(AND(AY50=AX$5,AY$6&gt;=$D$115),1,0),
IF(AND(AZ50=AX$5,AY$6&gt;=$D$115),1,0),
IF(AX50&amp;BA50=BB$5,1,0),
IF(AY50=AX$5,2,0),
IF(AZ50=AX$5,1,0),
IF(OR(AX50&amp;AY50&amp;AZ50=AX$5&amp;AY$5&amp;AZ$5,AX50&amp;AY50&amp;AZ50=AX$5&amp;AZ$5&amp;AY$5,AX50&amp;AY50&amp;AZ50=AY$5&amp;AX$5&amp;AZ$5,AX50&amp;AY50&amp;AZ50=AY$5&amp;AZ$5&amp;AX$5,AX50&amp;AY50&amp;AZ50=AZ$5&amp;AX$5&amp;AY$5,AX50&amp;AY50&amp;AZ50=AZ$5&amp;AY$5&amp;AX$5),2,0),IF(AND(AX50=AX$5,AY$6&gt;=$D$129),1,0),IF(AND(AY50=AX$5,AY$6&gt;=$D$129),1,0),IF(AND(AZ50=AX$5,AY$6&gt;=$D$129),1,0),IF(AX50&amp;BA50=BA$5,4,0),IF(AND(AX50=AX$5,AY$6&lt;=$D$104),-0.5,0),IF(AND(AY50=AX$5,AY$6&lt;=$D$104),-0.5,0),IF(AND(AZ50=AX$5,AY$6&lt;=$D$104),-0.5,0))</f>
        <v/>
      </c>
      <c r="BC50" s="416" t="n"/>
      <c r="BD50" s="418" t="n"/>
      <c r="BE50" s="418" t="n"/>
      <c r="BF50" s="418" t="n"/>
      <c r="BG50" s="602">
        <f>SUM(IF(BC50=BC$5,4,0),IF(BC50&amp;BD50=BC$5&amp;BD$5,1,0),
IF(AND(BC50=BC$5,BD$6&gt;=$D$115),1,0),
IF(AND(BD50=BC$5,BD$6&gt;=$D$115),1,0),
IF(AND(BE50=BC$5,BD$6&gt;=$D$115),1,0),
IF(BC50&amp;BF50=BG$5,1,0),
IF(BD50=BC$5,2,0),
IF(BE50=BC$5,1,0),
IF(OR(BC50&amp;BD50&amp;BE50=BC$5&amp;BD$5&amp;BE$5,BC50&amp;BD50&amp;BE50=BC$5&amp;BE$5&amp;BD$5,BC50&amp;BD50&amp;BE50=BD$5&amp;BC$5&amp;BE$5,BC50&amp;BD50&amp;BE50=BD$5&amp;BE$5&amp;BC$5,BC50&amp;BD50&amp;BE50=BE$5&amp;BC$5&amp;BD$5,BC50&amp;BD50&amp;BE50=BE$5&amp;BD$5&amp;BC$5),2,0),IF(AND(BC50=BC$5,BD$6&gt;=$D$129),1,0),IF(AND(BD50=BC$5,BD$6&gt;=$D$129),1,0),IF(AND(BE50=BC$5,BD$6&gt;=$D$129),1,0),IF(BC50&amp;BF50=BF$5,4,0),IF(AND(BC50=BC$5,BD$6&lt;=$D$104),-0.5,0),IF(AND(BD50=BC$5,BD$6&lt;=$D$104),-0.5,0),IF(AND(BE50=BC$5,BD$6&lt;=$D$104),-0.5,0))</f>
        <v/>
      </c>
      <c r="BH50" s="416" t="n"/>
      <c r="BI50" s="418" t="n"/>
      <c r="BJ50" s="418" t="n"/>
      <c r="BK50" s="418" t="n"/>
      <c r="BL50" s="602">
        <f>SUM(IF(BH50=BH$5,4,0),IF(BH50&amp;BI50=BH$5&amp;BI$5,1,0),
IF(AND(BH50=BH$5,BI$6&gt;=$D$115),1,0),
IF(AND(BI50=BH$5,BI$6&gt;=$D$115),1,0),
IF(AND(BJ50=BH$5,BI$6&gt;=$D$115),1,0),
IF(BH50&amp;BK50=BL$5,1,0),
IF(BI50=BH$5,2,0),
IF(BJ50=BH$5,1,0),
IF(OR(BH50&amp;BI50&amp;BJ50=BH$5&amp;BI$5&amp;BJ$5,BH50&amp;BI50&amp;BJ50=BH$5&amp;BJ$5&amp;BI$5,BH50&amp;BI50&amp;BJ50=BI$5&amp;BH$5&amp;BJ$5,BH50&amp;BI50&amp;BJ50=BI$5&amp;BJ$5&amp;BH$5,BH50&amp;BI50&amp;BJ50=BJ$5&amp;BH$5&amp;BI$5,BH50&amp;BI50&amp;BJ50=BJ$5&amp;BI$5&amp;BH$5),2,0),IF(AND(BH50=BH$5,BI$6&gt;=$D$129),1,0),IF(AND(BI50=BH$5,BI$6&gt;=$D$129),1,0),IF(AND(BJ50=BH$5,BI$6&gt;=$D$129),1,0),IF(BH50&amp;BK50=BK$5,4,0),IF(AND(BH50=BH$5,BI$6&lt;=$D$104),-0.5,0),IF(AND(BI50=BH$5,BI$6&lt;=$D$104),-0.5,0),IF(AND(BJ50=BH$5,BI$6&lt;=$D$104),-0.5,0))</f>
        <v/>
      </c>
      <c r="BM50" s="416" t="n"/>
      <c r="BN50" s="418" t="n"/>
      <c r="BO50" s="418" t="n"/>
      <c r="BP50" s="418" t="n"/>
      <c r="BQ50" s="602">
        <f>SUM(IF(BM50=BM$5,4,0),IF(BM50&amp;BN50=BM$5&amp;BN$5,1,0),
IF(AND(BM50=BM$5,BN$6&gt;=$D$115),1,0),
IF(AND(BN50=BM$5,BN$6&gt;=$D$115),1,0),
IF(AND(BO50=BM$5,BN$6&gt;=$D$115),1,0),
IF(BM50&amp;BP50=BQ$5,1,0),
IF(BN50=BM$5,2,0),
IF(BO50=BM$5,1,0),
IF(OR(BM50&amp;BN50&amp;BO50=BM$5&amp;BN$5&amp;BO$5,BM50&amp;BN50&amp;BO50=BM$5&amp;BO$5&amp;BN$5,BM50&amp;BN50&amp;BO50=BN$5&amp;BM$5&amp;BO$5,BM50&amp;BN50&amp;BO50=BN$5&amp;BO$5&amp;BM$5,BM50&amp;BN50&amp;BO50=BO$5&amp;BM$5&amp;BN$5,BM50&amp;BN50&amp;BO50=BO$5&amp;BN$5&amp;BM$5),2,0),IF(AND(BM50=BM$5,BN$6&gt;=$D$129),1,0),IF(AND(BN50=BM$5,BN$6&gt;=$D$129),1,0),IF(AND(BO50=BM$5,BN$6&gt;=$D$129),1,0),IF(BM50&amp;BP50=BP$5,4,0),IF(AND(BM50=BM$5,BN$6&lt;=$D$104),-0.5,0),IF(AND(BN50=BM$5,BN$6&lt;=$D$104),-0.5,0),IF(AND(BO50=BM$5,BN$6&lt;=$D$104),-0.5,0))</f>
        <v/>
      </c>
      <c r="BR50" s="416" t="n"/>
      <c r="BS50" s="418" t="n"/>
      <c r="BT50" s="418" t="n"/>
      <c r="BU50" s="418" t="n"/>
      <c r="BV50" s="602">
        <f>SUM(IF(BR50=BR$5,4,0),IF(BR50&amp;BS50=BR$5&amp;BS$5,1,0),
IF(AND(BR50=BR$5,BS$6&gt;=$D$115),1,0),
IF(AND(BS50=BR$5,BS$6&gt;=$D$115),1,0),
IF(AND(BT50=BR$5,BS$6&gt;=$D$115),1,0),
IF(BR50&amp;BU50=BV$5,1,0),
IF(BS50=BR$5,2,0),
IF(BT50=BR$5,1,0),
IF(OR(BR50&amp;BS50&amp;BT50=BR$5&amp;BS$5&amp;BT$5,BR50&amp;BS50&amp;BT50=BR$5&amp;BT$5&amp;BS$5,BR50&amp;BS50&amp;BT50=BS$5&amp;BR$5&amp;BT$5,BR50&amp;BS50&amp;BT50=BS$5&amp;BT$5&amp;BR$5,BR50&amp;BS50&amp;BT50=BT$5&amp;BR$5&amp;BS$5,BR50&amp;BS50&amp;BT50=BT$5&amp;BS$5&amp;BR$5),2,0),IF(AND(BR50=BR$5,BS$6&gt;=$D$129),1,0),IF(AND(BS50=BR$5,BS$6&gt;=$D$129),1,0),IF(AND(BT50=BR$5,BS$6&gt;=$D$129),1,0),IF(BR50&amp;BU50=BU$5,4,0),IF(AND(BR50=BR$5,BS$6&lt;=$D$104),-0.5,0),IF(AND(BS50=BR$5,BS$6&lt;=$D$104),-0.5,0),IF(AND(BT50=BR$5,BS$6&lt;=$D$104),-0.5,0))</f>
        <v/>
      </c>
      <c r="BW50" s="416" t="n"/>
      <c r="BX50" s="418" t="n"/>
      <c r="BY50" s="418" t="n"/>
      <c r="BZ50" s="418" t="n"/>
      <c r="CA50" s="602">
        <f>SUM(IF(BW50=BW$5,4,0),IF(BW50&amp;BX50=BW$5&amp;BX$5,1,0),
IF(AND(BW50=BW$5,BX$6&gt;=$D$115),1,0),
IF(AND(BX50=BW$5,BX$6&gt;=$D$115),1,0),
IF(AND(BY50=BW$5,BX$6&gt;=$D$115),1,0),
IF(BW50&amp;BZ50=CA$5,1,0),
IF(BX50=BW$5,2,0),
IF(BY50=BW$5,1,0),
IF(OR(BW50&amp;BX50&amp;BY50=BW$5&amp;BX$5&amp;BY$5,BW50&amp;BX50&amp;BY50=BW$5&amp;BY$5&amp;BX$5,BW50&amp;BX50&amp;BY50=BX$5&amp;BW$5&amp;BY$5,BW50&amp;BX50&amp;BY50=BX$5&amp;BY$5&amp;BW$5,BW50&amp;BX50&amp;BY50=BY$5&amp;BW$5&amp;BX$5,BW50&amp;BX50&amp;BY50=BY$5&amp;BX$5&amp;BW$5),2,0),IF(AND(BW50=BW$5,BX$6&gt;=$D$129),1,0),IF(AND(BX50=BW$5,BX$6&gt;=$D$129),1,0),IF(AND(BY50=BW$5,BX$6&gt;=$D$129),1,0),IF(BW50&amp;BZ50=BZ$5,4,0),IF(AND(BW50=BW$5,BX$6&lt;=$D$104),-0.5,0),IF(AND(BX50=BW$5,BX$6&lt;=$D$104),-0.5,0),IF(AND(BY50=BW$5,BX$6&lt;=$D$104),-0.5,0))</f>
        <v/>
      </c>
      <c r="CB50" s="416" t="n"/>
      <c r="CC50" s="418" t="n"/>
      <c r="CD50" s="418" t="n"/>
      <c r="CE50" s="418" t="n"/>
      <c r="CF50" s="602">
        <f>SUM(IF(CB50=CB$5,4,0),IF(CB50&amp;CC50=CB$5&amp;CC$5,1,0),
IF(AND(CB50=CB$5,CC$6&gt;=$D$115),1,0),
IF(AND(CC50=CB$5,CC$6&gt;=$D$115),1,0),
IF(AND(CD50=CB$5,CC$6&gt;=$D$115),1,0),
IF(CB50&amp;CE50=CF$5,1,0),
IF(CC50=CB$5,2,0),
IF(CD50=CB$5,1,0),
IF(OR(CB50&amp;CC50&amp;CD50=CB$5&amp;CC$5&amp;CD$5,CB50&amp;CC50&amp;CD50=CB$5&amp;CD$5&amp;CC$5,CB50&amp;CC50&amp;CD50=CC$5&amp;CB$5&amp;CD$5,CB50&amp;CC50&amp;CD50=CC$5&amp;CD$5&amp;CB$5,CB50&amp;CC50&amp;CD50=CD$5&amp;CB$5&amp;CC$5,CB50&amp;CC50&amp;CD50=CD$5&amp;CC$5&amp;CB$5),2,0),IF(AND(CB50=CB$5,CC$6&gt;=$D$129),1,0),IF(AND(CC50=CB$5,CC$6&gt;=$D$129),1,0),IF(AND(CD50=CB$5,CC$6&gt;=$D$129),1,0),IF(CB50&amp;CE50=CE$5,4,0),IF(AND(CB50=CB$5,CC$6&lt;=$D$104),-0.5,0),IF(AND(CC50=CB$5,CC$6&lt;=$D$104),-0.5,0),IF(AND(CD50=CB$5,CC$6&lt;=$D$104),-0.5,0))</f>
        <v/>
      </c>
      <c r="CG50" s="164">
        <f>IF(SEMANA2[[#This Row],[1]]="",0,$B$4)</f>
        <v/>
      </c>
      <c r="CH50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0" s="189">
        <f>IF(SEMANA2[[#This Row],[Columna14]]=0,0,(CH50/CG50))</f>
        <v/>
      </c>
      <c r="CJ50" s="165">
        <f>IF(SEMANA2[[#This Row],[1]]="",0,$B$4)</f>
        <v/>
      </c>
      <c r="CK50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0" s="189">
        <f>IF(SEMANA2[[#This Row],[Columna14]]=0,0,(CK50/CJ50))</f>
        <v/>
      </c>
      <c r="CM50" s="164">
        <f>IF(SEMANA2[[#This Row],[1]]="",0,$B$4)</f>
        <v/>
      </c>
      <c r="CN50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0" s="189">
        <f>IF(SEMANA2[[#This Row],[Columna14]]=0,0,(CN50/CM50))</f>
        <v/>
      </c>
      <c r="CP50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0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Row],[Columna25]],$AX$5,BA50,"SF")+COUNTIFS(SEMANA2[[#This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0" s="189">
        <f>IFERROR(IF(SEMANA2[[#This Row],[Columna14]]=0,0,(CQ50/CP50)),0)</f>
        <v/>
      </c>
      <c r="CS50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0" s="95">
        <f>_xlfn.XLOOKUP(SEMANA2[[#This Row],[COD]],BASE01[COD],BASE01[Columna33])</f>
        <v/>
      </c>
      <c r="CU50" s="604">
        <f>SUM(CS50,CT50)</f>
        <v/>
      </c>
      <c r="CV50" s="450">
        <f>IF(SEMANA2[[#This Row],[TIPO]]="PREMIO",$O$3,"0,00")</f>
        <v/>
      </c>
      <c r="CW50" s="576" t="n"/>
      <c r="CY50" s="392">
        <f>IF(CZ50="","",$CZ$25)</f>
        <v/>
      </c>
      <c r="CZ50" s="392" t="n"/>
      <c r="DA50" s="392">
        <f t="array" ref="DA50">IF(CZ50="", "", IF((INDEX(E$8:CE$57, MATCH(CZ50, C$8:C$57, 0), ($CZ$25-1)*5 + 1) &amp; "") = (INDEX(E$5:CE$5, 1, ($CZ$25-1)*5 + 1) &amp; ""), 1, IF((INDEX(E$8:CE$57, MATCH(CZ50, C$8:C$57, 0), ($CZ$25-1)*5 + 2) &amp; "") = (INDEX(E$5:CE$5, 1, ($CZ$25-1)*5 + 1) &amp; ""), 2, IF((INDEX(E$8:CE$57, MATCH(CZ50, C$8:C$57, 0), ($CZ$25-1)*5 + 3) &amp; "") = (INDEX(E$5:CE$5, 1, ($CZ$25-1)*5 + 1) &amp; ""), 3, ""))))</f>
        <v/>
      </c>
      <c r="DB50" s="605">
        <f>SEMANA2[[#This Row],[COD]]</f>
        <v/>
      </c>
      <c r="DC50" s="395">
        <f t="array" ref="DC50">IFERROR(IF(AND(INDEX($E$8:$CE$57, MATCH($C50, $C$8:$C$57, 0), (COLUMNS($DC50:DC50)-1)*5 + 1) = INDEX($E$5:$CE$5, 1, (COLUMNS($DC50:DC50)-1)*5 + 1), INDEX($E$8:$CE$57, MATCH($C50, $C$8:$C$57, 0), (COLUMNS($DC50:DC50)-1)*5 + 4) = "F"), INDEX($CZ$8:$CZ$23, COLUMNS($DC50:DC50)), "0"), "")</f>
        <v/>
      </c>
      <c r="DD50" s="395">
        <f t="array" ref="DD50">IFERROR(IF(AND(INDEX($E$8:$CE$57, MATCH($C50, $C$8:$C$57, 0), (COLUMNS($DC50:DD50)-1)*5 + 1) = INDEX($E$5:$CE$5, 1, (COLUMNS($DC50:DD50)-1)*5 + 1), INDEX($E$8:$CE$57, MATCH($C50, $C$8:$C$57, 0), (COLUMNS($DC50:DD50)-1)*5 + 4) = "F"), INDEX($CZ$8:$CZ$23, COLUMNS($DC50:DD50)), "0"), "")</f>
        <v/>
      </c>
      <c r="DE50" s="395">
        <f t="array" ref="DE50">IFERROR(IF(AND(INDEX($E$8:$CE$57, MATCH($C50, $C$8:$C$57, 0), (COLUMNS($DC50:DE50)-1)*5 + 1) = INDEX($E$5:$CE$5, 1, (COLUMNS($DC50:DE50)-1)*5 + 1), INDEX($E$8:$CE$57, MATCH($C50, $C$8:$C$57, 0), (COLUMNS($DC50:DE50)-1)*5 + 4) = "F"), INDEX($CZ$8:$CZ$23, COLUMNS($DC50:DE50)), "0"), "")</f>
        <v/>
      </c>
      <c r="DF50" s="395">
        <f t="array" ref="DF50">IFERROR(IF(AND(INDEX($E$8:$CE$57, MATCH($C50, $C$8:$C$57, 0), (COLUMNS($DC50:DF50)-1)*5 + 1) = INDEX($E$5:$CE$5, 1, (COLUMNS($DC50:DF50)-1)*5 + 1), INDEX($E$8:$CE$57, MATCH($C50, $C$8:$C$57, 0), (COLUMNS($DC50:DF50)-1)*5 + 4) = "F"), INDEX($CZ$8:$CZ$23, COLUMNS($DC50:DF50)), "0"), "")</f>
        <v/>
      </c>
      <c r="DG50" s="395">
        <f t="array" ref="DG50">IFERROR(IF(AND(INDEX($E$8:$CE$57, MATCH($C50, $C$8:$C$57, 0), (COLUMNS($DC50:DG50)-1)*5 + 1) = INDEX($E$5:$CE$5, 1, (COLUMNS($DC50:DG50)-1)*5 + 1), INDEX($E$8:$CE$57, MATCH($C50, $C$8:$C$57, 0), (COLUMNS($DC50:DG50)-1)*5 + 4) = "F"), INDEX($CZ$8:$CZ$23, COLUMNS($DC50:DG50)), "0"), "")</f>
        <v/>
      </c>
      <c r="DH50" s="395">
        <f t="array" ref="DH50">IFERROR(IF(AND(INDEX($E$8:$CE$57, MATCH($C50, $C$8:$C$57, 0), (COLUMNS($DC50:DH50)-1)*5 + 1) = INDEX($E$5:$CE$5, 1, (COLUMNS($DC50:DH50)-1)*5 + 1), INDEX($E$8:$CE$57, MATCH($C50, $C$8:$C$57, 0), (COLUMNS($DC50:DH50)-1)*5 + 4) = "F"), INDEX($CZ$8:$CZ$23, COLUMNS($DC50:DH50)), "0"), "")</f>
        <v/>
      </c>
      <c r="DI50" s="395">
        <f t="array" ref="DI50">IFERROR(IF(AND(INDEX($E$8:$CE$57, MATCH($C50, $C$8:$C$57, 0), (COLUMNS($DC50:DI50)-1)*5 + 1) = INDEX($E$5:$CE$5, 1, (COLUMNS($DC50:DI50)-1)*5 + 1), INDEX($E$8:$CE$57, MATCH($C50, $C$8:$C$57, 0), (COLUMNS($DC50:DI50)-1)*5 + 4) = "F"), INDEX($CZ$8:$CZ$23, COLUMNS($DC50:DI50)), "0"), "")</f>
        <v/>
      </c>
      <c r="DJ50" s="395">
        <f t="array" ref="DJ50">IFERROR(IF(AND(INDEX($E$8:$CE$57, MATCH($C50, $C$8:$C$57, 0), (COLUMNS($DC50:DJ50)-1)*5 + 1) = INDEX($E$5:$CE$5, 1, (COLUMNS($DC50:DJ50)-1)*5 + 1), INDEX($E$8:$CE$57, MATCH($C50, $C$8:$C$57, 0), (COLUMNS($DC50:DJ50)-1)*5 + 4) = "F"), INDEX($CZ$8:$CZ$23, COLUMNS($DC50:DJ50)), "0"), "")</f>
        <v/>
      </c>
      <c r="DK50" s="395">
        <f t="array" ref="DK50">IFERROR(IF(AND(INDEX($E$8:$CE$57, MATCH($C50, $C$8:$C$57, 0), (COLUMNS($DC50:DK50)-1)*5 + 1) = INDEX($E$5:$CE$5, 1, (COLUMNS($DC50:DK50)-1)*5 + 1), INDEX($E$8:$CE$57, MATCH($C50, $C$8:$C$57, 0), (COLUMNS($DC50:DK50)-1)*5 + 4) = "F"), INDEX($CZ$8:$CZ$23, COLUMNS($DC50:DK50)), "0"), "")</f>
        <v/>
      </c>
      <c r="DL50" s="395">
        <f t="array" ref="DL50">IFERROR(IF(AND(INDEX($E$8:$CE$57, MATCH($C50, $C$8:$C$57, 0), (COLUMNS($DC50:DL50)-1)*5 + 1) = INDEX($E$5:$CE$5, 1, (COLUMNS($DC50:DL50)-1)*5 + 1), INDEX($E$8:$CE$57, MATCH($C50, $C$8:$C$57, 0), (COLUMNS($DC50:DL50)-1)*5 + 4) = "F"), INDEX($CZ$8:$CZ$23, COLUMNS($DC50:DL50)), "0"), "")</f>
        <v/>
      </c>
      <c r="DM50" s="395">
        <f t="array" ref="DM50">IFERROR(IF(AND(INDEX($E$8:$CE$57, MATCH($C50, $C$8:$C$57, 0), (COLUMNS($DC50:DM50)-1)*5 + 1) = INDEX($E$5:$CE$5, 1, (COLUMNS($DC50:DM50)-1)*5 + 1), INDEX($E$8:$CE$57, MATCH($C50, $C$8:$C$57, 0), (COLUMNS($DC50:DM50)-1)*5 + 4) = "F"), INDEX($CZ$8:$CZ$23, COLUMNS($DC50:DM50)), "0"), "")</f>
        <v/>
      </c>
      <c r="DN50" s="395">
        <f t="array" ref="DN50">IFERROR(IF(AND(INDEX($E$8:$CE$57, MATCH($C50, $C$8:$C$57, 0), (COLUMNS($DC50:DN50)-1)*5 + 1) = INDEX($E$5:$CE$5, 1, (COLUMNS($DC50:DN50)-1)*5 + 1), INDEX($E$8:$CE$57, MATCH($C50, $C$8:$C$57, 0), (COLUMNS($DC50:DN50)-1)*5 + 4) = "F"), INDEX($CZ$8:$CZ$23, COLUMNS($DC50:DN50)), "0"), "")</f>
        <v/>
      </c>
      <c r="DO50" s="395">
        <f t="array" ref="DO50">IFERROR(IF(AND(INDEX($E$8:$CE$57, MATCH($C50, $C$8:$C$57, 0), (COLUMNS($DC50:DO50)-1)*5 + 1) = INDEX($E$5:$CE$5, 1, (COLUMNS($DC50:DO50)-1)*5 + 1), INDEX($E$8:$CE$57, MATCH($C50, $C$8:$C$57, 0), (COLUMNS($DC50:DO50)-1)*5 + 4) = "F"), INDEX($CZ$8:$CZ$23, COLUMNS($DC50:DO50)), "0"), "")</f>
        <v/>
      </c>
      <c r="DP50" s="395">
        <f t="array" ref="DP50">IFERROR(IF(AND(INDEX($E$8:$CE$57, MATCH($C50, $C$8:$C$57, 0), (COLUMNS($DC50:DP50)-1)*5 + 1) = INDEX($E$5:$CE$5, 1, (COLUMNS($DC50:DP50)-1)*5 + 1), INDEX($E$8:$CE$57, MATCH($C50, $C$8:$C$57, 0), (COLUMNS($DC50:DP50)-1)*5 + 4) = "F"), INDEX($CZ$8:$CZ$23, COLUMNS($DC50:DP50)), "0"), "")</f>
        <v/>
      </c>
      <c r="DQ50" s="395">
        <f t="array" ref="DQ50">IFERROR(IF(AND(INDEX($E$8:$CE$57, MATCH($C50, $C$8:$C$57, 0), (COLUMNS($DC50:DQ50)-1)*5 + 1) = INDEX($E$5:$CE$5, 1, (COLUMNS($DC50:DQ50)-1)*5 + 1), INDEX($E$8:$CE$57, MATCH($C50, $C$8:$C$57, 0), (COLUMNS($DC50:DQ50)-1)*5 + 4) = "F"), INDEX($CZ$8:$CZ$23, COLUMNS($DC50:DQ50)), "0"), "")</f>
        <v/>
      </c>
      <c r="DR50" s="395">
        <f t="array" ref="DR50">IFERROR(IF(AND(INDEX($E$8:$CE$57, MATCH($C50, $C$8:$C$57, 0), (COLUMNS($DC50:DR50)-1)*5 + 1) = INDEX($E$5:$CE$5, 1, (COLUMNS($DC50:DR50)-1)*5 + 1), INDEX($E$8:$CE$57, MATCH($C50, $C$8:$C$57, 0), (COLUMNS($DC50:DR50)-1)*5 + 4) = "F"), INDEX($CZ$8:$CZ$23, COLUMNS($DC50:DR50)), "0"), "")</f>
        <v/>
      </c>
      <c r="DT50" s="605">
        <f>SEMANA2[[#This Row],[COD]]</f>
        <v/>
      </c>
      <c r="DU50" s="395">
        <f t="array" ref="DU50">IFERROR(IF(AND(INDEX($E$8:$CE$57, MATCH($C50, $C$8:$C$57, 0), (COLUMNS($DU50:DU50)-1)*5 + 1) = INDEX($E$5:$CE$5, 1, (COLUMNS($DU50:DU50)-1)*5 + 1), INDEX($E$8:$CE$57, MATCH($C50, $C$8:$C$57, 0), (COLUMNS($DU50:DU50)-1)*5 + 4) = "SF"), INDEX($CZ$8:$CZ$23, COLUMNS($DU50:DU50)), "0"), "")</f>
        <v/>
      </c>
      <c r="DV50" s="395">
        <f t="array" ref="DV50">IFERROR(IF(AND(INDEX($E$8:$CE$57, MATCH($C50, $C$8:$C$57, 0), (COLUMNS($DU50:DV50)-1)*5 + 1) = INDEX($E$5:$CE$5, 1, (COLUMNS($DU50:DV50)-1)*5 + 1), INDEX($E$8:$CE$57, MATCH($C50, $C$8:$C$57, 0), (COLUMNS($DU50:DV50)-1)*5 + 4) = "SF"), INDEX($CZ$8:$CZ$23, COLUMNS($DU50:DV50)), "0"), "")</f>
        <v/>
      </c>
      <c r="DW50" s="395">
        <f t="array" ref="DW50">IFERROR(IF(AND(INDEX($E$8:$CE$57, MATCH($C50, $C$8:$C$57, 0), (COLUMNS($DU50:DW50)-1)*5 + 1) = INDEX($E$5:$CE$5, 1, (COLUMNS($DU50:DW50)-1)*5 + 1), INDEX($E$8:$CE$57, MATCH($C50, $C$8:$C$57, 0), (COLUMNS($DU50:DW50)-1)*5 + 4) = "SF"), INDEX($CZ$8:$CZ$23, COLUMNS($DU50:DW50)), "0"), "")</f>
        <v/>
      </c>
      <c r="DX50" s="395">
        <f t="array" ref="DX50">IFERROR(IF(AND(INDEX($E$8:$CE$57, MATCH($C50, $C$8:$C$57, 0), (COLUMNS($DU50:DX50)-1)*5 + 1) = INDEX($E$5:$CE$5, 1, (COLUMNS($DU50:DX50)-1)*5 + 1), INDEX($E$8:$CE$57, MATCH($C50, $C$8:$C$57, 0), (COLUMNS($DU50:DX50)-1)*5 + 4) = "SF"), INDEX($CZ$8:$CZ$23, COLUMNS($DU50:DX50)), "0"), "")</f>
        <v/>
      </c>
      <c r="DY50" s="395">
        <f t="array" ref="DY50">IFERROR(IF(AND(INDEX($E$8:$CE$57, MATCH($C50, $C$8:$C$57, 0), (COLUMNS($DU50:DY50)-1)*5 + 1) = INDEX($E$5:$CE$5, 1, (COLUMNS($DU50:DY50)-1)*5 + 1), INDEX($E$8:$CE$57, MATCH($C50, $C$8:$C$57, 0), (COLUMNS($DU50:DY50)-1)*5 + 4) = "SF"), INDEX($CZ$8:$CZ$23, COLUMNS($DU50:DY50)), "0"), "")</f>
        <v/>
      </c>
      <c r="DZ50" s="395">
        <f t="array" ref="DZ50">IFERROR(IF(AND(INDEX($E$8:$CE$57, MATCH($C50, $C$8:$C$57, 0), (COLUMNS($DU50:DZ50)-1)*5 + 1) = INDEX($E$5:$CE$5, 1, (COLUMNS($DU50:DZ50)-1)*5 + 1), INDEX($E$8:$CE$57, MATCH($C50, $C$8:$C$57, 0), (COLUMNS($DU50:DZ50)-1)*5 + 4) = "SF"), INDEX($CZ$8:$CZ$23, COLUMNS($DU50:DZ50)), "0"), "")</f>
        <v/>
      </c>
      <c r="EA50" s="395">
        <f t="array" ref="EA50">IFERROR(IF(AND(INDEX($E$8:$CE$57, MATCH($C50, $C$8:$C$57, 0), (COLUMNS($DU50:EA50)-1)*5 + 1) = INDEX($E$5:$CE$5, 1, (COLUMNS($DU50:EA50)-1)*5 + 1), INDEX($E$8:$CE$57, MATCH($C50, $C$8:$C$57, 0), (COLUMNS($DU50:EA50)-1)*5 + 4) = "SF"), INDEX($CZ$8:$CZ$23, COLUMNS($DU50:EA50)), "0"), "")</f>
        <v/>
      </c>
      <c r="EB50" s="395">
        <f t="array" ref="EB50">IFERROR(IF(AND(INDEX($E$8:$CE$57, MATCH($C50, $C$8:$C$57, 0), (COLUMNS($DU50:EB50)-1)*5 + 1) = INDEX($E$5:$CE$5, 1, (COLUMNS($DU50:EB50)-1)*5 + 1), INDEX($E$8:$CE$57, MATCH($C50, $C$8:$C$57, 0), (COLUMNS($DU50:EB50)-1)*5 + 4) = "SF"), INDEX($CZ$8:$CZ$23, COLUMNS($DU50:EB50)), "0"), "")</f>
        <v/>
      </c>
      <c r="EC50" s="395">
        <f t="array" ref="EC50">IFERROR(IF(AND(INDEX($E$8:$CE$57, MATCH($C50, $C$8:$C$57, 0), (COLUMNS($DU50:EC50)-1)*5 + 1) = INDEX($E$5:$CE$5, 1, (COLUMNS($DU50:EC50)-1)*5 + 1), INDEX($E$8:$CE$57, MATCH($C50, $C$8:$C$57, 0), (COLUMNS($DU50:EC50)-1)*5 + 4) = "SF"), INDEX($CZ$8:$CZ$23, COLUMNS($DU50:EC50)), "0"), "")</f>
        <v/>
      </c>
      <c r="ED50" s="395">
        <f t="array" ref="ED50">IFERROR(IF(AND(INDEX($E$8:$CE$57, MATCH($C50, $C$8:$C$57, 0), (COLUMNS($DU50:ED50)-1)*5 + 1) = INDEX($E$5:$CE$5, 1, (COLUMNS($DU50:ED50)-1)*5 + 1), INDEX($E$8:$CE$57, MATCH($C50, $C$8:$C$57, 0), (COLUMNS($DU50:ED50)-1)*5 + 4) = "SF"), INDEX($CZ$8:$CZ$23, COLUMNS($DU50:ED50)), "0"), "")</f>
        <v/>
      </c>
      <c r="EE50" s="395">
        <f t="array" ref="EE50">IFERROR(IF(AND(INDEX($E$8:$CE$57, MATCH($C50, $C$8:$C$57, 0), (COLUMNS($DU50:EE50)-1)*5 + 1) = INDEX($E$5:$CE$5, 1, (COLUMNS($DU50:EE50)-1)*5 + 1), INDEX($E$8:$CE$57, MATCH($C50, $C$8:$C$57, 0), (COLUMNS($DU50:EE50)-1)*5 + 4) = "SF"), INDEX($CZ$8:$CZ$23, COLUMNS($DU50:EE50)), "0"), "")</f>
        <v/>
      </c>
      <c r="EF50" s="395">
        <f t="array" ref="EF50">IFERROR(IF(AND(INDEX($E$8:$CE$57, MATCH($C50, $C$8:$C$57, 0), (COLUMNS($DU50:EF50)-1)*5 + 1) = INDEX($E$5:$CE$5, 1, (COLUMNS($DU50:EF50)-1)*5 + 1), INDEX($E$8:$CE$57, MATCH($C50, $C$8:$C$57, 0), (COLUMNS($DU50:EF50)-1)*5 + 4) = "SF"), INDEX($CZ$8:$CZ$23, COLUMNS($DU50:EF50)), "0"), "")</f>
        <v/>
      </c>
      <c r="EG50" s="395">
        <f t="array" ref="EG50">IFERROR(IF(AND(INDEX($E$8:$CE$57, MATCH($C50, $C$8:$C$57, 0), (COLUMNS($DU50:EG50)-1)*5 + 1) = INDEX($E$5:$CE$5, 1, (COLUMNS($DU50:EG50)-1)*5 + 1), INDEX($E$8:$CE$57, MATCH($C50, $C$8:$C$57, 0), (COLUMNS($DU50:EG50)-1)*5 + 4) = "SF"), INDEX($CZ$8:$CZ$23, COLUMNS($DU50:EG50)), "0"), "")</f>
        <v/>
      </c>
      <c r="EH50" s="395">
        <f t="array" ref="EH50">IFERROR(IF(AND(INDEX($E$8:$CE$57, MATCH($C50, $C$8:$C$57, 0), (COLUMNS($DU50:EH50)-1)*5 + 1) = INDEX($E$5:$CE$5, 1, (COLUMNS($DU50:EH50)-1)*5 + 1), INDEX($E$8:$CE$57, MATCH($C50, $C$8:$C$57, 0), (COLUMNS($DU50:EH50)-1)*5 + 4) = "SF"), INDEX($CZ$8:$CZ$23, COLUMNS($DU50:EH50)), "0"), "")</f>
        <v/>
      </c>
      <c r="EI50" s="395">
        <f t="array" ref="EI50">IFERROR(IF(AND(INDEX($E$8:$CE$57, MATCH($C50, $C$8:$C$57, 0), (COLUMNS($DU50:EI50)-1)*5 + 1) = INDEX($E$5:$CE$5, 1, (COLUMNS($DU50:EI50)-1)*5 + 1), INDEX($E$8:$CE$57, MATCH($C50, $C$8:$C$57, 0), (COLUMNS($DU50:EI50)-1)*5 + 4) = "SF"), INDEX($CZ$8:$CZ$23, COLUMNS($DU50:EI50)), "0"), "")</f>
        <v/>
      </c>
      <c r="EJ50" s="395">
        <f t="array" ref="EJ50">IFERROR(IF(AND(INDEX($E$8:$CE$57, MATCH($C50, $C$8:$C$57, 0), (COLUMNS($DU50:EJ50)-1)*5 + 1) = INDEX($E$5:$CE$5, 1, (COLUMNS($DU50:EJ50)-1)*5 + 1), INDEX($E$8:$CE$57, MATCH($C50, $C$8:$C$57, 0), (COLUMNS($DU50:EJ50)-1)*5 + 4) = "SF"), INDEX($CZ$8:$CZ$23, COLUMNS($DU50:EJ50)), "0"), "")</f>
        <v/>
      </c>
    </row>
    <row r="51" outlineLevel="1" ht="20.1" customHeight="1" s="568">
      <c r="A51" s="576" t="n"/>
      <c r="B51" s="449">
        <f>IF(SEMANA2[[#This Row],[COD]]&lt;&gt;"",B50+1,"")</f>
        <v/>
      </c>
      <c r="C51" s="622" t="inlineStr">
        <is>
          <t>COD 44</t>
        </is>
      </c>
      <c r="D51" s="415">
        <f t="array" ref="D51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1" s="416" t="n"/>
      <c r="F51" s="418" t="n"/>
      <c r="G51" s="418" t="n"/>
      <c r="H51" s="418" t="n"/>
      <c r="I51" s="602">
        <f>SUM(IF(E51=E$5,4,0),IF(E51&amp;F51=E$5&amp;F$5,1,0),
IF(AND(E51=E$5,F$6&gt;=$D$115),1,0),
IF(AND(F51=E$5,F$6&gt;=$D$115),1,0),
IF(AND(G51=E$5,F$6&gt;=$D$115),1,0),
IF(E51&amp;H51=I$5,1,0),
IF(F51=E$5,2,0),
IF(G51=E$5,1,0),
IF(OR(E51&amp;F51&amp;G51=E$5&amp;F$5&amp;G$5,E51&amp;F51&amp;G51=E$5&amp;G$5&amp;F$5,E51&amp;F51&amp;G51=F$5&amp;E$5&amp;G$5,E51&amp;F51&amp;G51=F$5&amp;G$5&amp;E$5,E51&amp;F51&amp;G51=G$5&amp;E$5&amp;F$5,E51&amp;F51&amp;G51=G$5&amp;F$5&amp;E$5),2,0),IF(AND(E51=E$5,F$6&gt;=$D$129),1,0),IF(AND(F51=E$5,F$6&gt;=$D$129),1,0),IF(AND(G51=E$5,F$6&gt;=$D$129),1,0),IF(E51&amp;H51=H$5,4,0),IF(AND(E51=E$5,F$6&lt;=$D$104),-0.5,0),IF(AND(F51=E$5,F$6&lt;=$D$104),-0.5,0),IF(AND(G51=E$5,F$6&lt;=$D$104),-0.5,0))</f>
        <v/>
      </c>
      <c r="J51" s="416" t="n"/>
      <c r="K51" s="418" t="n"/>
      <c r="L51" s="418" t="n"/>
      <c r="M51" s="418" t="n"/>
      <c r="N51" s="602">
        <f>SUM(IF(J51=J$5,4,0),IF(J51&amp;K51=J$5&amp;K$5,1,0),
IF(AND(J51=J$5,K$6&gt;=$D$115),1,0),
IF(AND(K51=J$5,K$6&gt;=$D$115),1,0),
IF(AND(L51=J$5,K$6&gt;=$D$115),1,0),
IF(J51&amp;M51=N$5,1,0),
IF(K51=J$5,2,0),
IF(L51=J$5,1,0),
IF(OR(J51&amp;K51&amp;L51=J$5&amp;K$5&amp;L$5,J51&amp;K51&amp;L51=J$5&amp;L$5&amp;K$5,J51&amp;K51&amp;L51=K$5&amp;J$5&amp;L$5,J51&amp;K51&amp;L51=K$5&amp;L$5&amp;J$5,J51&amp;K51&amp;L51=L$5&amp;J$5&amp;K$5,J51&amp;K51&amp;L51=L$5&amp;K$5&amp;J$5),2,0),IF(AND(J51=J$5,K$6&gt;=$D$129),1,0),IF(AND(K51=J$5,K$6&gt;=$D$129),1,0),IF(AND(L51=J$5,K$6&gt;=$D$129),1,0),IF(J51&amp;M51=M$5,4,0),IF(AND(J51=J$5,K$6&lt;=$D$104),-0.5,0),IF(AND(K51=J$5,K$6&lt;=$D$104),-0.5,0),IF(AND(L51=J$5,K$6&lt;=$D$104),-0.5,0))</f>
        <v/>
      </c>
      <c r="O51" s="416" t="n"/>
      <c r="P51" s="418" t="n"/>
      <c r="Q51" s="418" t="n"/>
      <c r="R51" s="418" t="n"/>
      <c r="S51" s="602">
        <f>SUM(IF(O51=O$5,4,0),IF(O51&amp;P51=O$5&amp;P$5,1,0),
IF(AND(O51=O$5,P$6&gt;=$D$115),1,0),
IF(AND(P51=O$5,P$6&gt;=$D$115),1,0),
IF(AND(Q51=O$5,P$6&gt;=$D$115),1,0),
IF(O51&amp;R51=S$5,1,0),
IF(P51=O$5,2,0),
IF(Q51=O$5,1,0),
IF(OR(O51&amp;P51&amp;Q51=O$5&amp;P$5&amp;Q$5,O51&amp;P51&amp;Q51=O$5&amp;Q$5&amp;P$5,O51&amp;P51&amp;Q51=P$5&amp;O$5&amp;Q$5,O51&amp;P51&amp;Q51=P$5&amp;Q$5&amp;O$5,O51&amp;P51&amp;Q51=Q$5&amp;O$5&amp;P$5,O51&amp;P51&amp;Q51=Q$5&amp;P$5&amp;O$5),2,0),IF(AND(O51=O$5,P$6&gt;=$D$129),1,0),IF(AND(P51=O$5,P$6&gt;=$D$129),1,0),IF(AND(Q51=O$5,P$6&gt;=$D$129),1,0),IF(O51&amp;R51=R$5,4,0),IF(AND(O51=O$5,P$6&lt;=$D$104),-0.5,0),IF(AND(P51=O$5,P$6&lt;=$D$104),-0.5,0),IF(AND(Q51=O$5,P$6&lt;=$D$104),-0.5,0))</f>
        <v/>
      </c>
      <c r="T51" s="416" t="n"/>
      <c r="U51" s="418" t="n"/>
      <c r="V51" s="418" t="n"/>
      <c r="W51" s="418" t="n"/>
      <c r="X51" s="602">
        <f>SUM(IF(T51=T$5,4,0),IF(T51&amp;U51=T$5&amp;U$5,1,0),
IF(AND(T51=T$5,U$6&gt;=$D$115),1,0),
IF(AND(U51=T$5,U$6&gt;=$D$115),1,0),
IF(AND(V51=T$5,U$6&gt;=$D$115),1,0),
IF(T51&amp;W51=X$5,1,0),
IF(U51=T$5,2,0),
IF(V51=T$5,1,0),
IF(OR(T51&amp;U51&amp;V51=T$5&amp;U$5&amp;V$5,T51&amp;U51&amp;V51=T$5&amp;V$5&amp;U$5,T51&amp;U51&amp;V51=U$5&amp;T$5&amp;V$5,T51&amp;U51&amp;V51=U$5&amp;V$5&amp;T$5,T51&amp;U51&amp;V51=V$5&amp;T$5&amp;U$5,T51&amp;U51&amp;V51=V$5&amp;U$5&amp;T$5),2,0),IF(AND(T51=T$5,U$6&gt;=$D$129),1,0),IF(AND(U51=T$5,U$6&gt;=$D$129),1,0),IF(AND(V51=T$5,U$6&gt;=$D$129),1,0),IF(T51&amp;W51=W$5,4,0),IF(AND(T51=T$5,U$6&lt;=$D$104),-0.5,0),IF(AND(U51=T$5,U$6&lt;=$D$104),-0.5,0),IF(AND(V51=T$5,U$6&lt;=$D$104),-0.5,0))</f>
        <v/>
      </c>
      <c r="Y51" s="416" t="n"/>
      <c r="Z51" s="418" t="n"/>
      <c r="AA51" s="418" t="n"/>
      <c r="AB51" s="418" t="n"/>
      <c r="AC51" s="602">
        <f>SUM(IF(Y51=Y$5,4,0),IF(Y51&amp;Z51=Y$5&amp;Z$5,1,0),
IF(AND(Y51=Y$5,Z$6&gt;=$D$115),1,0),
IF(AND(Z51=Y$5,Z$6&gt;=$D$115),1,0),
IF(AND(AA51=Y$5,Z$6&gt;=$D$115),1,0),
IF(Y51&amp;AB51=AC$5,1,0),
IF(Z51=Y$5,2,0),
IF(AA51=Y$5,1,0),
IF(OR(Y51&amp;Z51&amp;AA51=Y$5&amp;Z$5&amp;AA$5,Y51&amp;Z51&amp;AA51=Y$5&amp;AA$5&amp;Z$5,Y51&amp;Z51&amp;AA51=Z$5&amp;Y$5&amp;AA$5,Y51&amp;Z51&amp;AA51=Z$5&amp;AA$5&amp;Y$5,Y51&amp;Z51&amp;AA51=AA$5&amp;Y$5&amp;Z$5,Y51&amp;Z51&amp;AA51=AA$5&amp;Z$5&amp;Y$5),2,0),IF(AND(Y51=Y$5,Z$6&gt;=$D$129),1,0),IF(AND(Z51=Y$5,Z$6&gt;=$D$129),1,0),IF(AND(AA51=Y$5,Z$6&gt;=$D$129),1,0),IF(Y51&amp;AB51=AB$5,4,0),IF(AND(Y51=Y$5,Z$6&lt;=$D$104),-0.5,0),IF(AND(Z51=Y$5,Z$6&lt;=$D$104),-0.5,0),IF(AND(AA51=Y$5,Z$6&lt;=$D$104),-0.5,0))</f>
        <v/>
      </c>
      <c r="AD51" s="416" t="n"/>
      <c r="AE51" s="418" t="n"/>
      <c r="AF51" s="418" t="n"/>
      <c r="AG51" s="418" t="n"/>
      <c r="AH51" s="602">
        <f>SUM(IF(AD51=AD$5,4,0),IF(AD51&amp;AE51=AD$5&amp;AE$5,1,0),
IF(AND(AD51=AD$5,AE$6&gt;=$D$115),1,0),
IF(AND(AE51=AD$5,AE$6&gt;=$D$115),1,0),
IF(AND(AF51=AD$5,AE$6&gt;=$D$115),1,0),
IF(AD51&amp;AG51=AH$5,1,0),
IF(AE51=AD$5,2,0),
IF(AF51=AD$5,1,0),
IF(OR(AD51&amp;AE51&amp;AF51=AD$5&amp;AE$5&amp;AF$5,AD51&amp;AE51&amp;AF51=AD$5&amp;AF$5&amp;AE$5,AD51&amp;AE51&amp;AF51=AE$5&amp;AD$5&amp;AF$5,AD51&amp;AE51&amp;AF51=AE$5&amp;AF$5&amp;AD$5,AD51&amp;AE51&amp;AF51=AF$5&amp;AD$5&amp;AE$5,AD51&amp;AE51&amp;AF51=AF$5&amp;AE$5&amp;AD$5),2,0),IF(AND(AD51=AD$5,AE$6&gt;=$D$129),1,0),IF(AND(AE51=AD$5,AE$6&gt;=$D$129),1,0),IF(AND(AF51=AD$5,AE$6&gt;=$D$129),1,0),IF(AD51&amp;AG51=AG$5,4,0),IF(AND(AD51=AD$5,AE$6&lt;=$D$104),-0.5,0),IF(AND(AE51=AD$5,AE$6&lt;=$D$104),-0.5,0),IF(AND(AF51=AD$5,AE$6&lt;=$D$104),-0.5,0))</f>
        <v/>
      </c>
      <c r="AI51" s="416" t="n"/>
      <c r="AJ51" s="418" t="n"/>
      <c r="AK51" s="418" t="n"/>
      <c r="AL51" s="418" t="n"/>
      <c r="AM51" s="602">
        <f>SUM(IF(AI51=AI$5,4,0),IF(AI51&amp;AJ51=AI$5&amp;AJ$5,1,0),
IF(AND(AI51=AI$5,AJ$6&gt;=$D$115),1,0),
IF(AND(AJ51=AI$5,AJ$6&gt;=$D$115),1,0),
IF(AND(AK51=AI$5,AJ$6&gt;=$D$115),1,0),
IF(AI51&amp;AL51=AM$5,1,0),
IF(AJ51=AI$5,2,0),
IF(AK51=AI$5,1,0),
IF(OR(AI51&amp;AJ51&amp;AK51=AI$5&amp;AJ$5&amp;AK$5,AI51&amp;AJ51&amp;AK51=AI$5&amp;AK$5&amp;AJ$5,AI51&amp;AJ51&amp;AK51=AJ$5&amp;AI$5&amp;AK$5,AI51&amp;AJ51&amp;AK51=AJ$5&amp;AK$5&amp;AI$5,AI51&amp;AJ51&amp;AK51=AK$5&amp;AI$5&amp;AJ$5,AI51&amp;AJ51&amp;AK51=AK$5&amp;AJ$5&amp;AI$5),2,0),IF(AND(AI51=AI$5,AJ$6&gt;=$D$129),1,0),IF(AND(AJ51=AI$5,AJ$6&gt;=$D$129),1,0),IF(AND(AK51=AI$5,AJ$6&gt;=$D$129),1,0),IF(AI51&amp;AL51=AL$5,4,0),IF(AND(AI51=AI$5,AJ$6&lt;=$D$104),-0.5,0),IF(AND(AJ51=AI$5,AJ$6&lt;=$D$104),-0.5,0),IF(AND(AK51=AI$5,AJ$6&lt;=$D$104),-0.5,0))</f>
        <v/>
      </c>
      <c r="AN51" s="416" t="n"/>
      <c r="AO51" s="418" t="n"/>
      <c r="AP51" s="418" t="n"/>
      <c r="AQ51" s="418" t="n"/>
      <c r="AR51" s="602">
        <f>SUM(IF(AN51=AN$5,4,0),IF(AN51&amp;AO51=AN$5&amp;AO$5,1,0),
IF(AND(AN51=AN$5,AO$6&gt;=$D$115),1,0),
IF(AND(AO51=AN$5,AO$6&gt;=$D$115),1,0),
IF(AND(AP51=AN$5,AO$6&gt;=$D$115),1,0),
IF(AN51&amp;AQ51=AR$5,1,0),
IF(AO51=AN$5,2,0),
IF(AP51=AN$5,1,0),
IF(OR(AN51&amp;AO51&amp;AP51=AN$5&amp;AO$5&amp;AP$5,AN51&amp;AO51&amp;AP51=AN$5&amp;AP$5&amp;AO$5,AN51&amp;AO51&amp;AP51=AO$5&amp;AN$5&amp;AP$5,AN51&amp;AO51&amp;AP51=AO$5&amp;AP$5&amp;AN$5,AN51&amp;AO51&amp;AP51=AP$5&amp;AN$5&amp;AO$5,AN51&amp;AO51&amp;AP51=AP$5&amp;AO$5&amp;AN$5),2,0),IF(AND(AN51=AN$5,AO$6&gt;=$D$129),1,0),IF(AND(AO51=AN$5,AO$6&gt;=$D$129),1,0),IF(AND(AP51=AN$5,AO$6&gt;=$D$129),1,0),IF(AN51&amp;AQ51=AQ$5,4,0),IF(AND(AN51=AN$5,AO$6&lt;=$D$104),-0.5,0),IF(AND(AO51=AN$5,AO$6&lt;=$D$104),-0.5,0),IF(AND(AP51=AN$5,AO$6&lt;=$D$104),-0.5,0))</f>
        <v/>
      </c>
      <c r="AS51" s="416" t="n"/>
      <c r="AT51" s="418" t="n"/>
      <c r="AU51" s="418" t="n"/>
      <c r="AV51" s="418" t="n"/>
      <c r="AW51" s="602">
        <f>SUM(IF(AS51=AS$5,4,0),IF(AS51&amp;AT51=AS$5&amp;AT$5,1,0),
IF(AND(AS51=AS$5,AT$6&gt;=$D$115),1,0),
IF(AND(AT51=AS$5,AT$6&gt;=$D$115),1,0),
IF(AND(AU51=AS$5,AT$6&gt;=$D$115),1,0),
IF(AS51&amp;AV51=AW$5,1,0),
IF(AT51=AS$5,2,0),
IF(AU51=AS$5,1,0),
IF(OR(AS51&amp;AT51&amp;AU51=AS$5&amp;AT$5&amp;AU$5,AS51&amp;AT51&amp;AU51=AS$5&amp;AU$5&amp;AT$5,AS51&amp;AT51&amp;AU51=AT$5&amp;AS$5&amp;AU$5,AS51&amp;AT51&amp;AU51=AT$5&amp;AU$5&amp;AS$5,AS51&amp;AT51&amp;AU51=AU$5&amp;AS$5&amp;AT$5,AS51&amp;AT51&amp;AU51=AU$5&amp;AT$5&amp;AS$5),2,0),IF(AND(AS51=AS$5,AT$6&gt;=$D$129),1,0),IF(AND(AT51=AS$5,AT$6&gt;=$D$129),1,0),IF(AND(AU51=AS$5,AT$6&gt;=$D$129),1,0),IF(AS51&amp;AV51=AV$5,4,0),IF(AND(AS51=AS$5,AT$6&lt;=$D$104),-0.5,0),IF(AND(AT51=AS$5,AT$6&lt;=$D$104),-0.5,0),IF(AND(AU51=AS$5,AT$6&lt;=$D$104),-0.5,0))</f>
        <v/>
      </c>
      <c r="AX51" s="416" t="n"/>
      <c r="AY51" s="418" t="n"/>
      <c r="AZ51" s="418" t="n"/>
      <c r="BA51" s="418" t="n"/>
      <c r="BB51" s="602">
        <f>SUM(IF(AX51=AX$5,4,0),IF(AX51&amp;AY51=AX$5&amp;AY$5,1,0),
IF(AND(AX51=AX$5,AY$6&gt;=$D$115),1,0),
IF(AND(AY51=AX$5,AY$6&gt;=$D$115),1,0),
IF(AND(AZ51=AX$5,AY$6&gt;=$D$115),1,0),
IF(AX51&amp;BA51=BB$5,1,0),
IF(AY51=AX$5,2,0),
IF(AZ51=AX$5,1,0),
IF(OR(AX51&amp;AY51&amp;AZ51=AX$5&amp;AY$5&amp;AZ$5,AX51&amp;AY51&amp;AZ51=AX$5&amp;AZ$5&amp;AY$5,AX51&amp;AY51&amp;AZ51=AY$5&amp;AX$5&amp;AZ$5,AX51&amp;AY51&amp;AZ51=AY$5&amp;AZ$5&amp;AX$5,AX51&amp;AY51&amp;AZ51=AZ$5&amp;AX$5&amp;AY$5,AX51&amp;AY51&amp;AZ51=AZ$5&amp;AY$5&amp;AX$5),2,0),IF(AND(AX51=AX$5,AY$6&gt;=$D$129),1,0),IF(AND(AY51=AX$5,AY$6&gt;=$D$129),1,0),IF(AND(AZ51=AX$5,AY$6&gt;=$D$129),1,0),IF(AX51&amp;BA51=BA$5,4,0),IF(AND(AX51=AX$5,AY$6&lt;=$D$104),-0.5,0),IF(AND(AY51=AX$5,AY$6&lt;=$D$104),-0.5,0),IF(AND(AZ51=AX$5,AY$6&lt;=$D$104),-0.5,0))</f>
        <v/>
      </c>
      <c r="BC51" s="416" t="n"/>
      <c r="BD51" s="418" t="n"/>
      <c r="BE51" s="418" t="n"/>
      <c r="BF51" s="418" t="n"/>
      <c r="BG51" s="602">
        <f>SUM(IF(BC51=BC$5,4,0),IF(BC51&amp;BD51=BC$5&amp;BD$5,1,0),
IF(AND(BC51=BC$5,BD$6&gt;=$D$115),1,0),
IF(AND(BD51=BC$5,BD$6&gt;=$D$115),1,0),
IF(AND(BE51=BC$5,BD$6&gt;=$D$115),1,0),
IF(BC51&amp;BF51=BG$5,1,0),
IF(BD51=BC$5,2,0),
IF(BE51=BC$5,1,0),
IF(OR(BC51&amp;BD51&amp;BE51=BC$5&amp;BD$5&amp;BE$5,BC51&amp;BD51&amp;BE51=BC$5&amp;BE$5&amp;BD$5,BC51&amp;BD51&amp;BE51=BD$5&amp;BC$5&amp;BE$5,BC51&amp;BD51&amp;BE51=BD$5&amp;BE$5&amp;BC$5,BC51&amp;BD51&amp;BE51=BE$5&amp;BC$5&amp;BD$5,BC51&amp;BD51&amp;BE51=BE$5&amp;BD$5&amp;BC$5),2,0),IF(AND(BC51=BC$5,BD$6&gt;=$D$129),1,0),IF(AND(BD51=BC$5,BD$6&gt;=$D$129),1,0),IF(AND(BE51=BC$5,BD$6&gt;=$D$129),1,0),IF(BC51&amp;BF51=BF$5,4,0),IF(AND(BC51=BC$5,BD$6&lt;=$D$104),-0.5,0),IF(AND(BD51=BC$5,BD$6&lt;=$D$104),-0.5,0),IF(AND(BE51=BC$5,BD$6&lt;=$D$104),-0.5,0))</f>
        <v/>
      </c>
      <c r="BH51" s="416" t="n"/>
      <c r="BI51" s="418" t="n"/>
      <c r="BJ51" s="418" t="n"/>
      <c r="BK51" s="418" t="n"/>
      <c r="BL51" s="602">
        <f>SUM(IF(BH51=BH$5,4,0),IF(BH51&amp;BI51=BH$5&amp;BI$5,1,0),
IF(AND(BH51=BH$5,BI$6&gt;=$D$115),1,0),
IF(AND(BI51=BH$5,BI$6&gt;=$D$115),1,0),
IF(AND(BJ51=BH$5,BI$6&gt;=$D$115),1,0),
IF(BH51&amp;BK51=BL$5,1,0),
IF(BI51=BH$5,2,0),
IF(BJ51=BH$5,1,0),
IF(OR(BH51&amp;BI51&amp;BJ51=BH$5&amp;BI$5&amp;BJ$5,BH51&amp;BI51&amp;BJ51=BH$5&amp;BJ$5&amp;BI$5,BH51&amp;BI51&amp;BJ51=BI$5&amp;BH$5&amp;BJ$5,BH51&amp;BI51&amp;BJ51=BI$5&amp;BJ$5&amp;BH$5,BH51&amp;BI51&amp;BJ51=BJ$5&amp;BH$5&amp;BI$5,BH51&amp;BI51&amp;BJ51=BJ$5&amp;BI$5&amp;BH$5),2,0),IF(AND(BH51=BH$5,BI$6&gt;=$D$129),1,0),IF(AND(BI51=BH$5,BI$6&gt;=$D$129),1,0),IF(AND(BJ51=BH$5,BI$6&gt;=$D$129),1,0),IF(BH51&amp;BK51=BK$5,4,0),IF(AND(BH51=BH$5,BI$6&lt;=$D$104),-0.5,0),IF(AND(BI51=BH$5,BI$6&lt;=$D$104),-0.5,0),IF(AND(BJ51=BH$5,BI$6&lt;=$D$104),-0.5,0))</f>
        <v/>
      </c>
      <c r="BM51" s="416" t="n"/>
      <c r="BN51" s="418" t="n"/>
      <c r="BO51" s="418" t="n"/>
      <c r="BP51" s="418" t="n"/>
      <c r="BQ51" s="602">
        <f>SUM(IF(BM51=BM$5,4,0),IF(BM51&amp;BN51=BM$5&amp;BN$5,1,0),
IF(AND(BM51=BM$5,BN$6&gt;=$D$115),1,0),
IF(AND(BN51=BM$5,BN$6&gt;=$D$115),1,0),
IF(AND(BO51=BM$5,BN$6&gt;=$D$115),1,0),
IF(BM51&amp;BP51=BQ$5,1,0),
IF(BN51=BM$5,2,0),
IF(BO51=BM$5,1,0),
IF(OR(BM51&amp;BN51&amp;BO51=BM$5&amp;BN$5&amp;BO$5,BM51&amp;BN51&amp;BO51=BM$5&amp;BO$5&amp;BN$5,BM51&amp;BN51&amp;BO51=BN$5&amp;BM$5&amp;BO$5,BM51&amp;BN51&amp;BO51=BN$5&amp;BO$5&amp;BM$5,BM51&amp;BN51&amp;BO51=BO$5&amp;BM$5&amp;BN$5,BM51&amp;BN51&amp;BO51=BO$5&amp;BN$5&amp;BM$5),2,0),IF(AND(BM51=BM$5,BN$6&gt;=$D$129),1,0),IF(AND(BN51=BM$5,BN$6&gt;=$D$129),1,0),IF(AND(BO51=BM$5,BN$6&gt;=$D$129),1,0),IF(BM51&amp;BP51=BP$5,4,0),IF(AND(BM51=BM$5,BN$6&lt;=$D$104),-0.5,0),IF(AND(BN51=BM$5,BN$6&lt;=$D$104),-0.5,0),IF(AND(BO51=BM$5,BN$6&lt;=$D$104),-0.5,0))</f>
        <v/>
      </c>
      <c r="BR51" s="416" t="n"/>
      <c r="BS51" s="418" t="n"/>
      <c r="BT51" s="418" t="n"/>
      <c r="BU51" s="418" t="n"/>
      <c r="BV51" s="602">
        <f>SUM(IF(BR51=BR$5,4,0),IF(BR51&amp;BS51=BR$5&amp;BS$5,1,0),
IF(AND(BR51=BR$5,BS$6&gt;=$D$115),1,0),
IF(AND(BS51=BR$5,BS$6&gt;=$D$115),1,0),
IF(AND(BT51=BR$5,BS$6&gt;=$D$115),1,0),
IF(BR51&amp;BU51=BV$5,1,0),
IF(BS51=BR$5,2,0),
IF(BT51=BR$5,1,0),
IF(OR(BR51&amp;BS51&amp;BT51=BR$5&amp;BS$5&amp;BT$5,BR51&amp;BS51&amp;BT51=BR$5&amp;BT$5&amp;BS$5,BR51&amp;BS51&amp;BT51=BS$5&amp;BR$5&amp;BT$5,BR51&amp;BS51&amp;BT51=BS$5&amp;BT$5&amp;BR$5,BR51&amp;BS51&amp;BT51=BT$5&amp;BR$5&amp;BS$5,BR51&amp;BS51&amp;BT51=BT$5&amp;BS$5&amp;BR$5),2,0),IF(AND(BR51=BR$5,BS$6&gt;=$D$129),1,0),IF(AND(BS51=BR$5,BS$6&gt;=$D$129),1,0),IF(AND(BT51=BR$5,BS$6&gt;=$D$129),1,0),IF(BR51&amp;BU51=BU$5,4,0),IF(AND(BR51=BR$5,BS$6&lt;=$D$104),-0.5,0),IF(AND(BS51=BR$5,BS$6&lt;=$D$104),-0.5,0),IF(AND(BT51=BR$5,BS$6&lt;=$D$104),-0.5,0))</f>
        <v/>
      </c>
      <c r="BW51" s="416" t="n"/>
      <c r="BX51" s="418" t="n"/>
      <c r="BY51" s="418" t="n"/>
      <c r="BZ51" s="418" t="n"/>
      <c r="CA51" s="602">
        <f>SUM(IF(BW51=BW$5,4,0),IF(BW51&amp;BX51=BW$5&amp;BX$5,1,0),
IF(AND(BW51=BW$5,BX$6&gt;=$D$115),1,0),
IF(AND(BX51=BW$5,BX$6&gt;=$D$115),1,0),
IF(AND(BY51=BW$5,BX$6&gt;=$D$115),1,0),
IF(BW51&amp;BZ51=CA$5,1,0),
IF(BX51=BW$5,2,0),
IF(BY51=BW$5,1,0),
IF(OR(BW51&amp;BX51&amp;BY51=BW$5&amp;BX$5&amp;BY$5,BW51&amp;BX51&amp;BY51=BW$5&amp;BY$5&amp;BX$5,BW51&amp;BX51&amp;BY51=BX$5&amp;BW$5&amp;BY$5,BW51&amp;BX51&amp;BY51=BX$5&amp;BY$5&amp;BW$5,BW51&amp;BX51&amp;BY51=BY$5&amp;BW$5&amp;BX$5,BW51&amp;BX51&amp;BY51=BY$5&amp;BX$5&amp;BW$5),2,0),IF(AND(BW51=BW$5,BX$6&gt;=$D$129),1,0),IF(AND(BX51=BW$5,BX$6&gt;=$D$129),1,0),IF(AND(BY51=BW$5,BX$6&gt;=$D$129),1,0),IF(BW51&amp;BZ51=BZ$5,4,0),IF(AND(BW51=BW$5,BX$6&lt;=$D$104),-0.5,0),IF(AND(BX51=BW$5,BX$6&lt;=$D$104),-0.5,0),IF(AND(BY51=BW$5,BX$6&lt;=$D$104),-0.5,0))</f>
        <v/>
      </c>
      <c r="CB51" s="416" t="n"/>
      <c r="CC51" s="418" t="n"/>
      <c r="CD51" s="418" t="n"/>
      <c r="CE51" s="418" t="n"/>
      <c r="CF51" s="602">
        <f>SUM(IF(CB51=CB$5,4,0),IF(CB51&amp;CC51=CB$5&amp;CC$5,1,0),
IF(AND(CB51=CB$5,CC$6&gt;=$D$115),1,0),
IF(AND(CC51=CB$5,CC$6&gt;=$D$115),1,0),
IF(AND(CD51=CB$5,CC$6&gt;=$D$115),1,0),
IF(CB51&amp;CE51=CF$5,1,0),
IF(CC51=CB$5,2,0),
IF(CD51=CB$5,1,0),
IF(OR(CB51&amp;CC51&amp;CD51=CB$5&amp;CC$5&amp;CD$5,CB51&amp;CC51&amp;CD51=CB$5&amp;CD$5&amp;CC$5,CB51&amp;CC51&amp;CD51=CC$5&amp;CB$5&amp;CD$5,CB51&amp;CC51&amp;CD51=CC$5&amp;CD$5&amp;CB$5,CB51&amp;CC51&amp;CD51=CD$5&amp;CB$5&amp;CC$5,CB51&amp;CC51&amp;CD51=CD$5&amp;CC$5&amp;CB$5),2,0),IF(AND(CB51=CB$5,CC$6&gt;=$D$129),1,0),IF(AND(CC51=CB$5,CC$6&gt;=$D$129),1,0),IF(AND(CD51=CB$5,CC$6&gt;=$D$129),1,0),IF(CB51&amp;CE51=CE$5,4,0),IF(AND(CB51=CB$5,CC$6&lt;=$D$104),-0.5,0),IF(AND(CC51=CB$5,CC$6&lt;=$D$104),-0.5,0),IF(AND(CD51=CB$5,CC$6&lt;=$D$104),-0.5,0))</f>
        <v/>
      </c>
      <c r="CG51" s="164">
        <f>IF(SEMANA2[[#This Row],[1]]="",0,$B$4)</f>
        <v/>
      </c>
      <c r="CH51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1" s="189">
        <f>IF(SEMANA2[[#This Row],[Columna14]]=0,0,(CH51/CG51))</f>
        <v/>
      </c>
      <c r="CJ51" s="165">
        <f>IF(SEMANA2[[#This Row],[1]]="",0,$B$4)</f>
        <v/>
      </c>
      <c r="CK51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1" s="189">
        <f>IF(SEMANA2[[#This Row],[Columna14]]=0,0,(CK51/CJ51))</f>
        <v/>
      </c>
      <c r="CM51" s="164">
        <f>IF(SEMANA2[[#This Row],[1]]="",0,$B$4)</f>
        <v/>
      </c>
      <c r="CN51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1" s="189">
        <f>IF(SEMANA2[[#This Row],[Columna14]]=0,0,(CN51/CM51))</f>
        <v/>
      </c>
      <c r="CP51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1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Row],[Columna25]],$AX$5,BA51,"SF")+COUNTIFS(SEMANA2[[#This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1" s="189">
        <f>IFERROR(IF(SEMANA2[[#This Row],[Columna14]]=0,0,(CQ51/CP51)),0)</f>
        <v/>
      </c>
      <c r="CS51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1" s="95">
        <f>_xlfn.XLOOKUP(SEMANA2[[#This Row],[COD]],BASE01[COD],BASE01[Columna33])</f>
        <v/>
      </c>
      <c r="CU51" s="604">
        <f>SUM(CS51,CT51)</f>
        <v/>
      </c>
      <c r="CV51" s="450">
        <f>IF(SEMANA2[[#This Row],[TIPO]]="PREMIO",$O$3,"0,00")</f>
        <v/>
      </c>
      <c r="CW51" s="576" t="n"/>
      <c r="CY51" s="392">
        <f>IF(CZ51="","",$CZ$25)</f>
        <v/>
      </c>
      <c r="CZ51" s="392" t="n"/>
      <c r="DA51" s="392">
        <f t="array" ref="DA51">IF(CZ51="", "", IF((INDEX(E$8:CE$57, MATCH(CZ51, C$8:C$57, 0), ($CZ$25-1)*5 + 1) &amp; "") = (INDEX(E$5:CE$5, 1, ($CZ$25-1)*5 + 1) &amp; ""), 1, IF((INDEX(E$8:CE$57, MATCH(CZ51, C$8:C$57, 0), ($CZ$25-1)*5 + 2) &amp; "") = (INDEX(E$5:CE$5, 1, ($CZ$25-1)*5 + 1) &amp; ""), 2, IF((INDEX(E$8:CE$57, MATCH(CZ51, C$8:C$57, 0), ($CZ$25-1)*5 + 3) &amp; "") = (INDEX(E$5:CE$5, 1, ($CZ$25-1)*5 + 1) &amp; ""), 3, ""))))</f>
        <v/>
      </c>
      <c r="DB51" s="605">
        <f>SEMANA2[[#This Row],[COD]]</f>
        <v/>
      </c>
      <c r="DC51" s="395">
        <f t="array" ref="DC51">IFERROR(IF(AND(INDEX($E$8:$CE$57, MATCH($C51, $C$8:$C$57, 0), (COLUMNS($DC51:DC51)-1)*5 + 1) = INDEX($E$5:$CE$5, 1, (COLUMNS($DC51:DC51)-1)*5 + 1), INDEX($E$8:$CE$57, MATCH($C51, $C$8:$C$57, 0), (COLUMNS($DC51:DC51)-1)*5 + 4) = "F"), INDEX($CZ$8:$CZ$23, COLUMNS($DC51:DC51)), "0"), "")</f>
        <v/>
      </c>
      <c r="DD51" s="395">
        <f t="array" ref="DD51">IFERROR(IF(AND(INDEX($E$8:$CE$57, MATCH($C51, $C$8:$C$57, 0), (COLUMNS($DC51:DD51)-1)*5 + 1) = INDEX($E$5:$CE$5, 1, (COLUMNS($DC51:DD51)-1)*5 + 1), INDEX($E$8:$CE$57, MATCH($C51, $C$8:$C$57, 0), (COLUMNS($DC51:DD51)-1)*5 + 4) = "F"), INDEX($CZ$8:$CZ$23, COLUMNS($DC51:DD51)), "0"), "")</f>
        <v/>
      </c>
      <c r="DE51" s="395">
        <f t="array" ref="DE51">IFERROR(IF(AND(INDEX($E$8:$CE$57, MATCH($C51, $C$8:$C$57, 0), (COLUMNS($DC51:DE51)-1)*5 + 1) = INDEX($E$5:$CE$5, 1, (COLUMNS($DC51:DE51)-1)*5 + 1), INDEX($E$8:$CE$57, MATCH($C51, $C$8:$C$57, 0), (COLUMNS($DC51:DE51)-1)*5 + 4) = "F"), INDEX($CZ$8:$CZ$23, COLUMNS($DC51:DE51)), "0"), "")</f>
        <v/>
      </c>
      <c r="DF51" s="395">
        <f t="array" ref="DF51">IFERROR(IF(AND(INDEX($E$8:$CE$57, MATCH($C51, $C$8:$C$57, 0), (COLUMNS($DC51:DF51)-1)*5 + 1) = INDEX($E$5:$CE$5, 1, (COLUMNS($DC51:DF51)-1)*5 + 1), INDEX($E$8:$CE$57, MATCH($C51, $C$8:$C$57, 0), (COLUMNS($DC51:DF51)-1)*5 + 4) = "F"), INDEX($CZ$8:$CZ$23, COLUMNS($DC51:DF51)), "0"), "")</f>
        <v/>
      </c>
      <c r="DG51" s="395">
        <f t="array" ref="DG51">IFERROR(IF(AND(INDEX($E$8:$CE$57, MATCH($C51, $C$8:$C$57, 0), (COLUMNS($DC51:DG51)-1)*5 + 1) = INDEX($E$5:$CE$5, 1, (COLUMNS($DC51:DG51)-1)*5 + 1), INDEX($E$8:$CE$57, MATCH($C51, $C$8:$C$57, 0), (COLUMNS($DC51:DG51)-1)*5 + 4) = "F"), INDEX($CZ$8:$CZ$23, COLUMNS($DC51:DG51)), "0"), "")</f>
        <v/>
      </c>
      <c r="DH51" s="395">
        <f t="array" ref="DH51">IFERROR(IF(AND(INDEX($E$8:$CE$57, MATCH($C51, $C$8:$C$57, 0), (COLUMNS($DC51:DH51)-1)*5 + 1) = INDEX($E$5:$CE$5, 1, (COLUMNS($DC51:DH51)-1)*5 + 1), INDEX($E$8:$CE$57, MATCH($C51, $C$8:$C$57, 0), (COLUMNS($DC51:DH51)-1)*5 + 4) = "F"), INDEX($CZ$8:$CZ$23, COLUMNS($DC51:DH51)), "0"), "")</f>
        <v/>
      </c>
      <c r="DI51" s="395">
        <f t="array" ref="DI51">IFERROR(IF(AND(INDEX($E$8:$CE$57, MATCH($C51, $C$8:$C$57, 0), (COLUMNS($DC51:DI51)-1)*5 + 1) = INDEX($E$5:$CE$5, 1, (COLUMNS($DC51:DI51)-1)*5 + 1), INDEX($E$8:$CE$57, MATCH($C51, $C$8:$C$57, 0), (COLUMNS($DC51:DI51)-1)*5 + 4) = "F"), INDEX($CZ$8:$CZ$23, COLUMNS($DC51:DI51)), "0"), "")</f>
        <v/>
      </c>
      <c r="DJ51" s="395">
        <f t="array" ref="DJ51">IFERROR(IF(AND(INDEX($E$8:$CE$57, MATCH($C51, $C$8:$C$57, 0), (COLUMNS($DC51:DJ51)-1)*5 + 1) = INDEX($E$5:$CE$5, 1, (COLUMNS($DC51:DJ51)-1)*5 + 1), INDEX($E$8:$CE$57, MATCH($C51, $C$8:$C$57, 0), (COLUMNS($DC51:DJ51)-1)*5 + 4) = "F"), INDEX($CZ$8:$CZ$23, COLUMNS($DC51:DJ51)), "0"), "")</f>
        <v/>
      </c>
      <c r="DK51" s="395">
        <f t="array" ref="DK51">IFERROR(IF(AND(INDEX($E$8:$CE$57, MATCH($C51, $C$8:$C$57, 0), (COLUMNS($DC51:DK51)-1)*5 + 1) = INDEX($E$5:$CE$5, 1, (COLUMNS($DC51:DK51)-1)*5 + 1), INDEX($E$8:$CE$57, MATCH($C51, $C$8:$C$57, 0), (COLUMNS($DC51:DK51)-1)*5 + 4) = "F"), INDEX($CZ$8:$CZ$23, COLUMNS($DC51:DK51)), "0"), "")</f>
        <v/>
      </c>
      <c r="DL51" s="395">
        <f t="array" ref="DL51">IFERROR(IF(AND(INDEX($E$8:$CE$57, MATCH($C51, $C$8:$C$57, 0), (COLUMNS($DC51:DL51)-1)*5 + 1) = INDEX($E$5:$CE$5, 1, (COLUMNS($DC51:DL51)-1)*5 + 1), INDEX($E$8:$CE$57, MATCH($C51, $C$8:$C$57, 0), (COLUMNS($DC51:DL51)-1)*5 + 4) = "F"), INDEX($CZ$8:$CZ$23, COLUMNS($DC51:DL51)), "0"), "")</f>
        <v/>
      </c>
      <c r="DM51" s="395">
        <f t="array" ref="DM51">IFERROR(IF(AND(INDEX($E$8:$CE$57, MATCH($C51, $C$8:$C$57, 0), (COLUMNS($DC51:DM51)-1)*5 + 1) = INDEX($E$5:$CE$5, 1, (COLUMNS($DC51:DM51)-1)*5 + 1), INDEX($E$8:$CE$57, MATCH($C51, $C$8:$C$57, 0), (COLUMNS($DC51:DM51)-1)*5 + 4) = "F"), INDEX($CZ$8:$CZ$23, COLUMNS($DC51:DM51)), "0"), "")</f>
        <v/>
      </c>
      <c r="DN51" s="395">
        <f t="array" ref="DN51">IFERROR(IF(AND(INDEX($E$8:$CE$57, MATCH($C51, $C$8:$C$57, 0), (COLUMNS($DC51:DN51)-1)*5 + 1) = INDEX($E$5:$CE$5, 1, (COLUMNS($DC51:DN51)-1)*5 + 1), INDEX($E$8:$CE$57, MATCH($C51, $C$8:$C$57, 0), (COLUMNS($DC51:DN51)-1)*5 + 4) = "F"), INDEX($CZ$8:$CZ$23, COLUMNS($DC51:DN51)), "0"), "")</f>
        <v/>
      </c>
      <c r="DO51" s="395">
        <f t="array" ref="DO51">IFERROR(IF(AND(INDEX($E$8:$CE$57, MATCH($C51, $C$8:$C$57, 0), (COLUMNS($DC51:DO51)-1)*5 + 1) = INDEX($E$5:$CE$5, 1, (COLUMNS($DC51:DO51)-1)*5 + 1), INDEX($E$8:$CE$57, MATCH($C51, $C$8:$C$57, 0), (COLUMNS($DC51:DO51)-1)*5 + 4) = "F"), INDEX($CZ$8:$CZ$23, COLUMNS($DC51:DO51)), "0"), "")</f>
        <v/>
      </c>
      <c r="DP51" s="395">
        <f t="array" ref="DP51">IFERROR(IF(AND(INDEX($E$8:$CE$57, MATCH($C51, $C$8:$C$57, 0), (COLUMNS($DC51:DP51)-1)*5 + 1) = INDEX($E$5:$CE$5, 1, (COLUMNS($DC51:DP51)-1)*5 + 1), INDEX($E$8:$CE$57, MATCH($C51, $C$8:$C$57, 0), (COLUMNS($DC51:DP51)-1)*5 + 4) = "F"), INDEX($CZ$8:$CZ$23, COLUMNS($DC51:DP51)), "0"), "")</f>
        <v/>
      </c>
      <c r="DQ51" s="395">
        <f t="array" ref="DQ51">IFERROR(IF(AND(INDEX($E$8:$CE$57, MATCH($C51, $C$8:$C$57, 0), (COLUMNS($DC51:DQ51)-1)*5 + 1) = INDEX($E$5:$CE$5, 1, (COLUMNS($DC51:DQ51)-1)*5 + 1), INDEX($E$8:$CE$57, MATCH($C51, $C$8:$C$57, 0), (COLUMNS($DC51:DQ51)-1)*5 + 4) = "F"), INDEX($CZ$8:$CZ$23, COLUMNS($DC51:DQ51)), "0"), "")</f>
        <v/>
      </c>
      <c r="DR51" s="395">
        <f t="array" ref="DR51">IFERROR(IF(AND(INDEX($E$8:$CE$57, MATCH($C51, $C$8:$C$57, 0), (COLUMNS($DC51:DR51)-1)*5 + 1) = INDEX($E$5:$CE$5, 1, (COLUMNS($DC51:DR51)-1)*5 + 1), INDEX($E$8:$CE$57, MATCH($C51, $C$8:$C$57, 0), (COLUMNS($DC51:DR51)-1)*5 + 4) = "F"), INDEX($CZ$8:$CZ$23, COLUMNS($DC51:DR51)), "0"), "")</f>
        <v/>
      </c>
      <c r="DT51" s="605">
        <f>SEMANA2[[#This Row],[COD]]</f>
        <v/>
      </c>
      <c r="DU51" s="395">
        <f t="array" ref="DU51">IFERROR(IF(AND(INDEX($E$8:$CE$57, MATCH($C51, $C$8:$C$57, 0), (COLUMNS($DU51:DU51)-1)*5 + 1) = INDEX($E$5:$CE$5, 1, (COLUMNS($DU51:DU51)-1)*5 + 1), INDEX($E$8:$CE$57, MATCH($C51, $C$8:$C$57, 0), (COLUMNS($DU51:DU51)-1)*5 + 4) = "SF"), INDEX($CZ$8:$CZ$23, COLUMNS($DU51:DU51)), "0"), "")</f>
        <v/>
      </c>
      <c r="DV51" s="395">
        <f t="array" ref="DV51">IFERROR(IF(AND(INDEX($E$8:$CE$57, MATCH($C51, $C$8:$C$57, 0), (COLUMNS($DU51:DV51)-1)*5 + 1) = INDEX($E$5:$CE$5, 1, (COLUMNS($DU51:DV51)-1)*5 + 1), INDEX($E$8:$CE$57, MATCH($C51, $C$8:$C$57, 0), (COLUMNS($DU51:DV51)-1)*5 + 4) = "SF"), INDEX($CZ$8:$CZ$23, COLUMNS($DU51:DV51)), "0"), "")</f>
        <v/>
      </c>
      <c r="DW51" s="395">
        <f t="array" ref="DW51">IFERROR(IF(AND(INDEX($E$8:$CE$57, MATCH($C51, $C$8:$C$57, 0), (COLUMNS($DU51:DW51)-1)*5 + 1) = INDEX($E$5:$CE$5, 1, (COLUMNS($DU51:DW51)-1)*5 + 1), INDEX($E$8:$CE$57, MATCH($C51, $C$8:$C$57, 0), (COLUMNS($DU51:DW51)-1)*5 + 4) = "SF"), INDEX($CZ$8:$CZ$23, COLUMNS($DU51:DW51)), "0"), "")</f>
        <v/>
      </c>
      <c r="DX51" s="395">
        <f t="array" ref="DX51">IFERROR(IF(AND(INDEX($E$8:$CE$57, MATCH($C51, $C$8:$C$57, 0), (COLUMNS($DU51:DX51)-1)*5 + 1) = INDEX($E$5:$CE$5, 1, (COLUMNS($DU51:DX51)-1)*5 + 1), INDEX($E$8:$CE$57, MATCH($C51, $C$8:$C$57, 0), (COLUMNS($DU51:DX51)-1)*5 + 4) = "SF"), INDEX($CZ$8:$CZ$23, COLUMNS($DU51:DX51)), "0"), "")</f>
        <v/>
      </c>
      <c r="DY51" s="395">
        <f t="array" ref="DY51">IFERROR(IF(AND(INDEX($E$8:$CE$57, MATCH($C51, $C$8:$C$57, 0), (COLUMNS($DU51:DY51)-1)*5 + 1) = INDEX($E$5:$CE$5, 1, (COLUMNS($DU51:DY51)-1)*5 + 1), INDEX($E$8:$CE$57, MATCH($C51, $C$8:$C$57, 0), (COLUMNS($DU51:DY51)-1)*5 + 4) = "SF"), INDEX($CZ$8:$CZ$23, COLUMNS($DU51:DY51)), "0"), "")</f>
        <v/>
      </c>
      <c r="DZ51" s="395">
        <f t="array" ref="DZ51">IFERROR(IF(AND(INDEX($E$8:$CE$57, MATCH($C51, $C$8:$C$57, 0), (COLUMNS($DU51:DZ51)-1)*5 + 1) = INDEX($E$5:$CE$5, 1, (COLUMNS($DU51:DZ51)-1)*5 + 1), INDEX($E$8:$CE$57, MATCH($C51, $C$8:$C$57, 0), (COLUMNS($DU51:DZ51)-1)*5 + 4) = "SF"), INDEX($CZ$8:$CZ$23, COLUMNS($DU51:DZ51)), "0"), "")</f>
        <v/>
      </c>
      <c r="EA51" s="395">
        <f t="array" ref="EA51">IFERROR(IF(AND(INDEX($E$8:$CE$57, MATCH($C51, $C$8:$C$57, 0), (COLUMNS($DU51:EA51)-1)*5 + 1) = INDEX($E$5:$CE$5, 1, (COLUMNS($DU51:EA51)-1)*5 + 1), INDEX($E$8:$CE$57, MATCH($C51, $C$8:$C$57, 0), (COLUMNS($DU51:EA51)-1)*5 + 4) = "SF"), INDEX($CZ$8:$CZ$23, COLUMNS($DU51:EA51)), "0"), "")</f>
        <v/>
      </c>
      <c r="EB51" s="395">
        <f t="array" ref="EB51">IFERROR(IF(AND(INDEX($E$8:$CE$57, MATCH($C51, $C$8:$C$57, 0), (COLUMNS($DU51:EB51)-1)*5 + 1) = INDEX($E$5:$CE$5, 1, (COLUMNS($DU51:EB51)-1)*5 + 1), INDEX($E$8:$CE$57, MATCH($C51, $C$8:$C$57, 0), (COLUMNS($DU51:EB51)-1)*5 + 4) = "SF"), INDEX($CZ$8:$CZ$23, COLUMNS($DU51:EB51)), "0"), "")</f>
        <v/>
      </c>
      <c r="EC51" s="395">
        <f t="array" ref="EC51">IFERROR(IF(AND(INDEX($E$8:$CE$57, MATCH($C51, $C$8:$C$57, 0), (COLUMNS($DU51:EC51)-1)*5 + 1) = INDEX($E$5:$CE$5, 1, (COLUMNS($DU51:EC51)-1)*5 + 1), INDEX($E$8:$CE$57, MATCH($C51, $C$8:$C$57, 0), (COLUMNS($DU51:EC51)-1)*5 + 4) = "SF"), INDEX($CZ$8:$CZ$23, COLUMNS($DU51:EC51)), "0"), "")</f>
        <v/>
      </c>
      <c r="ED51" s="395">
        <f t="array" ref="ED51">IFERROR(IF(AND(INDEX($E$8:$CE$57, MATCH($C51, $C$8:$C$57, 0), (COLUMNS($DU51:ED51)-1)*5 + 1) = INDEX($E$5:$CE$5, 1, (COLUMNS($DU51:ED51)-1)*5 + 1), INDEX($E$8:$CE$57, MATCH($C51, $C$8:$C$57, 0), (COLUMNS($DU51:ED51)-1)*5 + 4) = "SF"), INDEX($CZ$8:$CZ$23, COLUMNS($DU51:ED51)), "0"), "")</f>
        <v/>
      </c>
      <c r="EE51" s="395">
        <f t="array" ref="EE51">IFERROR(IF(AND(INDEX($E$8:$CE$57, MATCH($C51, $C$8:$C$57, 0), (COLUMNS($DU51:EE51)-1)*5 + 1) = INDEX($E$5:$CE$5, 1, (COLUMNS($DU51:EE51)-1)*5 + 1), INDEX($E$8:$CE$57, MATCH($C51, $C$8:$C$57, 0), (COLUMNS($DU51:EE51)-1)*5 + 4) = "SF"), INDEX($CZ$8:$CZ$23, COLUMNS($DU51:EE51)), "0"), "")</f>
        <v/>
      </c>
      <c r="EF51" s="395">
        <f t="array" ref="EF51">IFERROR(IF(AND(INDEX($E$8:$CE$57, MATCH($C51, $C$8:$C$57, 0), (COLUMNS($DU51:EF51)-1)*5 + 1) = INDEX($E$5:$CE$5, 1, (COLUMNS($DU51:EF51)-1)*5 + 1), INDEX($E$8:$CE$57, MATCH($C51, $C$8:$C$57, 0), (COLUMNS($DU51:EF51)-1)*5 + 4) = "SF"), INDEX($CZ$8:$CZ$23, COLUMNS($DU51:EF51)), "0"), "")</f>
        <v/>
      </c>
      <c r="EG51" s="395">
        <f t="array" ref="EG51">IFERROR(IF(AND(INDEX($E$8:$CE$57, MATCH($C51, $C$8:$C$57, 0), (COLUMNS($DU51:EG51)-1)*5 + 1) = INDEX($E$5:$CE$5, 1, (COLUMNS($DU51:EG51)-1)*5 + 1), INDEX($E$8:$CE$57, MATCH($C51, $C$8:$C$57, 0), (COLUMNS($DU51:EG51)-1)*5 + 4) = "SF"), INDEX($CZ$8:$CZ$23, COLUMNS($DU51:EG51)), "0"), "")</f>
        <v/>
      </c>
      <c r="EH51" s="395">
        <f t="array" ref="EH51">IFERROR(IF(AND(INDEX($E$8:$CE$57, MATCH($C51, $C$8:$C$57, 0), (COLUMNS($DU51:EH51)-1)*5 + 1) = INDEX($E$5:$CE$5, 1, (COLUMNS($DU51:EH51)-1)*5 + 1), INDEX($E$8:$CE$57, MATCH($C51, $C$8:$C$57, 0), (COLUMNS($DU51:EH51)-1)*5 + 4) = "SF"), INDEX($CZ$8:$CZ$23, COLUMNS($DU51:EH51)), "0"), "")</f>
        <v/>
      </c>
      <c r="EI51" s="395">
        <f t="array" ref="EI51">IFERROR(IF(AND(INDEX($E$8:$CE$57, MATCH($C51, $C$8:$C$57, 0), (COLUMNS($DU51:EI51)-1)*5 + 1) = INDEX($E$5:$CE$5, 1, (COLUMNS($DU51:EI51)-1)*5 + 1), INDEX($E$8:$CE$57, MATCH($C51, $C$8:$C$57, 0), (COLUMNS($DU51:EI51)-1)*5 + 4) = "SF"), INDEX($CZ$8:$CZ$23, COLUMNS($DU51:EI51)), "0"), "")</f>
        <v/>
      </c>
      <c r="EJ51" s="395">
        <f t="array" ref="EJ51">IFERROR(IF(AND(INDEX($E$8:$CE$57, MATCH($C51, $C$8:$C$57, 0), (COLUMNS($DU51:EJ51)-1)*5 + 1) = INDEX($E$5:$CE$5, 1, (COLUMNS($DU51:EJ51)-1)*5 + 1), INDEX($E$8:$CE$57, MATCH($C51, $C$8:$C$57, 0), (COLUMNS($DU51:EJ51)-1)*5 + 4) = "SF"), INDEX($CZ$8:$CZ$23, COLUMNS($DU51:EJ51)), "0"), "")</f>
        <v/>
      </c>
    </row>
    <row r="52" outlineLevel="1" ht="20.1" customHeight="1" s="568">
      <c r="A52" s="576" t="n"/>
      <c r="B52" s="449">
        <f>IF(SEMANA2[[#This Row],[COD]]&lt;&gt;"",B51+1,"")</f>
        <v/>
      </c>
      <c r="C52" s="622" t="inlineStr">
        <is>
          <t>COD 45</t>
        </is>
      </c>
      <c r="D52" s="415">
        <f t="array" ref="D52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2" s="416" t="n"/>
      <c r="F52" s="418" t="n"/>
      <c r="G52" s="418" t="n"/>
      <c r="H52" s="418" t="n"/>
      <c r="I52" s="602">
        <f>SUM(IF(E52=E$5,4,0),IF(E52&amp;F52=E$5&amp;F$5,1,0),
IF(AND(E52=E$5,F$6&gt;=$D$115),1,0),
IF(AND(F52=E$5,F$6&gt;=$D$115),1,0),
IF(AND(G52=E$5,F$6&gt;=$D$115),1,0),
IF(E52&amp;H52=I$5,1,0),
IF(F52=E$5,2,0),
IF(G52=E$5,1,0),
IF(OR(E52&amp;F52&amp;G52=E$5&amp;F$5&amp;G$5,E52&amp;F52&amp;G52=E$5&amp;G$5&amp;F$5,E52&amp;F52&amp;G52=F$5&amp;E$5&amp;G$5,E52&amp;F52&amp;G52=F$5&amp;G$5&amp;E$5,E52&amp;F52&amp;G52=G$5&amp;E$5&amp;F$5,E52&amp;F52&amp;G52=G$5&amp;F$5&amp;E$5),2,0),IF(AND(E52=E$5,F$6&gt;=$D$129),1,0),IF(AND(F52=E$5,F$6&gt;=$D$129),1,0),IF(AND(G52=E$5,F$6&gt;=$D$129),1,0),IF(E52&amp;H52=H$5,4,0),IF(AND(E52=E$5,F$6&lt;=$D$104),-0.5,0),IF(AND(F52=E$5,F$6&lt;=$D$104),-0.5,0),IF(AND(G52=E$5,F$6&lt;=$D$104),-0.5,0))</f>
        <v/>
      </c>
      <c r="J52" s="416" t="n"/>
      <c r="K52" s="418" t="n"/>
      <c r="L52" s="418" t="n"/>
      <c r="M52" s="418" t="n"/>
      <c r="N52" s="602">
        <f>SUM(IF(J52=J$5,4,0),IF(J52&amp;K52=J$5&amp;K$5,1,0),
IF(AND(J52=J$5,K$6&gt;=$D$115),1,0),
IF(AND(K52=J$5,K$6&gt;=$D$115),1,0),
IF(AND(L52=J$5,K$6&gt;=$D$115),1,0),
IF(J52&amp;M52=N$5,1,0),
IF(K52=J$5,2,0),
IF(L52=J$5,1,0),
IF(OR(J52&amp;K52&amp;L52=J$5&amp;K$5&amp;L$5,J52&amp;K52&amp;L52=J$5&amp;L$5&amp;K$5,J52&amp;K52&amp;L52=K$5&amp;J$5&amp;L$5,J52&amp;K52&amp;L52=K$5&amp;L$5&amp;J$5,J52&amp;K52&amp;L52=L$5&amp;J$5&amp;K$5,J52&amp;K52&amp;L52=L$5&amp;K$5&amp;J$5),2,0),IF(AND(J52=J$5,K$6&gt;=$D$129),1,0),IF(AND(K52=J$5,K$6&gt;=$D$129),1,0),IF(AND(L52=J$5,K$6&gt;=$D$129),1,0),IF(J52&amp;M52=M$5,4,0),IF(AND(J52=J$5,K$6&lt;=$D$104),-0.5,0),IF(AND(K52=J$5,K$6&lt;=$D$104),-0.5,0),IF(AND(L52=J$5,K$6&lt;=$D$104),-0.5,0))</f>
        <v/>
      </c>
      <c r="O52" s="416" t="n"/>
      <c r="P52" s="418" t="n"/>
      <c r="Q52" s="418" t="n"/>
      <c r="R52" s="418" t="n"/>
      <c r="S52" s="602">
        <f>SUM(IF(O52=O$5,4,0),IF(O52&amp;P52=O$5&amp;P$5,1,0),
IF(AND(O52=O$5,P$6&gt;=$D$115),1,0),
IF(AND(P52=O$5,P$6&gt;=$D$115),1,0),
IF(AND(Q52=O$5,P$6&gt;=$D$115),1,0),
IF(O52&amp;R52=S$5,1,0),
IF(P52=O$5,2,0),
IF(Q52=O$5,1,0),
IF(OR(O52&amp;P52&amp;Q52=O$5&amp;P$5&amp;Q$5,O52&amp;P52&amp;Q52=O$5&amp;Q$5&amp;P$5,O52&amp;P52&amp;Q52=P$5&amp;O$5&amp;Q$5,O52&amp;P52&amp;Q52=P$5&amp;Q$5&amp;O$5,O52&amp;P52&amp;Q52=Q$5&amp;O$5&amp;P$5,O52&amp;P52&amp;Q52=Q$5&amp;P$5&amp;O$5),2,0),IF(AND(O52=O$5,P$6&gt;=$D$129),1,0),IF(AND(P52=O$5,P$6&gt;=$D$129),1,0),IF(AND(Q52=O$5,P$6&gt;=$D$129),1,0),IF(O52&amp;R52=R$5,4,0),IF(AND(O52=O$5,P$6&lt;=$D$104),-0.5,0),IF(AND(P52=O$5,P$6&lt;=$D$104),-0.5,0),IF(AND(Q52=O$5,P$6&lt;=$D$104),-0.5,0))</f>
        <v/>
      </c>
      <c r="T52" s="416" t="n"/>
      <c r="U52" s="418" t="n"/>
      <c r="V52" s="418" t="n"/>
      <c r="W52" s="418" t="n"/>
      <c r="X52" s="602">
        <f>SUM(IF(T52=T$5,4,0),IF(T52&amp;U52=T$5&amp;U$5,1,0),
IF(AND(T52=T$5,U$6&gt;=$D$115),1,0),
IF(AND(U52=T$5,U$6&gt;=$D$115),1,0),
IF(AND(V52=T$5,U$6&gt;=$D$115),1,0),
IF(T52&amp;W52=X$5,1,0),
IF(U52=T$5,2,0),
IF(V52=T$5,1,0),
IF(OR(T52&amp;U52&amp;V52=T$5&amp;U$5&amp;V$5,T52&amp;U52&amp;V52=T$5&amp;V$5&amp;U$5,T52&amp;U52&amp;V52=U$5&amp;T$5&amp;V$5,T52&amp;U52&amp;V52=U$5&amp;V$5&amp;T$5,T52&amp;U52&amp;V52=V$5&amp;T$5&amp;U$5,T52&amp;U52&amp;V52=V$5&amp;U$5&amp;T$5),2,0),IF(AND(T52=T$5,U$6&gt;=$D$129),1,0),IF(AND(U52=T$5,U$6&gt;=$D$129),1,0),IF(AND(V52=T$5,U$6&gt;=$D$129),1,0),IF(T52&amp;W52=W$5,4,0),IF(AND(T52=T$5,U$6&lt;=$D$104),-0.5,0),IF(AND(U52=T$5,U$6&lt;=$D$104),-0.5,0),IF(AND(V52=T$5,U$6&lt;=$D$104),-0.5,0))</f>
        <v/>
      </c>
      <c r="Y52" s="416" t="n"/>
      <c r="Z52" s="418" t="n"/>
      <c r="AA52" s="418" t="n"/>
      <c r="AB52" s="418" t="n"/>
      <c r="AC52" s="602">
        <f>SUM(IF(Y52=Y$5,4,0),IF(Y52&amp;Z52=Y$5&amp;Z$5,1,0),
IF(AND(Y52=Y$5,Z$6&gt;=$D$115),1,0),
IF(AND(Z52=Y$5,Z$6&gt;=$D$115),1,0),
IF(AND(AA52=Y$5,Z$6&gt;=$D$115),1,0),
IF(Y52&amp;AB52=AC$5,1,0),
IF(Z52=Y$5,2,0),
IF(AA52=Y$5,1,0),
IF(OR(Y52&amp;Z52&amp;AA52=Y$5&amp;Z$5&amp;AA$5,Y52&amp;Z52&amp;AA52=Y$5&amp;AA$5&amp;Z$5,Y52&amp;Z52&amp;AA52=Z$5&amp;Y$5&amp;AA$5,Y52&amp;Z52&amp;AA52=Z$5&amp;AA$5&amp;Y$5,Y52&amp;Z52&amp;AA52=AA$5&amp;Y$5&amp;Z$5,Y52&amp;Z52&amp;AA52=AA$5&amp;Z$5&amp;Y$5),2,0),IF(AND(Y52=Y$5,Z$6&gt;=$D$129),1,0),IF(AND(Z52=Y$5,Z$6&gt;=$D$129),1,0),IF(AND(AA52=Y$5,Z$6&gt;=$D$129),1,0),IF(Y52&amp;AB52=AB$5,4,0),IF(AND(Y52=Y$5,Z$6&lt;=$D$104),-0.5,0),IF(AND(Z52=Y$5,Z$6&lt;=$D$104),-0.5,0),IF(AND(AA52=Y$5,Z$6&lt;=$D$104),-0.5,0))</f>
        <v/>
      </c>
      <c r="AD52" s="416" t="n"/>
      <c r="AE52" s="418" t="n"/>
      <c r="AF52" s="418" t="n"/>
      <c r="AG52" s="418" t="n"/>
      <c r="AH52" s="602">
        <f>SUM(IF(AD52=AD$5,4,0),IF(AD52&amp;AE52=AD$5&amp;AE$5,1,0),
IF(AND(AD52=AD$5,AE$6&gt;=$D$115),1,0),
IF(AND(AE52=AD$5,AE$6&gt;=$D$115),1,0),
IF(AND(AF52=AD$5,AE$6&gt;=$D$115),1,0),
IF(AD52&amp;AG52=AH$5,1,0),
IF(AE52=AD$5,2,0),
IF(AF52=AD$5,1,0),
IF(OR(AD52&amp;AE52&amp;AF52=AD$5&amp;AE$5&amp;AF$5,AD52&amp;AE52&amp;AF52=AD$5&amp;AF$5&amp;AE$5,AD52&amp;AE52&amp;AF52=AE$5&amp;AD$5&amp;AF$5,AD52&amp;AE52&amp;AF52=AE$5&amp;AF$5&amp;AD$5,AD52&amp;AE52&amp;AF52=AF$5&amp;AD$5&amp;AE$5,AD52&amp;AE52&amp;AF52=AF$5&amp;AE$5&amp;AD$5),2,0),IF(AND(AD52=AD$5,AE$6&gt;=$D$129),1,0),IF(AND(AE52=AD$5,AE$6&gt;=$D$129),1,0),IF(AND(AF52=AD$5,AE$6&gt;=$D$129),1,0),IF(AD52&amp;AG52=AG$5,4,0),IF(AND(AD52=AD$5,AE$6&lt;=$D$104),-0.5,0),IF(AND(AE52=AD$5,AE$6&lt;=$D$104),-0.5,0),IF(AND(AF52=AD$5,AE$6&lt;=$D$104),-0.5,0))</f>
        <v/>
      </c>
      <c r="AI52" s="416" t="n"/>
      <c r="AJ52" s="418" t="n"/>
      <c r="AK52" s="418" t="n"/>
      <c r="AL52" s="418" t="n"/>
      <c r="AM52" s="602">
        <f>SUM(IF(AI52=AI$5,4,0),IF(AI52&amp;AJ52=AI$5&amp;AJ$5,1,0),
IF(AND(AI52=AI$5,AJ$6&gt;=$D$115),1,0),
IF(AND(AJ52=AI$5,AJ$6&gt;=$D$115),1,0),
IF(AND(AK52=AI$5,AJ$6&gt;=$D$115),1,0),
IF(AI52&amp;AL52=AM$5,1,0),
IF(AJ52=AI$5,2,0),
IF(AK52=AI$5,1,0),
IF(OR(AI52&amp;AJ52&amp;AK52=AI$5&amp;AJ$5&amp;AK$5,AI52&amp;AJ52&amp;AK52=AI$5&amp;AK$5&amp;AJ$5,AI52&amp;AJ52&amp;AK52=AJ$5&amp;AI$5&amp;AK$5,AI52&amp;AJ52&amp;AK52=AJ$5&amp;AK$5&amp;AI$5,AI52&amp;AJ52&amp;AK52=AK$5&amp;AI$5&amp;AJ$5,AI52&amp;AJ52&amp;AK52=AK$5&amp;AJ$5&amp;AI$5),2,0),IF(AND(AI52=AI$5,AJ$6&gt;=$D$129),1,0),IF(AND(AJ52=AI$5,AJ$6&gt;=$D$129),1,0),IF(AND(AK52=AI$5,AJ$6&gt;=$D$129),1,0),IF(AI52&amp;AL52=AL$5,4,0),IF(AND(AI52=AI$5,AJ$6&lt;=$D$104),-0.5,0),IF(AND(AJ52=AI$5,AJ$6&lt;=$D$104),-0.5,0),IF(AND(AK52=AI$5,AJ$6&lt;=$D$104),-0.5,0))</f>
        <v/>
      </c>
      <c r="AN52" s="416" t="n"/>
      <c r="AO52" s="418" t="n"/>
      <c r="AP52" s="418" t="n"/>
      <c r="AQ52" s="418" t="n"/>
      <c r="AR52" s="602">
        <f>SUM(IF(AN52=AN$5,4,0),IF(AN52&amp;AO52=AN$5&amp;AO$5,1,0),
IF(AND(AN52=AN$5,AO$6&gt;=$D$115),1,0),
IF(AND(AO52=AN$5,AO$6&gt;=$D$115),1,0),
IF(AND(AP52=AN$5,AO$6&gt;=$D$115),1,0),
IF(AN52&amp;AQ52=AR$5,1,0),
IF(AO52=AN$5,2,0),
IF(AP52=AN$5,1,0),
IF(OR(AN52&amp;AO52&amp;AP52=AN$5&amp;AO$5&amp;AP$5,AN52&amp;AO52&amp;AP52=AN$5&amp;AP$5&amp;AO$5,AN52&amp;AO52&amp;AP52=AO$5&amp;AN$5&amp;AP$5,AN52&amp;AO52&amp;AP52=AO$5&amp;AP$5&amp;AN$5,AN52&amp;AO52&amp;AP52=AP$5&amp;AN$5&amp;AO$5,AN52&amp;AO52&amp;AP52=AP$5&amp;AO$5&amp;AN$5),2,0),IF(AND(AN52=AN$5,AO$6&gt;=$D$129),1,0),IF(AND(AO52=AN$5,AO$6&gt;=$D$129),1,0),IF(AND(AP52=AN$5,AO$6&gt;=$D$129),1,0),IF(AN52&amp;AQ52=AQ$5,4,0),IF(AND(AN52=AN$5,AO$6&lt;=$D$104),-0.5,0),IF(AND(AO52=AN$5,AO$6&lt;=$D$104),-0.5,0),IF(AND(AP52=AN$5,AO$6&lt;=$D$104),-0.5,0))</f>
        <v/>
      </c>
      <c r="AS52" s="416" t="n"/>
      <c r="AT52" s="418" t="n"/>
      <c r="AU52" s="418" t="n"/>
      <c r="AV52" s="418" t="n"/>
      <c r="AW52" s="602">
        <f>SUM(IF(AS52=AS$5,4,0),IF(AS52&amp;AT52=AS$5&amp;AT$5,1,0),
IF(AND(AS52=AS$5,AT$6&gt;=$D$115),1,0),
IF(AND(AT52=AS$5,AT$6&gt;=$D$115),1,0),
IF(AND(AU52=AS$5,AT$6&gt;=$D$115),1,0),
IF(AS52&amp;AV52=AW$5,1,0),
IF(AT52=AS$5,2,0),
IF(AU52=AS$5,1,0),
IF(OR(AS52&amp;AT52&amp;AU52=AS$5&amp;AT$5&amp;AU$5,AS52&amp;AT52&amp;AU52=AS$5&amp;AU$5&amp;AT$5,AS52&amp;AT52&amp;AU52=AT$5&amp;AS$5&amp;AU$5,AS52&amp;AT52&amp;AU52=AT$5&amp;AU$5&amp;AS$5,AS52&amp;AT52&amp;AU52=AU$5&amp;AS$5&amp;AT$5,AS52&amp;AT52&amp;AU52=AU$5&amp;AT$5&amp;AS$5),2,0),IF(AND(AS52=AS$5,AT$6&gt;=$D$129),1,0),IF(AND(AT52=AS$5,AT$6&gt;=$D$129),1,0),IF(AND(AU52=AS$5,AT$6&gt;=$D$129),1,0),IF(AS52&amp;AV52=AV$5,4,0),IF(AND(AS52=AS$5,AT$6&lt;=$D$104),-0.5,0),IF(AND(AT52=AS$5,AT$6&lt;=$D$104),-0.5,0),IF(AND(AU52=AS$5,AT$6&lt;=$D$104),-0.5,0))</f>
        <v/>
      </c>
      <c r="AX52" s="416" t="n"/>
      <c r="AY52" s="418" t="n"/>
      <c r="AZ52" s="418" t="n"/>
      <c r="BA52" s="418" t="n"/>
      <c r="BB52" s="602">
        <f>SUM(IF(AX52=AX$5,4,0),IF(AX52&amp;AY52=AX$5&amp;AY$5,1,0),
IF(AND(AX52=AX$5,AY$6&gt;=$D$115),1,0),
IF(AND(AY52=AX$5,AY$6&gt;=$D$115),1,0),
IF(AND(AZ52=AX$5,AY$6&gt;=$D$115),1,0),
IF(AX52&amp;BA52=BB$5,1,0),
IF(AY52=AX$5,2,0),
IF(AZ52=AX$5,1,0),
IF(OR(AX52&amp;AY52&amp;AZ52=AX$5&amp;AY$5&amp;AZ$5,AX52&amp;AY52&amp;AZ52=AX$5&amp;AZ$5&amp;AY$5,AX52&amp;AY52&amp;AZ52=AY$5&amp;AX$5&amp;AZ$5,AX52&amp;AY52&amp;AZ52=AY$5&amp;AZ$5&amp;AX$5,AX52&amp;AY52&amp;AZ52=AZ$5&amp;AX$5&amp;AY$5,AX52&amp;AY52&amp;AZ52=AZ$5&amp;AY$5&amp;AX$5),2,0),IF(AND(AX52=AX$5,AY$6&gt;=$D$129),1,0),IF(AND(AY52=AX$5,AY$6&gt;=$D$129),1,0),IF(AND(AZ52=AX$5,AY$6&gt;=$D$129),1,0),IF(AX52&amp;BA52=BA$5,4,0),IF(AND(AX52=AX$5,AY$6&lt;=$D$104),-0.5,0),IF(AND(AY52=AX$5,AY$6&lt;=$D$104),-0.5,0),IF(AND(AZ52=AX$5,AY$6&lt;=$D$104),-0.5,0))</f>
        <v/>
      </c>
      <c r="BC52" s="416" t="n"/>
      <c r="BD52" s="418" t="n"/>
      <c r="BE52" s="418" t="n"/>
      <c r="BF52" s="418" t="n"/>
      <c r="BG52" s="602">
        <f>SUM(IF(BC52=BC$5,4,0),IF(BC52&amp;BD52=BC$5&amp;BD$5,1,0),
IF(AND(BC52=BC$5,BD$6&gt;=$D$115),1,0),
IF(AND(BD52=BC$5,BD$6&gt;=$D$115),1,0),
IF(AND(BE52=BC$5,BD$6&gt;=$D$115),1,0),
IF(BC52&amp;BF52=BG$5,1,0),
IF(BD52=BC$5,2,0),
IF(BE52=BC$5,1,0),
IF(OR(BC52&amp;BD52&amp;BE52=BC$5&amp;BD$5&amp;BE$5,BC52&amp;BD52&amp;BE52=BC$5&amp;BE$5&amp;BD$5,BC52&amp;BD52&amp;BE52=BD$5&amp;BC$5&amp;BE$5,BC52&amp;BD52&amp;BE52=BD$5&amp;BE$5&amp;BC$5,BC52&amp;BD52&amp;BE52=BE$5&amp;BC$5&amp;BD$5,BC52&amp;BD52&amp;BE52=BE$5&amp;BD$5&amp;BC$5),2,0),IF(AND(BC52=BC$5,BD$6&gt;=$D$129),1,0),IF(AND(BD52=BC$5,BD$6&gt;=$D$129),1,0),IF(AND(BE52=BC$5,BD$6&gt;=$D$129),1,0),IF(BC52&amp;BF52=BF$5,4,0),IF(AND(BC52=BC$5,BD$6&lt;=$D$104),-0.5,0),IF(AND(BD52=BC$5,BD$6&lt;=$D$104),-0.5,0),IF(AND(BE52=BC$5,BD$6&lt;=$D$104),-0.5,0))</f>
        <v/>
      </c>
      <c r="BH52" s="416" t="n"/>
      <c r="BI52" s="418" t="n"/>
      <c r="BJ52" s="418" t="n"/>
      <c r="BK52" s="418" t="n"/>
      <c r="BL52" s="602">
        <f>SUM(IF(BH52=BH$5,4,0),IF(BH52&amp;BI52=BH$5&amp;BI$5,1,0),
IF(AND(BH52=BH$5,BI$6&gt;=$D$115),1,0),
IF(AND(BI52=BH$5,BI$6&gt;=$D$115),1,0),
IF(AND(BJ52=BH$5,BI$6&gt;=$D$115),1,0),
IF(BH52&amp;BK52=BL$5,1,0),
IF(BI52=BH$5,2,0),
IF(BJ52=BH$5,1,0),
IF(OR(BH52&amp;BI52&amp;BJ52=BH$5&amp;BI$5&amp;BJ$5,BH52&amp;BI52&amp;BJ52=BH$5&amp;BJ$5&amp;BI$5,BH52&amp;BI52&amp;BJ52=BI$5&amp;BH$5&amp;BJ$5,BH52&amp;BI52&amp;BJ52=BI$5&amp;BJ$5&amp;BH$5,BH52&amp;BI52&amp;BJ52=BJ$5&amp;BH$5&amp;BI$5,BH52&amp;BI52&amp;BJ52=BJ$5&amp;BI$5&amp;BH$5),2,0),IF(AND(BH52=BH$5,BI$6&gt;=$D$129),1,0),IF(AND(BI52=BH$5,BI$6&gt;=$D$129),1,0),IF(AND(BJ52=BH$5,BI$6&gt;=$D$129),1,0),IF(BH52&amp;BK52=BK$5,4,0),IF(AND(BH52=BH$5,BI$6&lt;=$D$104),-0.5,0),IF(AND(BI52=BH$5,BI$6&lt;=$D$104),-0.5,0),IF(AND(BJ52=BH$5,BI$6&lt;=$D$104),-0.5,0))</f>
        <v/>
      </c>
      <c r="BM52" s="416" t="n"/>
      <c r="BN52" s="418" t="n"/>
      <c r="BO52" s="418" t="n"/>
      <c r="BP52" s="418" t="n"/>
      <c r="BQ52" s="602">
        <f>SUM(IF(BM52=BM$5,4,0),IF(BM52&amp;BN52=BM$5&amp;BN$5,1,0),
IF(AND(BM52=BM$5,BN$6&gt;=$D$115),1,0),
IF(AND(BN52=BM$5,BN$6&gt;=$D$115),1,0),
IF(AND(BO52=BM$5,BN$6&gt;=$D$115),1,0),
IF(BM52&amp;BP52=BQ$5,1,0),
IF(BN52=BM$5,2,0),
IF(BO52=BM$5,1,0),
IF(OR(BM52&amp;BN52&amp;BO52=BM$5&amp;BN$5&amp;BO$5,BM52&amp;BN52&amp;BO52=BM$5&amp;BO$5&amp;BN$5,BM52&amp;BN52&amp;BO52=BN$5&amp;BM$5&amp;BO$5,BM52&amp;BN52&amp;BO52=BN$5&amp;BO$5&amp;BM$5,BM52&amp;BN52&amp;BO52=BO$5&amp;BM$5&amp;BN$5,BM52&amp;BN52&amp;BO52=BO$5&amp;BN$5&amp;BM$5),2,0),IF(AND(BM52=BM$5,BN$6&gt;=$D$129),1,0),IF(AND(BN52=BM$5,BN$6&gt;=$D$129),1,0),IF(AND(BO52=BM$5,BN$6&gt;=$D$129),1,0),IF(BM52&amp;BP52=BP$5,4,0),IF(AND(BM52=BM$5,BN$6&lt;=$D$104),-0.5,0),IF(AND(BN52=BM$5,BN$6&lt;=$D$104),-0.5,0),IF(AND(BO52=BM$5,BN$6&lt;=$D$104),-0.5,0))</f>
        <v/>
      </c>
      <c r="BR52" s="416" t="n"/>
      <c r="BS52" s="418" t="n"/>
      <c r="BT52" s="418" t="n"/>
      <c r="BU52" s="418" t="n"/>
      <c r="BV52" s="602">
        <f>SUM(IF(BR52=BR$5,4,0),IF(BR52&amp;BS52=BR$5&amp;BS$5,1,0),
IF(AND(BR52=BR$5,BS$6&gt;=$D$115),1,0),
IF(AND(BS52=BR$5,BS$6&gt;=$D$115),1,0),
IF(AND(BT52=BR$5,BS$6&gt;=$D$115),1,0),
IF(BR52&amp;BU52=BV$5,1,0),
IF(BS52=BR$5,2,0),
IF(BT52=BR$5,1,0),
IF(OR(BR52&amp;BS52&amp;BT52=BR$5&amp;BS$5&amp;BT$5,BR52&amp;BS52&amp;BT52=BR$5&amp;BT$5&amp;BS$5,BR52&amp;BS52&amp;BT52=BS$5&amp;BR$5&amp;BT$5,BR52&amp;BS52&amp;BT52=BS$5&amp;BT$5&amp;BR$5,BR52&amp;BS52&amp;BT52=BT$5&amp;BR$5&amp;BS$5,BR52&amp;BS52&amp;BT52=BT$5&amp;BS$5&amp;BR$5),2,0),IF(AND(BR52=BR$5,BS$6&gt;=$D$129),1,0),IF(AND(BS52=BR$5,BS$6&gt;=$D$129),1,0),IF(AND(BT52=BR$5,BS$6&gt;=$D$129),1,0),IF(BR52&amp;BU52=BU$5,4,0),IF(AND(BR52=BR$5,BS$6&lt;=$D$104),-0.5,0),IF(AND(BS52=BR$5,BS$6&lt;=$D$104),-0.5,0),IF(AND(BT52=BR$5,BS$6&lt;=$D$104),-0.5,0))</f>
        <v/>
      </c>
      <c r="BW52" s="416" t="n"/>
      <c r="BX52" s="418" t="n"/>
      <c r="BY52" s="418" t="n"/>
      <c r="BZ52" s="418" t="n"/>
      <c r="CA52" s="602">
        <f>SUM(IF(BW52=BW$5,4,0),IF(BW52&amp;BX52=BW$5&amp;BX$5,1,0),
IF(AND(BW52=BW$5,BX$6&gt;=$D$115),1,0),
IF(AND(BX52=BW$5,BX$6&gt;=$D$115),1,0),
IF(AND(BY52=BW$5,BX$6&gt;=$D$115),1,0),
IF(BW52&amp;BZ52=CA$5,1,0),
IF(BX52=BW$5,2,0),
IF(BY52=BW$5,1,0),
IF(OR(BW52&amp;BX52&amp;BY52=BW$5&amp;BX$5&amp;BY$5,BW52&amp;BX52&amp;BY52=BW$5&amp;BY$5&amp;BX$5,BW52&amp;BX52&amp;BY52=BX$5&amp;BW$5&amp;BY$5,BW52&amp;BX52&amp;BY52=BX$5&amp;BY$5&amp;BW$5,BW52&amp;BX52&amp;BY52=BY$5&amp;BW$5&amp;BX$5,BW52&amp;BX52&amp;BY52=BY$5&amp;BX$5&amp;BW$5),2,0),IF(AND(BW52=BW$5,BX$6&gt;=$D$129),1,0),IF(AND(BX52=BW$5,BX$6&gt;=$D$129),1,0),IF(AND(BY52=BW$5,BX$6&gt;=$D$129),1,0),IF(BW52&amp;BZ52=BZ$5,4,0),IF(AND(BW52=BW$5,BX$6&lt;=$D$104),-0.5,0),IF(AND(BX52=BW$5,BX$6&lt;=$D$104),-0.5,0),IF(AND(BY52=BW$5,BX$6&lt;=$D$104),-0.5,0))</f>
        <v/>
      </c>
      <c r="CB52" s="416" t="n"/>
      <c r="CC52" s="418" t="n"/>
      <c r="CD52" s="418" t="n"/>
      <c r="CE52" s="418" t="n"/>
      <c r="CF52" s="602">
        <f>SUM(IF(CB52=CB$5,4,0),IF(CB52&amp;CC52=CB$5&amp;CC$5,1,0),
IF(AND(CB52=CB$5,CC$6&gt;=$D$115),1,0),
IF(AND(CC52=CB$5,CC$6&gt;=$D$115),1,0),
IF(AND(CD52=CB$5,CC$6&gt;=$D$115),1,0),
IF(CB52&amp;CE52=CF$5,1,0),
IF(CC52=CB$5,2,0),
IF(CD52=CB$5,1,0),
IF(OR(CB52&amp;CC52&amp;CD52=CB$5&amp;CC$5&amp;CD$5,CB52&amp;CC52&amp;CD52=CB$5&amp;CD$5&amp;CC$5,CB52&amp;CC52&amp;CD52=CC$5&amp;CB$5&amp;CD$5,CB52&amp;CC52&amp;CD52=CC$5&amp;CD$5&amp;CB$5,CB52&amp;CC52&amp;CD52=CD$5&amp;CB$5&amp;CC$5,CB52&amp;CC52&amp;CD52=CD$5&amp;CC$5&amp;CB$5),2,0),IF(AND(CB52=CB$5,CC$6&gt;=$D$129),1,0),IF(AND(CC52=CB$5,CC$6&gt;=$D$129),1,0),IF(AND(CD52=CB$5,CC$6&gt;=$D$129),1,0),IF(CB52&amp;CE52=CE$5,4,0),IF(AND(CB52=CB$5,CC$6&lt;=$D$104),-0.5,0),IF(AND(CC52=CB$5,CC$6&lt;=$D$104),-0.5,0),IF(AND(CD52=CB$5,CC$6&lt;=$D$104),-0.5,0))</f>
        <v/>
      </c>
      <c r="CG52" s="164">
        <f>IF(SEMANA2[[#This Row],[1]]="",0,$B$4)</f>
        <v/>
      </c>
      <c r="CH52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2" s="189">
        <f>IF(SEMANA2[[#This Row],[Columna14]]=0,0,(CH52/CG52))</f>
        <v/>
      </c>
      <c r="CJ52" s="165">
        <f>IF(SEMANA2[[#This Row],[1]]="",0,$B$4)</f>
        <v/>
      </c>
      <c r="CK52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2" s="189">
        <f>IF(SEMANA2[[#This Row],[Columna14]]=0,0,(CK52/CJ52))</f>
        <v/>
      </c>
      <c r="CM52" s="164">
        <f>IF(SEMANA2[[#This Row],[1]]="",0,$B$4)</f>
        <v/>
      </c>
      <c r="CN52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2" s="189">
        <f>IF(SEMANA2[[#This Row],[Columna14]]=0,0,(CN52/CM52))</f>
        <v/>
      </c>
      <c r="CP52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2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Row],[Columna25]],$AX$5,BA52,"SF")+COUNTIFS(SEMANA2[[#This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2" s="189">
        <f>IFERROR(IF(SEMANA2[[#This Row],[Columna14]]=0,0,(CQ52/CP52)),0)</f>
        <v/>
      </c>
      <c r="CS52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2" s="95">
        <f>_xlfn.XLOOKUP(SEMANA2[[#This Row],[COD]],BASE01[COD],BASE01[Columna33])</f>
        <v/>
      </c>
      <c r="CU52" s="604">
        <f>SUM(CS52,CT52)</f>
        <v/>
      </c>
      <c r="CV52" s="450">
        <f>IF(SEMANA2[[#This Row],[TIPO]]="PREMIO",$O$3,"0,00")</f>
        <v/>
      </c>
      <c r="CW52" s="576" t="n"/>
      <c r="CY52" s="392">
        <f>IF(CZ52="","",$CZ$25)</f>
        <v/>
      </c>
      <c r="CZ52" s="392" t="n"/>
      <c r="DA52" s="392">
        <f t="array" ref="DA52">IF(CZ52="", "", IF((INDEX(E$8:CE$57, MATCH(CZ52, C$8:C$57, 0), ($CZ$25-1)*5 + 1) &amp; "") = (INDEX(E$5:CE$5, 1, ($CZ$25-1)*5 + 1) &amp; ""), 1, IF((INDEX(E$8:CE$57, MATCH(CZ52, C$8:C$57, 0), ($CZ$25-1)*5 + 2) &amp; "") = (INDEX(E$5:CE$5, 1, ($CZ$25-1)*5 + 1) &amp; ""), 2, IF((INDEX(E$8:CE$57, MATCH(CZ52, C$8:C$57, 0), ($CZ$25-1)*5 + 3) &amp; "") = (INDEX(E$5:CE$5, 1, ($CZ$25-1)*5 + 1) &amp; ""), 3, ""))))</f>
        <v/>
      </c>
      <c r="DB52" s="605">
        <f>SEMANA2[[#This Row],[COD]]</f>
        <v/>
      </c>
      <c r="DC52" s="395">
        <f t="array" ref="DC52">IFERROR(IF(AND(INDEX($E$8:$CE$57, MATCH($C52, $C$8:$C$57, 0), (COLUMNS($DC52:DC52)-1)*5 + 1) = INDEX($E$5:$CE$5, 1, (COLUMNS($DC52:DC52)-1)*5 + 1), INDEX($E$8:$CE$57, MATCH($C52, $C$8:$C$57, 0), (COLUMNS($DC52:DC52)-1)*5 + 4) = "F"), INDEX($CZ$8:$CZ$23, COLUMNS($DC52:DC52)), "0"), "")</f>
        <v/>
      </c>
      <c r="DD52" s="395">
        <f t="array" ref="DD52">IFERROR(IF(AND(INDEX($E$8:$CE$57, MATCH($C52, $C$8:$C$57, 0), (COLUMNS($DC52:DD52)-1)*5 + 1) = INDEX($E$5:$CE$5, 1, (COLUMNS($DC52:DD52)-1)*5 + 1), INDEX($E$8:$CE$57, MATCH($C52, $C$8:$C$57, 0), (COLUMNS($DC52:DD52)-1)*5 + 4) = "F"), INDEX($CZ$8:$CZ$23, COLUMNS($DC52:DD52)), "0"), "")</f>
        <v/>
      </c>
      <c r="DE52" s="395">
        <f t="array" ref="DE52">IFERROR(IF(AND(INDEX($E$8:$CE$57, MATCH($C52, $C$8:$C$57, 0), (COLUMNS($DC52:DE52)-1)*5 + 1) = INDEX($E$5:$CE$5, 1, (COLUMNS($DC52:DE52)-1)*5 + 1), INDEX($E$8:$CE$57, MATCH($C52, $C$8:$C$57, 0), (COLUMNS($DC52:DE52)-1)*5 + 4) = "F"), INDEX($CZ$8:$CZ$23, COLUMNS($DC52:DE52)), "0"), "")</f>
        <v/>
      </c>
      <c r="DF52" s="395">
        <f t="array" ref="DF52">IFERROR(IF(AND(INDEX($E$8:$CE$57, MATCH($C52, $C$8:$C$57, 0), (COLUMNS($DC52:DF52)-1)*5 + 1) = INDEX($E$5:$CE$5, 1, (COLUMNS($DC52:DF52)-1)*5 + 1), INDEX($E$8:$CE$57, MATCH($C52, $C$8:$C$57, 0), (COLUMNS($DC52:DF52)-1)*5 + 4) = "F"), INDEX($CZ$8:$CZ$23, COLUMNS($DC52:DF52)), "0"), "")</f>
        <v/>
      </c>
      <c r="DG52" s="395">
        <f t="array" ref="DG52">IFERROR(IF(AND(INDEX($E$8:$CE$57, MATCH($C52, $C$8:$C$57, 0), (COLUMNS($DC52:DG52)-1)*5 + 1) = INDEX($E$5:$CE$5, 1, (COLUMNS($DC52:DG52)-1)*5 + 1), INDEX($E$8:$CE$57, MATCH($C52, $C$8:$C$57, 0), (COLUMNS($DC52:DG52)-1)*5 + 4) = "F"), INDEX($CZ$8:$CZ$23, COLUMNS($DC52:DG52)), "0"), "")</f>
        <v/>
      </c>
      <c r="DH52" s="395">
        <f t="array" ref="DH52">IFERROR(IF(AND(INDEX($E$8:$CE$57, MATCH($C52, $C$8:$C$57, 0), (COLUMNS($DC52:DH52)-1)*5 + 1) = INDEX($E$5:$CE$5, 1, (COLUMNS($DC52:DH52)-1)*5 + 1), INDEX($E$8:$CE$57, MATCH($C52, $C$8:$C$57, 0), (COLUMNS($DC52:DH52)-1)*5 + 4) = "F"), INDEX($CZ$8:$CZ$23, COLUMNS($DC52:DH52)), "0"), "")</f>
        <v/>
      </c>
      <c r="DI52" s="395">
        <f t="array" ref="DI52">IFERROR(IF(AND(INDEX($E$8:$CE$57, MATCH($C52, $C$8:$C$57, 0), (COLUMNS($DC52:DI52)-1)*5 + 1) = INDEX($E$5:$CE$5, 1, (COLUMNS($DC52:DI52)-1)*5 + 1), INDEX($E$8:$CE$57, MATCH($C52, $C$8:$C$57, 0), (COLUMNS($DC52:DI52)-1)*5 + 4) = "F"), INDEX($CZ$8:$CZ$23, COLUMNS($DC52:DI52)), "0"), "")</f>
        <v/>
      </c>
      <c r="DJ52" s="395">
        <f t="array" ref="DJ52">IFERROR(IF(AND(INDEX($E$8:$CE$57, MATCH($C52, $C$8:$C$57, 0), (COLUMNS($DC52:DJ52)-1)*5 + 1) = INDEX($E$5:$CE$5, 1, (COLUMNS($DC52:DJ52)-1)*5 + 1), INDEX($E$8:$CE$57, MATCH($C52, $C$8:$C$57, 0), (COLUMNS($DC52:DJ52)-1)*5 + 4) = "F"), INDEX($CZ$8:$CZ$23, COLUMNS($DC52:DJ52)), "0"), "")</f>
        <v/>
      </c>
      <c r="DK52" s="395">
        <f t="array" ref="DK52">IFERROR(IF(AND(INDEX($E$8:$CE$57, MATCH($C52, $C$8:$C$57, 0), (COLUMNS($DC52:DK52)-1)*5 + 1) = INDEX($E$5:$CE$5, 1, (COLUMNS($DC52:DK52)-1)*5 + 1), INDEX($E$8:$CE$57, MATCH($C52, $C$8:$C$57, 0), (COLUMNS($DC52:DK52)-1)*5 + 4) = "F"), INDEX($CZ$8:$CZ$23, COLUMNS($DC52:DK52)), "0"), "")</f>
        <v/>
      </c>
      <c r="DL52" s="395">
        <f t="array" ref="DL52">IFERROR(IF(AND(INDEX($E$8:$CE$57, MATCH($C52, $C$8:$C$57, 0), (COLUMNS($DC52:DL52)-1)*5 + 1) = INDEX($E$5:$CE$5, 1, (COLUMNS($DC52:DL52)-1)*5 + 1), INDEX($E$8:$CE$57, MATCH($C52, $C$8:$C$57, 0), (COLUMNS($DC52:DL52)-1)*5 + 4) = "F"), INDEX($CZ$8:$CZ$23, COLUMNS($DC52:DL52)), "0"), "")</f>
        <v/>
      </c>
      <c r="DM52" s="395">
        <f t="array" ref="DM52">IFERROR(IF(AND(INDEX($E$8:$CE$57, MATCH($C52, $C$8:$C$57, 0), (COLUMNS($DC52:DM52)-1)*5 + 1) = INDEX($E$5:$CE$5, 1, (COLUMNS($DC52:DM52)-1)*5 + 1), INDEX($E$8:$CE$57, MATCH($C52, $C$8:$C$57, 0), (COLUMNS($DC52:DM52)-1)*5 + 4) = "F"), INDEX($CZ$8:$CZ$23, COLUMNS($DC52:DM52)), "0"), "")</f>
        <v/>
      </c>
      <c r="DN52" s="395">
        <f t="array" ref="DN52">IFERROR(IF(AND(INDEX($E$8:$CE$57, MATCH($C52, $C$8:$C$57, 0), (COLUMNS($DC52:DN52)-1)*5 + 1) = INDEX($E$5:$CE$5, 1, (COLUMNS($DC52:DN52)-1)*5 + 1), INDEX($E$8:$CE$57, MATCH($C52, $C$8:$C$57, 0), (COLUMNS($DC52:DN52)-1)*5 + 4) = "F"), INDEX($CZ$8:$CZ$23, COLUMNS($DC52:DN52)), "0"), "")</f>
        <v/>
      </c>
      <c r="DO52" s="395">
        <f t="array" ref="DO52">IFERROR(IF(AND(INDEX($E$8:$CE$57, MATCH($C52, $C$8:$C$57, 0), (COLUMNS($DC52:DO52)-1)*5 + 1) = INDEX($E$5:$CE$5, 1, (COLUMNS($DC52:DO52)-1)*5 + 1), INDEX($E$8:$CE$57, MATCH($C52, $C$8:$C$57, 0), (COLUMNS($DC52:DO52)-1)*5 + 4) = "F"), INDEX($CZ$8:$CZ$23, COLUMNS($DC52:DO52)), "0"), "")</f>
        <v/>
      </c>
      <c r="DP52" s="395">
        <f t="array" ref="DP52">IFERROR(IF(AND(INDEX($E$8:$CE$57, MATCH($C52, $C$8:$C$57, 0), (COLUMNS($DC52:DP52)-1)*5 + 1) = INDEX($E$5:$CE$5, 1, (COLUMNS($DC52:DP52)-1)*5 + 1), INDEX($E$8:$CE$57, MATCH($C52, $C$8:$C$57, 0), (COLUMNS($DC52:DP52)-1)*5 + 4) = "F"), INDEX($CZ$8:$CZ$23, COLUMNS($DC52:DP52)), "0"), "")</f>
        <v/>
      </c>
      <c r="DQ52" s="395">
        <f t="array" ref="DQ52">IFERROR(IF(AND(INDEX($E$8:$CE$57, MATCH($C52, $C$8:$C$57, 0), (COLUMNS($DC52:DQ52)-1)*5 + 1) = INDEX($E$5:$CE$5, 1, (COLUMNS($DC52:DQ52)-1)*5 + 1), INDEX($E$8:$CE$57, MATCH($C52, $C$8:$C$57, 0), (COLUMNS($DC52:DQ52)-1)*5 + 4) = "F"), INDEX($CZ$8:$CZ$23, COLUMNS($DC52:DQ52)), "0"), "")</f>
        <v/>
      </c>
      <c r="DR52" s="395">
        <f t="array" ref="DR52">IFERROR(IF(AND(INDEX($E$8:$CE$57, MATCH($C52, $C$8:$C$57, 0), (COLUMNS($DC52:DR52)-1)*5 + 1) = INDEX($E$5:$CE$5, 1, (COLUMNS($DC52:DR52)-1)*5 + 1), INDEX($E$8:$CE$57, MATCH($C52, $C$8:$C$57, 0), (COLUMNS($DC52:DR52)-1)*5 + 4) = "F"), INDEX($CZ$8:$CZ$23, COLUMNS($DC52:DR52)), "0"), "")</f>
        <v/>
      </c>
      <c r="DT52" s="605">
        <f>SEMANA2[[#This Row],[COD]]</f>
        <v/>
      </c>
      <c r="DU52" s="395">
        <f t="array" ref="DU52">IFERROR(IF(AND(INDEX($E$8:$CE$57, MATCH($C52, $C$8:$C$57, 0), (COLUMNS($DU52:DU52)-1)*5 + 1) = INDEX($E$5:$CE$5, 1, (COLUMNS($DU52:DU52)-1)*5 + 1), INDEX($E$8:$CE$57, MATCH($C52, $C$8:$C$57, 0), (COLUMNS($DU52:DU52)-1)*5 + 4) = "SF"), INDEX($CZ$8:$CZ$23, COLUMNS($DU52:DU52)), "0"), "")</f>
        <v/>
      </c>
      <c r="DV52" s="395">
        <f t="array" ref="DV52">IFERROR(IF(AND(INDEX($E$8:$CE$57, MATCH($C52, $C$8:$C$57, 0), (COLUMNS($DU52:DV52)-1)*5 + 1) = INDEX($E$5:$CE$5, 1, (COLUMNS($DU52:DV52)-1)*5 + 1), INDEX($E$8:$CE$57, MATCH($C52, $C$8:$C$57, 0), (COLUMNS($DU52:DV52)-1)*5 + 4) = "SF"), INDEX($CZ$8:$CZ$23, COLUMNS($DU52:DV52)), "0"), "")</f>
        <v/>
      </c>
      <c r="DW52" s="395">
        <f t="array" ref="DW52">IFERROR(IF(AND(INDEX($E$8:$CE$57, MATCH($C52, $C$8:$C$57, 0), (COLUMNS($DU52:DW52)-1)*5 + 1) = INDEX($E$5:$CE$5, 1, (COLUMNS($DU52:DW52)-1)*5 + 1), INDEX($E$8:$CE$57, MATCH($C52, $C$8:$C$57, 0), (COLUMNS($DU52:DW52)-1)*5 + 4) = "SF"), INDEX($CZ$8:$CZ$23, COLUMNS($DU52:DW52)), "0"), "")</f>
        <v/>
      </c>
      <c r="DX52" s="395">
        <f t="array" ref="DX52">IFERROR(IF(AND(INDEX($E$8:$CE$57, MATCH($C52, $C$8:$C$57, 0), (COLUMNS($DU52:DX52)-1)*5 + 1) = INDEX($E$5:$CE$5, 1, (COLUMNS($DU52:DX52)-1)*5 + 1), INDEX($E$8:$CE$57, MATCH($C52, $C$8:$C$57, 0), (COLUMNS($DU52:DX52)-1)*5 + 4) = "SF"), INDEX($CZ$8:$CZ$23, COLUMNS($DU52:DX52)), "0"), "")</f>
        <v/>
      </c>
      <c r="DY52" s="395">
        <f t="array" ref="DY52">IFERROR(IF(AND(INDEX($E$8:$CE$57, MATCH($C52, $C$8:$C$57, 0), (COLUMNS($DU52:DY52)-1)*5 + 1) = INDEX($E$5:$CE$5, 1, (COLUMNS($DU52:DY52)-1)*5 + 1), INDEX($E$8:$CE$57, MATCH($C52, $C$8:$C$57, 0), (COLUMNS($DU52:DY52)-1)*5 + 4) = "SF"), INDEX($CZ$8:$CZ$23, COLUMNS($DU52:DY52)), "0"), "")</f>
        <v/>
      </c>
      <c r="DZ52" s="395">
        <f t="array" ref="DZ52">IFERROR(IF(AND(INDEX($E$8:$CE$57, MATCH($C52, $C$8:$C$57, 0), (COLUMNS($DU52:DZ52)-1)*5 + 1) = INDEX($E$5:$CE$5, 1, (COLUMNS($DU52:DZ52)-1)*5 + 1), INDEX($E$8:$CE$57, MATCH($C52, $C$8:$C$57, 0), (COLUMNS($DU52:DZ52)-1)*5 + 4) = "SF"), INDEX($CZ$8:$CZ$23, COLUMNS($DU52:DZ52)), "0"), "")</f>
        <v/>
      </c>
      <c r="EA52" s="395">
        <f t="array" ref="EA52">IFERROR(IF(AND(INDEX($E$8:$CE$57, MATCH($C52, $C$8:$C$57, 0), (COLUMNS($DU52:EA52)-1)*5 + 1) = INDEX($E$5:$CE$5, 1, (COLUMNS($DU52:EA52)-1)*5 + 1), INDEX($E$8:$CE$57, MATCH($C52, $C$8:$C$57, 0), (COLUMNS($DU52:EA52)-1)*5 + 4) = "SF"), INDEX($CZ$8:$CZ$23, COLUMNS($DU52:EA52)), "0"), "")</f>
        <v/>
      </c>
      <c r="EB52" s="395">
        <f t="array" ref="EB52">IFERROR(IF(AND(INDEX($E$8:$CE$57, MATCH($C52, $C$8:$C$57, 0), (COLUMNS($DU52:EB52)-1)*5 + 1) = INDEX($E$5:$CE$5, 1, (COLUMNS($DU52:EB52)-1)*5 + 1), INDEX($E$8:$CE$57, MATCH($C52, $C$8:$C$57, 0), (COLUMNS($DU52:EB52)-1)*5 + 4) = "SF"), INDEX($CZ$8:$CZ$23, COLUMNS($DU52:EB52)), "0"), "")</f>
        <v/>
      </c>
      <c r="EC52" s="395">
        <f t="array" ref="EC52">IFERROR(IF(AND(INDEX($E$8:$CE$57, MATCH($C52, $C$8:$C$57, 0), (COLUMNS($DU52:EC52)-1)*5 + 1) = INDEX($E$5:$CE$5, 1, (COLUMNS($DU52:EC52)-1)*5 + 1), INDEX($E$8:$CE$57, MATCH($C52, $C$8:$C$57, 0), (COLUMNS($DU52:EC52)-1)*5 + 4) = "SF"), INDEX($CZ$8:$CZ$23, COLUMNS($DU52:EC52)), "0"), "")</f>
        <v/>
      </c>
      <c r="ED52" s="395">
        <f t="array" ref="ED52">IFERROR(IF(AND(INDEX($E$8:$CE$57, MATCH($C52, $C$8:$C$57, 0), (COLUMNS($DU52:ED52)-1)*5 + 1) = INDEX($E$5:$CE$5, 1, (COLUMNS($DU52:ED52)-1)*5 + 1), INDEX($E$8:$CE$57, MATCH($C52, $C$8:$C$57, 0), (COLUMNS($DU52:ED52)-1)*5 + 4) = "SF"), INDEX($CZ$8:$CZ$23, COLUMNS($DU52:ED52)), "0"), "")</f>
        <v/>
      </c>
      <c r="EE52" s="395">
        <f t="array" ref="EE52">IFERROR(IF(AND(INDEX($E$8:$CE$57, MATCH($C52, $C$8:$C$57, 0), (COLUMNS($DU52:EE52)-1)*5 + 1) = INDEX($E$5:$CE$5, 1, (COLUMNS($DU52:EE52)-1)*5 + 1), INDEX($E$8:$CE$57, MATCH($C52, $C$8:$C$57, 0), (COLUMNS($DU52:EE52)-1)*5 + 4) = "SF"), INDEX($CZ$8:$CZ$23, COLUMNS($DU52:EE52)), "0"), "")</f>
        <v/>
      </c>
      <c r="EF52" s="395">
        <f t="array" ref="EF52">IFERROR(IF(AND(INDEX($E$8:$CE$57, MATCH($C52, $C$8:$C$57, 0), (COLUMNS($DU52:EF52)-1)*5 + 1) = INDEX($E$5:$CE$5, 1, (COLUMNS($DU52:EF52)-1)*5 + 1), INDEX($E$8:$CE$57, MATCH($C52, $C$8:$C$57, 0), (COLUMNS($DU52:EF52)-1)*5 + 4) = "SF"), INDEX($CZ$8:$CZ$23, COLUMNS($DU52:EF52)), "0"), "")</f>
        <v/>
      </c>
      <c r="EG52" s="395">
        <f t="array" ref="EG52">IFERROR(IF(AND(INDEX($E$8:$CE$57, MATCH($C52, $C$8:$C$57, 0), (COLUMNS($DU52:EG52)-1)*5 + 1) = INDEX($E$5:$CE$5, 1, (COLUMNS($DU52:EG52)-1)*5 + 1), INDEX($E$8:$CE$57, MATCH($C52, $C$8:$C$57, 0), (COLUMNS($DU52:EG52)-1)*5 + 4) = "SF"), INDEX($CZ$8:$CZ$23, COLUMNS($DU52:EG52)), "0"), "")</f>
        <v/>
      </c>
      <c r="EH52" s="395">
        <f t="array" ref="EH52">IFERROR(IF(AND(INDEX($E$8:$CE$57, MATCH($C52, $C$8:$C$57, 0), (COLUMNS($DU52:EH52)-1)*5 + 1) = INDEX($E$5:$CE$5, 1, (COLUMNS($DU52:EH52)-1)*5 + 1), INDEX($E$8:$CE$57, MATCH($C52, $C$8:$C$57, 0), (COLUMNS($DU52:EH52)-1)*5 + 4) = "SF"), INDEX($CZ$8:$CZ$23, COLUMNS($DU52:EH52)), "0"), "")</f>
        <v/>
      </c>
      <c r="EI52" s="395">
        <f t="array" ref="EI52">IFERROR(IF(AND(INDEX($E$8:$CE$57, MATCH($C52, $C$8:$C$57, 0), (COLUMNS($DU52:EI52)-1)*5 + 1) = INDEX($E$5:$CE$5, 1, (COLUMNS($DU52:EI52)-1)*5 + 1), INDEX($E$8:$CE$57, MATCH($C52, $C$8:$C$57, 0), (COLUMNS($DU52:EI52)-1)*5 + 4) = "SF"), INDEX($CZ$8:$CZ$23, COLUMNS($DU52:EI52)), "0"), "")</f>
        <v/>
      </c>
      <c r="EJ52" s="395">
        <f t="array" ref="EJ52">IFERROR(IF(AND(INDEX($E$8:$CE$57, MATCH($C52, $C$8:$C$57, 0), (COLUMNS($DU52:EJ52)-1)*5 + 1) = INDEX($E$5:$CE$5, 1, (COLUMNS($DU52:EJ52)-1)*5 + 1), INDEX($E$8:$CE$57, MATCH($C52, $C$8:$C$57, 0), (COLUMNS($DU52:EJ52)-1)*5 + 4) = "SF"), INDEX($CZ$8:$CZ$23, COLUMNS($DU52:EJ52)), "0"), "")</f>
        <v/>
      </c>
    </row>
    <row r="53" outlineLevel="1" ht="20.1" customHeight="1" s="568">
      <c r="A53" s="576" t="n"/>
      <c r="B53" s="449">
        <f>IF(SEMANA2[[#This Row],[COD]]&lt;&gt;"",B52+1,"")</f>
        <v/>
      </c>
      <c r="C53" s="622" t="inlineStr">
        <is>
          <t>COD 46</t>
        </is>
      </c>
      <c r="D53" s="415">
        <f t="array" ref="D53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3" s="416" t="n"/>
      <c r="F53" s="418" t="n"/>
      <c r="G53" s="418" t="n"/>
      <c r="H53" s="418" t="n"/>
      <c r="I53" s="602">
        <f>SUM(IF(E53=E$5,4,0),IF(E53&amp;F53=E$5&amp;F$5,1,0),
IF(AND(E53=E$5,F$6&gt;=$D$115),1,0),
IF(AND(F53=E$5,F$6&gt;=$D$115),1,0),
IF(AND(G53=E$5,F$6&gt;=$D$115),1,0),
IF(E53&amp;H53=I$5,1,0),
IF(F53=E$5,2,0),
IF(G53=E$5,1,0),
IF(OR(E53&amp;F53&amp;G53=E$5&amp;F$5&amp;G$5,E53&amp;F53&amp;G53=E$5&amp;G$5&amp;F$5,E53&amp;F53&amp;G53=F$5&amp;E$5&amp;G$5,E53&amp;F53&amp;G53=F$5&amp;G$5&amp;E$5,E53&amp;F53&amp;G53=G$5&amp;E$5&amp;F$5,E53&amp;F53&amp;G53=G$5&amp;F$5&amp;E$5),2,0),IF(AND(E53=E$5,F$6&gt;=$D$129),1,0),IF(AND(F53=E$5,F$6&gt;=$D$129),1,0),IF(AND(G53=E$5,F$6&gt;=$D$129),1,0),IF(E53&amp;H53=H$5,4,0),IF(AND(E53=E$5,F$6&lt;=$D$104),-0.5,0),IF(AND(F53=E$5,F$6&lt;=$D$104),-0.5,0),IF(AND(G53=E$5,F$6&lt;=$D$104),-0.5,0))</f>
        <v/>
      </c>
      <c r="J53" s="416" t="n"/>
      <c r="K53" s="418" t="n"/>
      <c r="L53" s="418" t="n"/>
      <c r="M53" s="418" t="n"/>
      <c r="N53" s="602">
        <f>SUM(IF(J53=J$5,4,0),IF(J53&amp;K53=J$5&amp;K$5,1,0),
IF(AND(J53=J$5,K$6&gt;=$D$115),1,0),
IF(AND(K53=J$5,K$6&gt;=$D$115),1,0),
IF(AND(L53=J$5,K$6&gt;=$D$115),1,0),
IF(J53&amp;M53=N$5,1,0),
IF(K53=J$5,2,0),
IF(L53=J$5,1,0),
IF(OR(J53&amp;K53&amp;L53=J$5&amp;K$5&amp;L$5,J53&amp;K53&amp;L53=J$5&amp;L$5&amp;K$5,J53&amp;K53&amp;L53=K$5&amp;J$5&amp;L$5,J53&amp;K53&amp;L53=K$5&amp;L$5&amp;J$5,J53&amp;K53&amp;L53=L$5&amp;J$5&amp;K$5,J53&amp;K53&amp;L53=L$5&amp;K$5&amp;J$5),2,0),IF(AND(J53=J$5,K$6&gt;=$D$129),1,0),IF(AND(K53=J$5,K$6&gt;=$D$129),1,0),IF(AND(L53=J$5,K$6&gt;=$D$129),1,0),IF(J53&amp;M53=M$5,4,0),IF(AND(J53=J$5,K$6&lt;=$D$104),-0.5,0),IF(AND(K53=J$5,K$6&lt;=$D$104),-0.5,0),IF(AND(L53=J$5,K$6&lt;=$D$104),-0.5,0))</f>
        <v/>
      </c>
      <c r="O53" s="416" t="n"/>
      <c r="P53" s="418" t="n"/>
      <c r="Q53" s="418" t="n"/>
      <c r="R53" s="418" t="n"/>
      <c r="S53" s="602">
        <f>SUM(IF(O53=O$5,4,0),IF(O53&amp;P53=O$5&amp;P$5,1,0),
IF(AND(O53=O$5,P$6&gt;=$D$115),1,0),
IF(AND(P53=O$5,P$6&gt;=$D$115),1,0),
IF(AND(Q53=O$5,P$6&gt;=$D$115),1,0),
IF(O53&amp;R53=S$5,1,0),
IF(P53=O$5,2,0),
IF(Q53=O$5,1,0),
IF(OR(O53&amp;P53&amp;Q53=O$5&amp;P$5&amp;Q$5,O53&amp;P53&amp;Q53=O$5&amp;Q$5&amp;P$5,O53&amp;P53&amp;Q53=P$5&amp;O$5&amp;Q$5,O53&amp;P53&amp;Q53=P$5&amp;Q$5&amp;O$5,O53&amp;P53&amp;Q53=Q$5&amp;O$5&amp;P$5,O53&amp;P53&amp;Q53=Q$5&amp;P$5&amp;O$5),2,0),IF(AND(O53=O$5,P$6&gt;=$D$129),1,0),IF(AND(P53=O$5,P$6&gt;=$D$129),1,0),IF(AND(Q53=O$5,P$6&gt;=$D$129),1,0),IF(O53&amp;R53=R$5,4,0),IF(AND(O53=O$5,P$6&lt;=$D$104),-0.5,0),IF(AND(P53=O$5,P$6&lt;=$D$104),-0.5,0),IF(AND(Q53=O$5,P$6&lt;=$D$104),-0.5,0))</f>
        <v/>
      </c>
      <c r="T53" s="416" t="n"/>
      <c r="U53" s="418" t="n"/>
      <c r="V53" s="418" t="n"/>
      <c r="W53" s="418" t="n"/>
      <c r="X53" s="602">
        <f>SUM(IF(T53=T$5,4,0),IF(T53&amp;U53=T$5&amp;U$5,1,0),
IF(AND(T53=T$5,U$6&gt;=$D$115),1,0),
IF(AND(U53=T$5,U$6&gt;=$D$115),1,0),
IF(AND(V53=T$5,U$6&gt;=$D$115),1,0),
IF(T53&amp;W53=X$5,1,0),
IF(U53=T$5,2,0),
IF(V53=T$5,1,0),
IF(OR(T53&amp;U53&amp;V53=T$5&amp;U$5&amp;V$5,T53&amp;U53&amp;V53=T$5&amp;V$5&amp;U$5,T53&amp;U53&amp;V53=U$5&amp;T$5&amp;V$5,T53&amp;U53&amp;V53=U$5&amp;V$5&amp;T$5,T53&amp;U53&amp;V53=V$5&amp;T$5&amp;U$5,T53&amp;U53&amp;V53=V$5&amp;U$5&amp;T$5),2,0),IF(AND(T53=T$5,U$6&gt;=$D$129),1,0),IF(AND(U53=T$5,U$6&gt;=$D$129),1,0),IF(AND(V53=T$5,U$6&gt;=$D$129),1,0),IF(T53&amp;W53=W$5,4,0),IF(AND(T53=T$5,U$6&lt;=$D$104),-0.5,0),IF(AND(U53=T$5,U$6&lt;=$D$104),-0.5,0),IF(AND(V53=T$5,U$6&lt;=$D$104),-0.5,0))</f>
        <v/>
      </c>
      <c r="Y53" s="416" t="n"/>
      <c r="Z53" s="418" t="n"/>
      <c r="AA53" s="418" t="n"/>
      <c r="AB53" s="418" t="n"/>
      <c r="AC53" s="602">
        <f>SUM(IF(Y53=Y$5,4,0),IF(Y53&amp;Z53=Y$5&amp;Z$5,1,0),
IF(AND(Y53=Y$5,Z$6&gt;=$D$115),1,0),
IF(AND(Z53=Y$5,Z$6&gt;=$D$115),1,0),
IF(AND(AA53=Y$5,Z$6&gt;=$D$115),1,0),
IF(Y53&amp;AB53=AC$5,1,0),
IF(Z53=Y$5,2,0),
IF(AA53=Y$5,1,0),
IF(OR(Y53&amp;Z53&amp;AA53=Y$5&amp;Z$5&amp;AA$5,Y53&amp;Z53&amp;AA53=Y$5&amp;AA$5&amp;Z$5,Y53&amp;Z53&amp;AA53=Z$5&amp;Y$5&amp;AA$5,Y53&amp;Z53&amp;AA53=Z$5&amp;AA$5&amp;Y$5,Y53&amp;Z53&amp;AA53=AA$5&amp;Y$5&amp;Z$5,Y53&amp;Z53&amp;AA53=AA$5&amp;Z$5&amp;Y$5),2,0),IF(AND(Y53=Y$5,Z$6&gt;=$D$129),1,0),IF(AND(Z53=Y$5,Z$6&gt;=$D$129),1,0),IF(AND(AA53=Y$5,Z$6&gt;=$D$129),1,0),IF(Y53&amp;AB53=AB$5,4,0),IF(AND(Y53=Y$5,Z$6&lt;=$D$104),-0.5,0),IF(AND(Z53=Y$5,Z$6&lt;=$D$104),-0.5,0),IF(AND(AA53=Y$5,Z$6&lt;=$D$104),-0.5,0))</f>
        <v/>
      </c>
      <c r="AD53" s="416" t="n"/>
      <c r="AE53" s="418" t="n"/>
      <c r="AF53" s="418" t="n"/>
      <c r="AG53" s="418" t="n"/>
      <c r="AH53" s="602">
        <f>SUM(IF(AD53=AD$5,4,0),IF(AD53&amp;AE53=AD$5&amp;AE$5,1,0),
IF(AND(AD53=AD$5,AE$6&gt;=$D$115),1,0),
IF(AND(AE53=AD$5,AE$6&gt;=$D$115),1,0),
IF(AND(AF53=AD$5,AE$6&gt;=$D$115),1,0),
IF(AD53&amp;AG53=AH$5,1,0),
IF(AE53=AD$5,2,0),
IF(AF53=AD$5,1,0),
IF(OR(AD53&amp;AE53&amp;AF53=AD$5&amp;AE$5&amp;AF$5,AD53&amp;AE53&amp;AF53=AD$5&amp;AF$5&amp;AE$5,AD53&amp;AE53&amp;AF53=AE$5&amp;AD$5&amp;AF$5,AD53&amp;AE53&amp;AF53=AE$5&amp;AF$5&amp;AD$5,AD53&amp;AE53&amp;AF53=AF$5&amp;AD$5&amp;AE$5,AD53&amp;AE53&amp;AF53=AF$5&amp;AE$5&amp;AD$5),2,0),IF(AND(AD53=AD$5,AE$6&gt;=$D$129),1,0),IF(AND(AE53=AD$5,AE$6&gt;=$D$129),1,0),IF(AND(AF53=AD$5,AE$6&gt;=$D$129),1,0),IF(AD53&amp;AG53=AG$5,4,0),IF(AND(AD53=AD$5,AE$6&lt;=$D$104),-0.5,0),IF(AND(AE53=AD$5,AE$6&lt;=$D$104),-0.5,0),IF(AND(AF53=AD$5,AE$6&lt;=$D$104),-0.5,0))</f>
        <v/>
      </c>
      <c r="AI53" s="416" t="n"/>
      <c r="AJ53" s="418" t="n"/>
      <c r="AK53" s="418" t="n"/>
      <c r="AL53" s="418" t="n"/>
      <c r="AM53" s="602">
        <f>SUM(IF(AI53=AI$5,4,0),IF(AI53&amp;AJ53=AI$5&amp;AJ$5,1,0),
IF(AND(AI53=AI$5,AJ$6&gt;=$D$115),1,0),
IF(AND(AJ53=AI$5,AJ$6&gt;=$D$115),1,0),
IF(AND(AK53=AI$5,AJ$6&gt;=$D$115),1,0),
IF(AI53&amp;AL53=AM$5,1,0),
IF(AJ53=AI$5,2,0),
IF(AK53=AI$5,1,0),
IF(OR(AI53&amp;AJ53&amp;AK53=AI$5&amp;AJ$5&amp;AK$5,AI53&amp;AJ53&amp;AK53=AI$5&amp;AK$5&amp;AJ$5,AI53&amp;AJ53&amp;AK53=AJ$5&amp;AI$5&amp;AK$5,AI53&amp;AJ53&amp;AK53=AJ$5&amp;AK$5&amp;AI$5,AI53&amp;AJ53&amp;AK53=AK$5&amp;AI$5&amp;AJ$5,AI53&amp;AJ53&amp;AK53=AK$5&amp;AJ$5&amp;AI$5),2,0),IF(AND(AI53=AI$5,AJ$6&gt;=$D$129),1,0),IF(AND(AJ53=AI$5,AJ$6&gt;=$D$129),1,0),IF(AND(AK53=AI$5,AJ$6&gt;=$D$129),1,0),IF(AI53&amp;AL53=AL$5,4,0),IF(AND(AI53=AI$5,AJ$6&lt;=$D$104),-0.5,0),IF(AND(AJ53=AI$5,AJ$6&lt;=$D$104),-0.5,0),IF(AND(AK53=AI$5,AJ$6&lt;=$D$104),-0.5,0))</f>
        <v/>
      </c>
      <c r="AN53" s="416" t="n"/>
      <c r="AO53" s="418" t="n"/>
      <c r="AP53" s="418" t="n"/>
      <c r="AQ53" s="418" t="n"/>
      <c r="AR53" s="602">
        <f>SUM(IF(AN53=AN$5,4,0),IF(AN53&amp;AO53=AN$5&amp;AO$5,1,0),
IF(AND(AN53=AN$5,AO$6&gt;=$D$115),1,0),
IF(AND(AO53=AN$5,AO$6&gt;=$D$115),1,0),
IF(AND(AP53=AN$5,AO$6&gt;=$D$115),1,0),
IF(AN53&amp;AQ53=AR$5,1,0),
IF(AO53=AN$5,2,0),
IF(AP53=AN$5,1,0),
IF(OR(AN53&amp;AO53&amp;AP53=AN$5&amp;AO$5&amp;AP$5,AN53&amp;AO53&amp;AP53=AN$5&amp;AP$5&amp;AO$5,AN53&amp;AO53&amp;AP53=AO$5&amp;AN$5&amp;AP$5,AN53&amp;AO53&amp;AP53=AO$5&amp;AP$5&amp;AN$5,AN53&amp;AO53&amp;AP53=AP$5&amp;AN$5&amp;AO$5,AN53&amp;AO53&amp;AP53=AP$5&amp;AO$5&amp;AN$5),2,0),IF(AND(AN53=AN$5,AO$6&gt;=$D$129),1,0),IF(AND(AO53=AN$5,AO$6&gt;=$D$129),1,0),IF(AND(AP53=AN$5,AO$6&gt;=$D$129),1,0),IF(AN53&amp;AQ53=AQ$5,4,0),IF(AND(AN53=AN$5,AO$6&lt;=$D$104),-0.5,0),IF(AND(AO53=AN$5,AO$6&lt;=$D$104),-0.5,0),IF(AND(AP53=AN$5,AO$6&lt;=$D$104),-0.5,0))</f>
        <v/>
      </c>
      <c r="AS53" s="416" t="n"/>
      <c r="AT53" s="418" t="n"/>
      <c r="AU53" s="418" t="n"/>
      <c r="AV53" s="418" t="n"/>
      <c r="AW53" s="602">
        <f>SUM(IF(AS53=AS$5,4,0),IF(AS53&amp;AT53=AS$5&amp;AT$5,1,0),
IF(AND(AS53=AS$5,AT$6&gt;=$D$115),1,0),
IF(AND(AT53=AS$5,AT$6&gt;=$D$115),1,0),
IF(AND(AU53=AS$5,AT$6&gt;=$D$115),1,0),
IF(AS53&amp;AV53=AW$5,1,0),
IF(AT53=AS$5,2,0),
IF(AU53=AS$5,1,0),
IF(OR(AS53&amp;AT53&amp;AU53=AS$5&amp;AT$5&amp;AU$5,AS53&amp;AT53&amp;AU53=AS$5&amp;AU$5&amp;AT$5,AS53&amp;AT53&amp;AU53=AT$5&amp;AS$5&amp;AU$5,AS53&amp;AT53&amp;AU53=AT$5&amp;AU$5&amp;AS$5,AS53&amp;AT53&amp;AU53=AU$5&amp;AS$5&amp;AT$5,AS53&amp;AT53&amp;AU53=AU$5&amp;AT$5&amp;AS$5),2,0),IF(AND(AS53=AS$5,AT$6&gt;=$D$129),1,0),IF(AND(AT53=AS$5,AT$6&gt;=$D$129),1,0),IF(AND(AU53=AS$5,AT$6&gt;=$D$129),1,0),IF(AS53&amp;AV53=AV$5,4,0),IF(AND(AS53=AS$5,AT$6&lt;=$D$104),-0.5,0),IF(AND(AT53=AS$5,AT$6&lt;=$D$104),-0.5,0),IF(AND(AU53=AS$5,AT$6&lt;=$D$104),-0.5,0))</f>
        <v/>
      </c>
      <c r="AX53" s="416" t="n"/>
      <c r="AY53" s="418" t="n"/>
      <c r="AZ53" s="418" t="n"/>
      <c r="BA53" s="418" t="n"/>
      <c r="BB53" s="602">
        <f>SUM(IF(AX53=AX$5,4,0),IF(AX53&amp;AY53=AX$5&amp;AY$5,1,0),
IF(AND(AX53=AX$5,AY$6&gt;=$D$115),1,0),
IF(AND(AY53=AX$5,AY$6&gt;=$D$115),1,0),
IF(AND(AZ53=AX$5,AY$6&gt;=$D$115),1,0),
IF(AX53&amp;BA53=BB$5,1,0),
IF(AY53=AX$5,2,0),
IF(AZ53=AX$5,1,0),
IF(OR(AX53&amp;AY53&amp;AZ53=AX$5&amp;AY$5&amp;AZ$5,AX53&amp;AY53&amp;AZ53=AX$5&amp;AZ$5&amp;AY$5,AX53&amp;AY53&amp;AZ53=AY$5&amp;AX$5&amp;AZ$5,AX53&amp;AY53&amp;AZ53=AY$5&amp;AZ$5&amp;AX$5,AX53&amp;AY53&amp;AZ53=AZ$5&amp;AX$5&amp;AY$5,AX53&amp;AY53&amp;AZ53=AZ$5&amp;AY$5&amp;AX$5),2,0),IF(AND(AX53=AX$5,AY$6&gt;=$D$129),1,0),IF(AND(AY53=AX$5,AY$6&gt;=$D$129),1,0),IF(AND(AZ53=AX$5,AY$6&gt;=$D$129),1,0),IF(AX53&amp;BA53=BA$5,4,0),IF(AND(AX53=AX$5,AY$6&lt;=$D$104),-0.5,0),IF(AND(AY53=AX$5,AY$6&lt;=$D$104),-0.5,0),IF(AND(AZ53=AX$5,AY$6&lt;=$D$104),-0.5,0))</f>
        <v/>
      </c>
      <c r="BC53" s="416" t="n"/>
      <c r="BD53" s="418" t="n"/>
      <c r="BE53" s="418" t="n"/>
      <c r="BF53" s="418" t="n"/>
      <c r="BG53" s="602">
        <f>SUM(IF(BC53=BC$5,4,0),IF(BC53&amp;BD53=BC$5&amp;BD$5,1,0),
IF(AND(BC53=BC$5,BD$6&gt;=$D$115),1,0),
IF(AND(BD53=BC$5,BD$6&gt;=$D$115),1,0),
IF(AND(BE53=BC$5,BD$6&gt;=$D$115),1,0),
IF(BC53&amp;BF53=BG$5,1,0),
IF(BD53=BC$5,2,0),
IF(BE53=BC$5,1,0),
IF(OR(BC53&amp;BD53&amp;BE53=BC$5&amp;BD$5&amp;BE$5,BC53&amp;BD53&amp;BE53=BC$5&amp;BE$5&amp;BD$5,BC53&amp;BD53&amp;BE53=BD$5&amp;BC$5&amp;BE$5,BC53&amp;BD53&amp;BE53=BD$5&amp;BE$5&amp;BC$5,BC53&amp;BD53&amp;BE53=BE$5&amp;BC$5&amp;BD$5,BC53&amp;BD53&amp;BE53=BE$5&amp;BD$5&amp;BC$5),2,0),IF(AND(BC53=BC$5,BD$6&gt;=$D$129),1,0),IF(AND(BD53=BC$5,BD$6&gt;=$D$129),1,0),IF(AND(BE53=BC$5,BD$6&gt;=$D$129),1,0),IF(BC53&amp;BF53=BF$5,4,0),IF(AND(BC53=BC$5,BD$6&lt;=$D$104),-0.5,0),IF(AND(BD53=BC$5,BD$6&lt;=$D$104),-0.5,0),IF(AND(BE53=BC$5,BD$6&lt;=$D$104),-0.5,0))</f>
        <v/>
      </c>
      <c r="BH53" s="416" t="n"/>
      <c r="BI53" s="418" t="n"/>
      <c r="BJ53" s="418" t="n"/>
      <c r="BK53" s="418" t="n"/>
      <c r="BL53" s="602">
        <f>SUM(IF(BH53=BH$5,4,0),IF(BH53&amp;BI53=BH$5&amp;BI$5,1,0),
IF(AND(BH53=BH$5,BI$6&gt;=$D$115),1,0),
IF(AND(BI53=BH$5,BI$6&gt;=$D$115),1,0),
IF(AND(BJ53=BH$5,BI$6&gt;=$D$115),1,0),
IF(BH53&amp;BK53=BL$5,1,0),
IF(BI53=BH$5,2,0),
IF(BJ53=BH$5,1,0),
IF(OR(BH53&amp;BI53&amp;BJ53=BH$5&amp;BI$5&amp;BJ$5,BH53&amp;BI53&amp;BJ53=BH$5&amp;BJ$5&amp;BI$5,BH53&amp;BI53&amp;BJ53=BI$5&amp;BH$5&amp;BJ$5,BH53&amp;BI53&amp;BJ53=BI$5&amp;BJ$5&amp;BH$5,BH53&amp;BI53&amp;BJ53=BJ$5&amp;BH$5&amp;BI$5,BH53&amp;BI53&amp;BJ53=BJ$5&amp;BI$5&amp;BH$5),2,0),IF(AND(BH53=BH$5,BI$6&gt;=$D$129),1,0),IF(AND(BI53=BH$5,BI$6&gt;=$D$129),1,0),IF(AND(BJ53=BH$5,BI$6&gt;=$D$129),1,0),IF(BH53&amp;BK53=BK$5,4,0),IF(AND(BH53=BH$5,BI$6&lt;=$D$104),-0.5,0),IF(AND(BI53=BH$5,BI$6&lt;=$D$104),-0.5,0),IF(AND(BJ53=BH$5,BI$6&lt;=$D$104),-0.5,0))</f>
        <v/>
      </c>
      <c r="BM53" s="416" t="n"/>
      <c r="BN53" s="418" t="n"/>
      <c r="BO53" s="418" t="n"/>
      <c r="BP53" s="418" t="n"/>
      <c r="BQ53" s="602">
        <f>SUM(IF(BM53=BM$5,4,0),IF(BM53&amp;BN53=BM$5&amp;BN$5,1,0),
IF(AND(BM53=BM$5,BN$6&gt;=$D$115),1,0),
IF(AND(BN53=BM$5,BN$6&gt;=$D$115),1,0),
IF(AND(BO53=BM$5,BN$6&gt;=$D$115),1,0),
IF(BM53&amp;BP53=BQ$5,1,0),
IF(BN53=BM$5,2,0),
IF(BO53=BM$5,1,0),
IF(OR(BM53&amp;BN53&amp;BO53=BM$5&amp;BN$5&amp;BO$5,BM53&amp;BN53&amp;BO53=BM$5&amp;BO$5&amp;BN$5,BM53&amp;BN53&amp;BO53=BN$5&amp;BM$5&amp;BO$5,BM53&amp;BN53&amp;BO53=BN$5&amp;BO$5&amp;BM$5,BM53&amp;BN53&amp;BO53=BO$5&amp;BM$5&amp;BN$5,BM53&amp;BN53&amp;BO53=BO$5&amp;BN$5&amp;BM$5),2,0),IF(AND(BM53=BM$5,BN$6&gt;=$D$129),1,0),IF(AND(BN53=BM$5,BN$6&gt;=$D$129),1,0),IF(AND(BO53=BM$5,BN$6&gt;=$D$129),1,0),IF(BM53&amp;BP53=BP$5,4,0),IF(AND(BM53=BM$5,BN$6&lt;=$D$104),-0.5,0),IF(AND(BN53=BM$5,BN$6&lt;=$D$104),-0.5,0),IF(AND(BO53=BM$5,BN$6&lt;=$D$104),-0.5,0))</f>
        <v/>
      </c>
      <c r="BR53" s="416" t="n"/>
      <c r="BS53" s="418" t="n"/>
      <c r="BT53" s="418" t="n"/>
      <c r="BU53" s="418" t="n"/>
      <c r="BV53" s="602">
        <f>SUM(IF(BR53=BR$5,4,0),IF(BR53&amp;BS53=BR$5&amp;BS$5,1,0),
IF(AND(BR53=BR$5,BS$6&gt;=$D$115),1,0),
IF(AND(BS53=BR$5,BS$6&gt;=$D$115),1,0),
IF(AND(BT53=BR$5,BS$6&gt;=$D$115),1,0),
IF(BR53&amp;BU53=BV$5,1,0),
IF(BS53=BR$5,2,0),
IF(BT53=BR$5,1,0),
IF(OR(BR53&amp;BS53&amp;BT53=BR$5&amp;BS$5&amp;BT$5,BR53&amp;BS53&amp;BT53=BR$5&amp;BT$5&amp;BS$5,BR53&amp;BS53&amp;BT53=BS$5&amp;BR$5&amp;BT$5,BR53&amp;BS53&amp;BT53=BS$5&amp;BT$5&amp;BR$5,BR53&amp;BS53&amp;BT53=BT$5&amp;BR$5&amp;BS$5,BR53&amp;BS53&amp;BT53=BT$5&amp;BS$5&amp;BR$5),2,0),IF(AND(BR53=BR$5,BS$6&gt;=$D$129),1,0),IF(AND(BS53=BR$5,BS$6&gt;=$D$129),1,0),IF(AND(BT53=BR$5,BS$6&gt;=$D$129),1,0),IF(BR53&amp;BU53=BU$5,4,0),IF(AND(BR53=BR$5,BS$6&lt;=$D$104),-0.5,0),IF(AND(BS53=BR$5,BS$6&lt;=$D$104),-0.5,0),IF(AND(BT53=BR$5,BS$6&lt;=$D$104),-0.5,0))</f>
        <v/>
      </c>
      <c r="BW53" s="416" t="n"/>
      <c r="BX53" s="418" t="n"/>
      <c r="BY53" s="418" t="n"/>
      <c r="BZ53" s="418" t="n"/>
      <c r="CA53" s="602">
        <f>SUM(IF(BW53=BW$5,4,0),IF(BW53&amp;BX53=BW$5&amp;BX$5,1,0),
IF(AND(BW53=BW$5,BX$6&gt;=$D$115),1,0),
IF(AND(BX53=BW$5,BX$6&gt;=$D$115),1,0),
IF(AND(BY53=BW$5,BX$6&gt;=$D$115),1,0),
IF(BW53&amp;BZ53=CA$5,1,0),
IF(BX53=BW$5,2,0),
IF(BY53=BW$5,1,0),
IF(OR(BW53&amp;BX53&amp;BY53=BW$5&amp;BX$5&amp;BY$5,BW53&amp;BX53&amp;BY53=BW$5&amp;BY$5&amp;BX$5,BW53&amp;BX53&amp;BY53=BX$5&amp;BW$5&amp;BY$5,BW53&amp;BX53&amp;BY53=BX$5&amp;BY$5&amp;BW$5,BW53&amp;BX53&amp;BY53=BY$5&amp;BW$5&amp;BX$5,BW53&amp;BX53&amp;BY53=BY$5&amp;BX$5&amp;BW$5),2,0),IF(AND(BW53=BW$5,BX$6&gt;=$D$129),1,0),IF(AND(BX53=BW$5,BX$6&gt;=$D$129),1,0),IF(AND(BY53=BW$5,BX$6&gt;=$D$129),1,0),IF(BW53&amp;BZ53=BZ$5,4,0),IF(AND(BW53=BW$5,BX$6&lt;=$D$104),-0.5,0),IF(AND(BX53=BW$5,BX$6&lt;=$D$104),-0.5,0),IF(AND(BY53=BW$5,BX$6&lt;=$D$104),-0.5,0))</f>
        <v/>
      </c>
      <c r="CB53" s="416" t="n"/>
      <c r="CC53" s="418" t="n"/>
      <c r="CD53" s="418" t="n"/>
      <c r="CE53" s="418" t="n"/>
      <c r="CF53" s="602">
        <f>SUM(IF(CB53=CB$5,4,0),IF(CB53&amp;CC53=CB$5&amp;CC$5,1,0),
IF(AND(CB53=CB$5,CC$6&gt;=$D$115),1,0),
IF(AND(CC53=CB$5,CC$6&gt;=$D$115),1,0),
IF(AND(CD53=CB$5,CC$6&gt;=$D$115),1,0),
IF(CB53&amp;CE53=CF$5,1,0),
IF(CC53=CB$5,2,0),
IF(CD53=CB$5,1,0),
IF(OR(CB53&amp;CC53&amp;CD53=CB$5&amp;CC$5&amp;CD$5,CB53&amp;CC53&amp;CD53=CB$5&amp;CD$5&amp;CC$5,CB53&amp;CC53&amp;CD53=CC$5&amp;CB$5&amp;CD$5,CB53&amp;CC53&amp;CD53=CC$5&amp;CD$5&amp;CB$5,CB53&amp;CC53&amp;CD53=CD$5&amp;CB$5&amp;CC$5,CB53&amp;CC53&amp;CD53=CD$5&amp;CC$5&amp;CB$5),2,0),IF(AND(CB53=CB$5,CC$6&gt;=$D$129),1,0),IF(AND(CC53=CB$5,CC$6&gt;=$D$129),1,0),IF(AND(CD53=CB$5,CC$6&gt;=$D$129),1,0),IF(CB53&amp;CE53=CE$5,4,0),IF(AND(CB53=CB$5,CC$6&lt;=$D$104),-0.5,0),IF(AND(CC53=CB$5,CC$6&lt;=$D$104),-0.5,0),IF(AND(CD53=CB$5,CC$6&lt;=$D$104),-0.5,0))</f>
        <v/>
      </c>
      <c r="CG53" s="164">
        <f>IF(SEMANA2[[#This Row],[1]]="",0,$B$4)</f>
        <v/>
      </c>
      <c r="CH53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3" s="189">
        <f>IF(SEMANA2[[#This Row],[Columna14]]=0,0,(CH53/CG53))</f>
        <v/>
      </c>
      <c r="CJ53" s="165">
        <f>IF(SEMANA2[[#This Row],[1]]="",0,$B$4)</f>
        <v/>
      </c>
      <c r="CK53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3" s="189">
        <f>IF(SEMANA2[[#This Row],[Columna14]]=0,0,(CK53/CJ53))</f>
        <v/>
      </c>
      <c r="CM53" s="164">
        <f>IF(SEMANA2[[#This Row],[1]]="",0,$B$4)</f>
        <v/>
      </c>
      <c r="CN53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3" s="189">
        <f>IF(SEMANA2[[#This Row],[Columna14]]=0,0,(CN53/CM53))</f>
        <v/>
      </c>
      <c r="CP53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3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Row],[Columna25]],$AX$5,BA53,"SF")+COUNTIFS(SEMANA2[[#This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3" s="189">
        <f>IFERROR(IF(SEMANA2[[#This Row],[Columna14]]=0,0,(CQ53/CP53)),0)</f>
        <v/>
      </c>
      <c r="CS53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3" s="95">
        <f>_xlfn.XLOOKUP(SEMANA2[[#This Row],[COD]],BASE01[COD],BASE01[Columna33])</f>
        <v/>
      </c>
      <c r="CU53" s="604">
        <f>SUM(CS53,CT53)</f>
        <v/>
      </c>
      <c r="CV53" s="450">
        <f>IF(SEMANA2[[#This Row],[TIPO]]="PREMIO",$O$3,"0,00")</f>
        <v/>
      </c>
      <c r="CW53" s="576" t="n"/>
      <c r="CY53" s="392">
        <f>IF(CZ53="","",$CZ$25)</f>
        <v/>
      </c>
      <c r="CZ53" s="392" t="n"/>
      <c r="DA53" s="392">
        <f t="array" ref="DA53">IF(CZ53="", "", IF((INDEX(E$8:CE$57, MATCH(CZ53, C$8:C$57, 0), ($CZ$25-1)*5 + 1) &amp; "") = (INDEX(E$5:CE$5, 1, ($CZ$25-1)*5 + 1) &amp; ""), 1, IF((INDEX(E$8:CE$57, MATCH(CZ53, C$8:C$57, 0), ($CZ$25-1)*5 + 2) &amp; "") = (INDEX(E$5:CE$5, 1, ($CZ$25-1)*5 + 1) &amp; ""), 2, IF((INDEX(E$8:CE$57, MATCH(CZ53, C$8:C$57, 0), ($CZ$25-1)*5 + 3) &amp; "") = (INDEX(E$5:CE$5, 1, ($CZ$25-1)*5 + 1) &amp; ""), 3, ""))))</f>
        <v/>
      </c>
      <c r="DB53" s="605">
        <f>SEMANA2[[#This Row],[COD]]</f>
        <v/>
      </c>
      <c r="DC53" s="395">
        <f t="array" ref="DC53">IFERROR(IF(AND(INDEX($E$8:$CE$57, MATCH($C53, $C$8:$C$57, 0), (COLUMNS($DC53:DC53)-1)*5 + 1) = INDEX($E$5:$CE$5, 1, (COLUMNS($DC53:DC53)-1)*5 + 1), INDEX($E$8:$CE$57, MATCH($C53, $C$8:$C$57, 0), (COLUMNS($DC53:DC53)-1)*5 + 4) = "F"), INDEX($CZ$8:$CZ$23, COLUMNS($DC53:DC53)), "0"), "")</f>
        <v/>
      </c>
      <c r="DD53" s="395">
        <f t="array" ref="DD53">IFERROR(IF(AND(INDEX($E$8:$CE$57, MATCH($C53, $C$8:$C$57, 0), (COLUMNS($DC53:DD53)-1)*5 + 1) = INDEX($E$5:$CE$5, 1, (COLUMNS($DC53:DD53)-1)*5 + 1), INDEX($E$8:$CE$57, MATCH($C53, $C$8:$C$57, 0), (COLUMNS($DC53:DD53)-1)*5 + 4) = "F"), INDEX($CZ$8:$CZ$23, COLUMNS($DC53:DD53)), "0"), "")</f>
        <v/>
      </c>
      <c r="DE53" s="395">
        <f t="array" ref="DE53">IFERROR(IF(AND(INDEX($E$8:$CE$57, MATCH($C53, $C$8:$C$57, 0), (COLUMNS($DC53:DE53)-1)*5 + 1) = INDEX($E$5:$CE$5, 1, (COLUMNS($DC53:DE53)-1)*5 + 1), INDEX($E$8:$CE$57, MATCH($C53, $C$8:$C$57, 0), (COLUMNS($DC53:DE53)-1)*5 + 4) = "F"), INDEX($CZ$8:$CZ$23, COLUMNS($DC53:DE53)), "0"), "")</f>
        <v/>
      </c>
      <c r="DF53" s="395">
        <f t="array" ref="DF53">IFERROR(IF(AND(INDEX($E$8:$CE$57, MATCH($C53, $C$8:$C$57, 0), (COLUMNS($DC53:DF53)-1)*5 + 1) = INDEX($E$5:$CE$5, 1, (COLUMNS($DC53:DF53)-1)*5 + 1), INDEX($E$8:$CE$57, MATCH($C53, $C$8:$C$57, 0), (COLUMNS($DC53:DF53)-1)*5 + 4) = "F"), INDEX($CZ$8:$CZ$23, COLUMNS($DC53:DF53)), "0"), "")</f>
        <v/>
      </c>
      <c r="DG53" s="395">
        <f t="array" ref="DG53">IFERROR(IF(AND(INDEX($E$8:$CE$57, MATCH($C53, $C$8:$C$57, 0), (COLUMNS($DC53:DG53)-1)*5 + 1) = INDEX($E$5:$CE$5, 1, (COLUMNS($DC53:DG53)-1)*5 + 1), INDEX($E$8:$CE$57, MATCH($C53, $C$8:$C$57, 0), (COLUMNS($DC53:DG53)-1)*5 + 4) = "F"), INDEX($CZ$8:$CZ$23, COLUMNS($DC53:DG53)), "0"), "")</f>
        <v/>
      </c>
      <c r="DH53" s="395">
        <f t="array" ref="DH53">IFERROR(IF(AND(INDEX($E$8:$CE$57, MATCH($C53, $C$8:$C$57, 0), (COLUMNS($DC53:DH53)-1)*5 + 1) = INDEX($E$5:$CE$5, 1, (COLUMNS($DC53:DH53)-1)*5 + 1), INDEX($E$8:$CE$57, MATCH($C53, $C$8:$C$57, 0), (COLUMNS($DC53:DH53)-1)*5 + 4) = "F"), INDEX($CZ$8:$CZ$23, COLUMNS($DC53:DH53)), "0"), "")</f>
        <v/>
      </c>
      <c r="DI53" s="395">
        <f t="array" ref="DI53">IFERROR(IF(AND(INDEX($E$8:$CE$57, MATCH($C53, $C$8:$C$57, 0), (COLUMNS($DC53:DI53)-1)*5 + 1) = INDEX($E$5:$CE$5, 1, (COLUMNS($DC53:DI53)-1)*5 + 1), INDEX($E$8:$CE$57, MATCH($C53, $C$8:$C$57, 0), (COLUMNS($DC53:DI53)-1)*5 + 4) = "F"), INDEX($CZ$8:$CZ$23, COLUMNS($DC53:DI53)), "0"), "")</f>
        <v/>
      </c>
      <c r="DJ53" s="395">
        <f t="array" ref="DJ53">IFERROR(IF(AND(INDEX($E$8:$CE$57, MATCH($C53, $C$8:$C$57, 0), (COLUMNS($DC53:DJ53)-1)*5 + 1) = INDEX($E$5:$CE$5, 1, (COLUMNS($DC53:DJ53)-1)*5 + 1), INDEX($E$8:$CE$57, MATCH($C53, $C$8:$C$57, 0), (COLUMNS($DC53:DJ53)-1)*5 + 4) = "F"), INDEX($CZ$8:$CZ$23, COLUMNS($DC53:DJ53)), "0"), "")</f>
        <v/>
      </c>
      <c r="DK53" s="395">
        <f t="array" ref="DK53">IFERROR(IF(AND(INDEX($E$8:$CE$57, MATCH($C53, $C$8:$C$57, 0), (COLUMNS($DC53:DK53)-1)*5 + 1) = INDEX($E$5:$CE$5, 1, (COLUMNS($DC53:DK53)-1)*5 + 1), INDEX($E$8:$CE$57, MATCH($C53, $C$8:$C$57, 0), (COLUMNS($DC53:DK53)-1)*5 + 4) = "F"), INDEX($CZ$8:$CZ$23, COLUMNS($DC53:DK53)), "0"), "")</f>
        <v/>
      </c>
      <c r="DL53" s="395">
        <f t="array" ref="DL53">IFERROR(IF(AND(INDEX($E$8:$CE$57, MATCH($C53, $C$8:$C$57, 0), (COLUMNS($DC53:DL53)-1)*5 + 1) = INDEX($E$5:$CE$5, 1, (COLUMNS($DC53:DL53)-1)*5 + 1), INDEX($E$8:$CE$57, MATCH($C53, $C$8:$C$57, 0), (COLUMNS($DC53:DL53)-1)*5 + 4) = "F"), INDEX($CZ$8:$CZ$23, COLUMNS($DC53:DL53)), "0"), "")</f>
        <v/>
      </c>
      <c r="DM53" s="395">
        <f t="array" ref="DM53">IFERROR(IF(AND(INDEX($E$8:$CE$57, MATCH($C53, $C$8:$C$57, 0), (COLUMNS($DC53:DM53)-1)*5 + 1) = INDEX($E$5:$CE$5, 1, (COLUMNS($DC53:DM53)-1)*5 + 1), INDEX($E$8:$CE$57, MATCH($C53, $C$8:$C$57, 0), (COLUMNS($DC53:DM53)-1)*5 + 4) = "F"), INDEX($CZ$8:$CZ$23, COLUMNS($DC53:DM53)), "0"), "")</f>
        <v/>
      </c>
      <c r="DN53" s="395">
        <f t="array" ref="DN53">IFERROR(IF(AND(INDEX($E$8:$CE$57, MATCH($C53, $C$8:$C$57, 0), (COLUMNS($DC53:DN53)-1)*5 + 1) = INDEX($E$5:$CE$5, 1, (COLUMNS($DC53:DN53)-1)*5 + 1), INDEX($E$8:$CE$57, MATCH($C53, $C$8:$C$57, 0), (COLUMNS($DC53:DN53)-1)*5 + 4) = "F"), INDEX($CZ$8:$CZ$23, COLUMNS($DC53:DN53)), "0"), "")</f>
        <v/>
      </c>
      <c r="DO53" s="395">
        <f t="array" ref="DO53">IFERROR(IF(AND(INDEX($E$8:$CE$57, MATCH($C53, $C$8:$C$57, 0), (COLUMNS($DC53:DO53)-1)*5 + 1) = INDEX($E$5:$CE$5, 1, (COLUMNS($DC53:DO53)-1)*5 + 1), INDEX($E$8:$CE$57, MATCH($C53, $C$8:$C$57, 0), (COLUMNS($DC53:DO53)-1)*5 + 4) = "F"), INDEX($CZ$8:$CZ$23, COLUMNS($DC53:DO53)), "0"), "")</f>
        <v/>
      </c>
      <c r="DP53" s="395">
        <f t="array" ref="DP53">IFERROR(IF(AND(INDEX($E$8:$CE$57, MATCH($C53, $C$8:$C$57, 0), (COLUMNS($DC53:DP53)-1)*5 + 1) = INDEX($E$5:$CE$5, 1, (COLUMNS($DC53:DP53)-1)*5 + 1), INDEX($E$8:$CE$57, MATCH($C53, $C$8:$C$57, 0), (COLUMNS($DC53:DP53)-1)*5 + 4) = "F"), INDEX($CZ$8:$CZ$23, COLUMNS($DC53:DP53)), "0"), "")</f>
        <v/>
      </c>
      <c r="DQ53" s="395">
        <f t="array" ref="DQ53">IFERROR(IF(AND(INDEX($E$8:$CE$57, MATCH($C53, $C$8:$C$57, 0), (COLUMNS($DC53:DQ53)-1)*5 + 1) = INDEX($E$5:$CE$5, 1, (COLUMNS($DC53:DQ53)-1)*5 + 1), INDEX($E$8:$CE$57, MATCH($C53, $C$8:$C$57, 0), (COLUMNS($DC53:DQ53)-1)*5 + 4) = "F"), INDEX($CZ$8:$CZ$23, COLUMNS($DC53:DQ53)), "0"), "")</f>
        <v/>
      </c>
      <c r="DR53" s="395">
        <f t="array" ref="DR53">IFERROR(IF(AND(INDEX($E$8:$CE$57, MATCH($C53, $C$8:$C$57, 0), (COLUMNS($DC53:DR53)-1)*5 + 1) = INDEX($E$5:$CE$5, 1, (COLUMNS($DC53:DR53)-1)*5 + 1), INDEX($E$8:$CE$57, MATCH($C53, $C$8:$C$57, 0), (COLUMNS($DC53:DR53)-1)*5 + 4) = "F"), INDEX($CZ$8:$CZ$23, COLUMNS($DC53:DR53)), "0"), "")</f>
        <v/>
      </c>
      <c r="DT53" s="605">
        <f>SEMANA2[[#This Row],[COD]]</f>
        <v/>
      </c>
      <c r="DU53" s="395">
        <f t="array" ref="DU53">IFERROR(IF(AND(INDEX($E$8:$CE$57, MATCH($C53, $C$8:$C$57, 0), (COLUMNS($DU53:DU53)-1)*5 + 1) = INDEX($E$5:$CE$5, 1, (COLUMNS($DU53:DU53)-1)*5 + 1), INDEX($E$8:$CE$57, MATCH($C53, $C$8:$C$57, 0), (COLUMNS($DU53:DU53)-1)*5 + 4) = "SF"), INDEX($CZ$8:$CZ$23, COLUMNS($DU53:DU53)), "0"), "")</f>
        <v/>
      </c>
      <c r="DV53" s="395">
        <f t="array" ref="DV53">IFERROR(IF(AND(INDEX($E$8:$CE$57, MATCH($C53, $C$8:$C$57, 0), (COLUMNS($DU53:DV53)-1)*5 + 1) = INDEX($E$5:$CE$5, 1, (COLUMNS($DU53:DV53)-1)*5 + 1), INDEX($E$8:$CE$57, MATCH($C53, $C$8:$C$57, 0), (COLUMNS($DU53:DV53)-1)*5 + 4) = "SF"), INDEX($CZ$8:$CZ$23, COLUMNS($DU53:DV53)), "0"), "")</f>
        <v/>
      </c>
      <c r="DW53" s="395">
        <f t="array" ref="DW53">IFERROR(IF(AND(INDEX($E$8:$CE$57, MATCH($C53, $C$8:$C$57, 0), (COLUMNS($DU53:DW53)-1)*5 + 1) = INDEX($E$5:$CE$5, 1, (COLUMNS($DU53:DW53)-1)*5 + 1), INDEX($E$8:$CE$57, MATCH($C53, $C$8:$C$57, 0), (COLUMNS($DU53:DW53)-1)*5 + 4) = "SF"), INDEX($CZ$8:$CZ$23, COLUMNS($DU53:DW53)), "0"), "")</f>
        <v/>
      </c>
      <c r="DX53" s="395">
        <f t="array" ref="DX53">IFERROR(IF(AND(INDEX($E$8:$CE$57, MATCH($C53, $C$8:$C$57, 0), (COLUMNS($DU53:DX53)-1)*5 + 1) = INDEX($E$5:$CE$5, 1, (COLUMNS($DU53:DX53)-1)*5 + 1), INDEX($E$8:$CE$57, MATCH($C53, $C$8:$C$57, 0), (COLUMNS($DU53:DX53)-1)*5 + 4) = "SF"), INDEX($CZ$8:$CZ$23, COLUMNS($DU53:DX53)), "0"), "")</f>
        <v/>
      </c>
      <c r="DY53" s="395">
        <f t="array" ref="DY53">IFERROR(IF(AND(INDEX($E$8:$CE$57, MATCH($C53, $C$8:$C$57, 0), (COLUMNS($DU53:DY53)-1)*5 + 1) = INDEX($E$5:$CE$5, 1, (COLUMNS($DU53:DY53)-1)*5 + 1), INDEX($E$8:$CE$57, MATCH($C53, $C$8:$C$57, 0), (COLUMNS($DU53:DY53)-1)*5 + 4) = "SF"), INDEX($CZ$8:$CZ$23, COLUMNS($DU53:DY53)), "0"), "")</f>
        <v/>
      </c>
      <c r="DZ53" s="395">
        <f t="array" ref="DZ53">IFERROR(IF(AND(INDEX($E$8:$CE$57, MATCH($C53, $C$8:$C$57, 0), (COLUMNS($DU53:DZ53)-1)*5 + 1) = INDEX($E$5:$CE$5, 1, (COLUMNS($DU53:DZ53)-1)*5 + 1), INDEX($E$8:$CE$57, MATCH($C53, $C$8:$C$57, 0), (COLUMNS($DU53:DZ53)-1)*5 + 4) = "SF"), INDEX($CZ$8:$CZ$23, COLUMNS($DU53:DZ53)), "0"), "")</f>
        <v/>
      </c>
      <c r="EA53" s="395">
        <f t="array" ref="EA53">IFERROR(IF(AND(INDEX($E$8:$CE$57, MATCH($C53, $C$8:$C$57, 0), (COLUMNS($DU53:EA53)-1)*5 + 1) = INDEX($E$5:$CE$5, 1, (COLUMNS($DU53:EA53)-1)*5 + 1), INDEX($E$8:$CE$57, MATCH($C53, $C$8:$C$57, 0), (COLUMNS($DU53:EA53)-1)*5 + 4) = "SF"), INDEX($CZ$8:$CZ$23, COLUMNS($DU53:EA53)), "0"), "")</f>
        <v/>
      </c>
      <c r="EB53" s="395">
        <f t="array" ref="EB53">IFERROR(IF(AND(INDEX($E$8:$CE$57, MATCH($C53, $C$8:$C$57, 0), (COLUMNS($DU53:EB53)-1)*5 + 1) = INDEX($E$5:$CE$5, 1, (COLUMNS($DU53:EB53)-1)*5 + 1), INDEX($E$8:$CE$57, MATCH($C53, $C$8:$C$57, 0), (COLUMNS($DU53:EB53)-1)*5 + 4) = "SF"), INDEX($CZ$8:$CZ$23, COLUMNS($DU53:EB53)), "0"), "")</f>
        <v/>
      </c>
      <c r="EC53" s="395">
        <f t="array" ref="EC53">IFERROR(IF(AND(INDEX($E$8:$CE$57, MATCH($C53, $C$8:$C$57, 0), (COLUMNS($DU53:EC53)-1)*5 + 1) = INDEX($E$5:$CE$5, 1, (COLUMNS($DU53:EC53)-1)*5 + 1), INDEX($E$8:$CE$57, MATCH($C53, $C$8:$C$57, 0), (COLUMNS($DU53:EC53)-1)*5 + 4) = "SF"), INDEX($CZ$8:$CZ$23, COLUMNS($DU53:EC53)), "0"), "")</f>
        <v/>
      </c>
      <c r="ED53" s="395">
        <f t="array" ref="ED53">IFERROR(IF(AND(INDEX($E$8:$CE$57, MATCH($C53, $C$8:$C$57, 0), (COLUMNS($DU53:ED53)-1)*5 + 1) = INDEX($E$5:$CE$5, 1, (COLUMNS($DU53:ED53)-1)*5 + 1), INDEX($E$8:$CE$57, MATCH($C53, $C$8:$C$57, 0), (COLUMNS($DU53:ED53)-1)*5 + 4) = "SF"), INDEX($CZ$8:$CZ$23, COLUMNS($DU53:ED53)), "0"), "")</f>
        <v/>
      </c>
      <c r="EE53" s="395">
        <f t="array" ref="EE53">IFERROR(IF(AND(INDEX($E$8:$CE$57, MATCH($C53, $C$8:$C$57, 0), (COLUMNS($DU53:EE53)-1)*5 + 1) = INDEX($E$5:$CE$5, 1, (COLUMNS($DU53:EE53)-1)*5 + 1), INDEX($E$8:$CE$57, MATCH($C53, $C$8:$C$57, 0), (COLUMNS($DU53:EE53)-1)*5 + 4) = "SF"), INDEX($CZ$8:$CZ$23, COLUMNS($DU53:EE53)), "0"), "")</f>
        <v/>
      </c>
      <c r="EF53" s="395">
        <f t="array" ref="EF53">IFERROR(IF(AND(INDEX($E$8:$CE$57, MATCH($C53, $C$8:$C$57, 0), (COLUMNS($DU53:EF53)-1)*5 + 1) = INDEX($E$5:$CE$5, 1, (COLUMNS($DU53:EF53)-1)*5 + 1), INDEX($E$8:$CE$57, MATCH($C53, $C$8:$C$57, 0), (COLUMNS($DU53:EF53)-1)*5 + 4) = "SF"), INDEX($CZ$8:$CZ$23, COLUMNS($DU53:EF53)), "0"), "")</f>
        <v/>
      </c>
      <c r="EG53" s="395">
        <f t="array" ref="EG53">IFERROR(IF(AND(INDEX($E$8:$CE$57, MATCH($C53, $C$8:$C$57, 0), (COLUMNS($DU53:EG53)-1)*5 + 1) = INDEX($E$5:$CE$5, 1, (COLUMNS($DU53:EG53)-1)*5 + 1), INDEX($E$8:$CE$57, MATCH($C53, $C$8:$C$57, 0), (COLUMNS($DU53:EG53)-1)*5 + 4) = "SF"), INDEX($CZ$8:$CZ$23, COLUMNS($DU53:EG53)), "0"), "")</f>
        <v/>
      </c>
      <c r="EH53" s="395">
        <f t="array" ref="EH53">IFERROR(IF(AND(INDEX($E$8:$CE$57, MATCH($C53, $C$8:$C$57, 0), (COLUMNS($DU53:EH53)-1)*5 + 1) = INDEX($E$5:$CE$5, 1, (COLUMNS($DU53:EH53)-1)*5 + 1), INDEX($E$8:$CE$57, MATCH($C53, $C$8:$C$57, 0), (COLUMNS($DU53:EH53)-1)*5 + 4) = "SF"), INDEX($CZ$8:$CZ$23, COLUMNS($DU53:EH53)), "0"), "")</f>
        <v/>
      </c>
      <c r="EI53" s="395">
        <f t="array" ref="EI53">IFERROR(IF(AND(INDEX($E$8:$CE$57, MATCH($C53, $C$8:$C$57, 0), (COLUMNS($DU53:EI53)-1)*5 + 1) = INDEX($E$5:$CE$5, 1, (COLUMNS($DU53:EI53)-1)*5 + 1), INDEX($E$8:$CE$57, MATCH($C53, $C$8:$C$57, 0), (COLUMNS($DU53:EI53)-1)*5 + 4) = "SF"), INDEX($CZ$8:$CZ$23, COLUMNS($DU53:EI53)), "0"), "")</f>
        <v/>
      </c>
      <c r="EJ53" s="395">
        <f t="array" ref="EJ53">IFERROR(IF(AND(INDEX($E$8:$CE$57, MATCH($C53, $C$8:$C$57, 0), (COLUMNS($DU53:EJ53)-1)*5 + 1) = INDEX($E$5:$CE$5, 1, (COLUMNS($DU53:EJ53)-1)*5 + 1), INDEX($E$8:$CE$57, MATCH($C53, $C$8:$C$57, 0), (COLUMNS($DU53:EJ53)-1)*5 + 4) = "SF"), INDEX($CZ$8:$CZ$23, COLUMNS($DU53:EJ53)), "0"), "")</f>
        <v/>
      </c>
    </row>
    <row r="54" outlineLevel="1" ht="20.1" customHeight="1" s="568">
      <c r="A54" s="576" t="n"/>
      <c r="B54" s="449">
        <f>IF(SEMANA2[[#This Row],[COD]]&lt;&gt;"",B53+1,"")</f>
        <v/>
      </c>
      <c r="C54" s="622" t="inlineStr">
        <is>
          <t>COD 47</t>
        </is>
      </c>
      <c r="D54" s="415">
        <f t="array" ref="D54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4" s="416" t="n"/>
      <c r="F54" s="418" t="n"/>
      <c r="G54" s="418" t="n"/>
      <c r="H54" s="418" t="n"/>
      <c r="I54" s="602">
        <f>SUM(IF(E54=E$5,4,0),IF(E54&amp;F54=E$5&amp;F$5,1,0),
IF(AND(E54=E$5,F$6&gt;=$D$115),1,0),
IF(AND(F54=E$5,F$6&gt;=$D$115),1,0),
IF(AND(G54=E$5,F$6&gt;=$D$115),1,0),
IF(E54&amp;H54=I$5,1,0),
IF(F54=E$5,2,0),
IF(G54=E$5,1,0),
IF(OR(E54&amp;F54&amp;G54=E$5&amp;F$5&amp;G$5,E54&amp;F54&amp;G54=E$5&amp;G$5&amp;F$5,E54&amp;F54&amp;G54=F$5&amp;E$5&amp;G$5,E54&amp;F54&amp;G54=F$5&amp;G$5&amp;E$5,E54&amp;F54&amp;G54=G$5&amp;E$5&amp;F$5,E54&amp;F54&amp;G54=G$5&amp;F$5&amp;E$5),2,0),IF(AND(E54=E$5,F$6&gt;=$D$129),1,0),IF(AND(F54=E$5,F$6&gt;=$D$129),1,0),IF(AND(G54=E$5,F$6&gt;=$D$129),1,0),IF(E54&amp;H54=H$5,4,0),IF(AND(E54=E$5,F$6&lt;=$D$104),-0.5,0),IF(AND(F54=E$5,F$6&lt;=$D$104),-0.5,0),IF(AND(G54=E$5,F$6&lt;=$D$104),-0.5,0))</f>
        <v/>
      </c>
      <c r="J54" s="416" t="n"/>
      <c r="K54" s="418" t="n"/>
      <c r="L54" s="418" t="n"/>
      <c r="M54" s="418" t="n"/>
      <c r="N54" s="602">
        <f>SUM(IF(J54=J$5,4,0),IF(J54&amp;K54=J$5&amp;K$5,1,0),
IF(AND(J54=J$5,K$6&gt;=$D$115),1,0),
IF(AND(K54=J$5,K$6&gt;=$D$115),1,0),
IF(AND(L54=J$5,K$6&gt;=$D$115),1,0),
IF(J54&amp;M54=N$5,1,0),
IF(K54=J$5,2,0),
IF(L54=J$5,1,0),
IF(OR(J54&amp;K54&amp;L54=J$5&amp;K$5&amp;L$5,J54&amp;K54&amp;L54=J$5&amp;L$5&amp;K$5,J54&amp;K54&amp;L54=K$5&amp;J$5&amp;L$5,J54&amp;K54&amp;L54=K$5&amp;L$5&amp;J$5,J54&amp;K54&amp;L54=L$5&amp;J$5&amp;K$5,J54&amp;K54&amp;L54=L$5&amp;K$5&amp;J$5),2,0),IF(AND(J54=J$5,K$6&gt;=$D$129),1,0),IF(AND(K54=J$5,K$6&gt;=$D$129),1,0),IF(AND(L54=J$5,K$6&gt;=$D$129),1,0),IF(J54&amp;M54=M$5,4,0),IF(AND(J54=J$5,K$6&lt;=$D$104),-0.5,0),IF(AND(K54=J$5,K$6&lt;=$D$104),-0.5,0),IF(AND(L54=J$5,K$6&lt;=$D$104),-0.5,0))</f>
        <v/>
      </c>
      <c r="O54" s="416" t="n"/>
      <c r="P54" s="418" t="n"/>
      <c r="Q54" s="418" t="n"/>
      <c r="R54" s="418" t="n"/>
      <c r="S54" s="602">
        <f>SUM(IF(O54=O$5,4,0),IF(O54&amp;P54=O$5&amp;P$5,1,0),
IF(AND(O54=O$5,P$6&gt;=$D$115),1,0),
IF(AND(P54=O$5,P$6&gt;=$D$115),1,0),
IF(AND(Q54=O$5,P$6&gt;=$D$115),1,0),
IF(O54&amp;R54=S$5,1,0),
IF(P54=O$5,2,0),
IF(Q54=O$5,1,0),
IF(OR(O54&amp;P54&amp;Q54=O$5&amp;P$5&amp;Q$5,O54&amp;P54&amp;Q54=O$5&amp;Q$5&amp;P$5,O54&amp;P54&amp;Q54=P$5&amp;O$5&amp;Q$5,O54&amp;P54&amp;Q54=P$5&amp;Q$5&amp;O$5,O54&amp;P54&amp;Q54=Q$5&amp;O$5&amp;P$5,O54&amp;P54&amp;Q54=Q$5&amp;P$5&amp;O$5),2,0),IF(AND(O54=O$5,P$6&gt;=$D$129),1,0),IF(AND(P54=O$5,P$6&gt;=$D$129),1,0),IF(AND(Q54=O$5,P$6&gt;=$D$129),1,0),IF(O54&amp;R54=R$5,4,0),IF(AND(O54=O$5,P$6&lt;=$D$104),-0.5,0),IF(AND(P54=O$5,P$6&lt;=$D$104),-0.5,0),IF(AND(Q54=O$5,P$6&lt;=$D$104),-0.5,0))</f>
        <v/>
      </c>
      <c r="T54" s="416" t="n"/>
      <c r="U54" s="418" t="n"/>
      <c r="V54" s="418" t="n"/>
      <c r="W54" s="418" t="n"/>
      <c r="X54" s="602">
        <f>SUM(IF(T54=T$5,4,0),IF(T54&amp;U54=T$5&amp;U$5,1,0),
IF(AND(T54=T$5,U$6&gt;=$D$115),1,0),
IF(AND(U54=T$5,U$6&gt;=$D$115),1,0),
IF(AND(V54=T$5,U$6&gt;=$D$115),1,0),
IF(T54&amp;W54=X$5,1,0),
IF(U54=T$5,2,0),
IF(V54=T$5,1,0),
IF(OR(T54&amp;U54&amp;V54=T$5&amp;U$5&amp;V$5,T54&amp;U54&amp;V54=T$5&amp;V$5&amp;U$5,T54&amp;U54&amp;V54=U$5&amp;T$5&amp;V$5,T54&amp;U54&amp;V54=U$5&amp;V$5&amp;T$5,T54&amp;U54&amp;V54=V$5&amp;T$5&amp;U$5,T54&amp;U54&amp;V54=V$5&amp;U$5&amp;T$5),2,0),IF(AND(T54=T$5,U$6&gt;=$D$129),1,0),IF(AND(U54=T$5,U$6&gt;=$D$129),1,0),IF(AND(V54=T$5,U$6&gt;=$D$129),1,0),IF(T54&amp;W54=W$5,4,0),IF(AND(T54=T$5,U$6&lt;=$D$104),-0.5,0),IF(AND(U54=T$5,U$6&lt;=$D$104),-0.5,0),IF(AND(V54=T$5,U$6&lt;=$D$104),-0.5,0))</f>
        <v/>
      </c>
      <c r="Y54" s="416" t="n"/>
      <c r="Z54" s="418" t="n"/>
      <c r="AA54" s="418" t="n"/>
      <c r="AB54" s="418" t="n"/>
      <c r="AC54" s="602">
        <f>SUM(IF(Y54=Y$5,4,0),IF(Y54&amp;Z54=Y$5&amp;Z$5,1,0),
IF(AND(Y54=Y$5,Z$6&gt;=$D$115),1,0),
IF(AND(Z54=Y$5,Z$6&gt;=$D$115),1,0),
IF(AND(AA54=Y$5,Z$6&gt;=$D$115),1,0),
IF(Y54&amp;AB54=AC$5,1,0),
IF(Z54=Y$5,2,0),
IF(AA54=Y$5,1,0),
IF(OR(Y54&amp;Z54&amp;AA54=Y$5&amp;Z$5&amp;AA$5,Y54&amp;Z54&amp;AA54=Y$5&amp;AA$5&amp;Z$5,Y54&amp;Z54&amp;AA54=Z$5&amp;Y$5&amp;AA$5,Y54&amp;Z54&amp;AA54=Z$5&amp;AA$5&amp;Y$5,Y54&amp;Z54&amp;AA54=AA$5&amp;Y$5&amp;Z$5,Y54&amp;Z54&amp;AA54=AA$5&amp;Z$5&amp;Y$5),2,0),IF(AND(Y54=Y$5,Z$6&gt;=$D$129),1,0),IF(AND(Z54=Y$5,Z$6&gt;=$D$129),1,0),IF(AND(AA54=Y$5,Z$6&gt;=$D$129),1,0),IF(Y54&amp;AB54=AB$5,4,0),IF(AND(Y54=Y$5,Z$6&lt;=$D$104),-0.5,0),IF(AND(Z54=Y$5,Z$6&lt;=$D$104),-0.5,0),IF(AND(AA54=Y$5,Z$6&lt;=$D$104),-0.5,0))</f>
        <v/>
      </c>
      <c r="AD54" s="416" t="n"/>
      <c r="AE54" s="418" t="n"/>
      <c r="AF54" s="418" t="n"/>
      <c r="AG54" s="418" t="n"/>
      <c r="AH54" s="602">
        <f>SUM(IF(AD54=AD$5,4,0),IF(AD54&amp;AE54=AD$5&amp;AE$5,1,0),
IF(AND(AD54=AD$5,AE$6&gt;=$D$115),1,0),
IF(AND(AE54=AD$5,AE$6&gt;=$D$115),1,0),
IF(AND(AF54=AD$5,AE$6&gt;=$D$115),1,0),
IF(AD54&amp;AG54=AH$5,1,0),
IF(AE54=AD$5,2,0),
IF(AF54=AD$5,1,0),
IF(OR(AD54&amp;AE54&amp;AF54=AD$5&amp;AE$5&amp;AF$5,AD54&amp;AE54&amp;AF54=AD$5&amp;AF$5&amp;AE$5,AD54&amp;AE54&amp;AF54=AE$5&amp;AD$5&amp;AF$5,AD54&amp;AE54&amp;AF54=AE$5&amp;AF$5&amp;AD$5,AD54&amp;AE54&amp;AF54=AF$5&amp;AD$5&amp;AE$5,AD54&amp;AE54&amp;AF54=AF$5&amp;AE$5&amp;AD$5),2,0),IF(AND(AD54=AD$5,AE$6&gt;=$D$129),1,0),IF(AND(AE54=AD$5,AE$6&gt;=$D$129),1,0),IF(AND(AF54=AD$5,AE$6&gt;=$D$129),1,0),IF(AD54&amp;AG54=AG$5,4,0),IF(AND(AD54=AD$5,AE$6&lt;=$D$104),-0.5,0),IF(AND(AE54=AD$5,AE$6&lt;=$D$104),-0.5,0),IF(AND(AF54=AD$5,AE$6&lt;=$D$104),-0.5,0))</f>
        <v/>
      </c>
      <c r="AI54" s="416" t="n"/>
      <c r="AJ54" s="418" t="n"/>
      <c r="AK54" s="418" t="n"/>
      <c r="AL54" s="418" t="n"/>
      <c r="AM54" s="602">
        <f>SUM(IF(AI54=AI$5,4,0),IF(AI54&amp;AJ54=AI$5&amp;AJ$5,1,0),
IF(AND(AI54=AI$5,AJ$6&gt;=$D$115),1,0),
IF(AND(AJ54=AI$5,AJ$6&gt;=$D$115),1,0),
IF(AND(AK54=AI$5,AJ$6&gt;=$D$115),1,0),
IF(AI54&amp;AL54=AM$5,1,0),
IF(AJ54=AI$5,2,0),
IF(AK54=AI$5,1,0),
IF(OR(AI54&amp;AJ54&amp;AK54=AI$5&amp;AJ$5&amp;AK$5,AI54&amp;AJ54&amp;AK54=AI$5&amp;AK$5&amp;AJ$5,AI54&amp;AJ54&amp;AK54=AJ$5&amp;AI$5&amp;AK$5,AI54&amp;AJ54&amp;AK54=AJ$5&amp;AK$5&amp;AI$5,AI54&amp;AJ54&amp;AK54=AK$5&amp;AI$5&amp;AJ$5,AI54&amp;AJ54&amp;AK54=AK$5&amp;AJ$5&amp;AI$5),2,0),IF(AND(AI54=AI$5,AJ$6&gt;=$D$129),1,0),IF(AND(AJ54=AI$5,AJ$6&gt;=$D$129),1,0),IF(AND(AK54=AI$5,AJ$6&gt;=$D$129),1,0),IF(AI54&amp;AL54=AL$5,4,0),IF(AND(AI54=AI$5,AJ$6&lt;=$D$104),-0.5,0),IF(AND(AJ54=AI$5,AJ$6&lt;=$D$104),-0.5,0),IF(AND(AK54=AI$5,AJ$6&lt;=$D$104),-0.5,0))</f>
        <v/>
      </c>
      <c r="AN54" s="416" t="n"/>
      <c r="AO54" s="418" t="n"/>
      <c r="AP54" s="418" t="n"/>
      <c r="AQ54" s="418" t="n"/>
      <c r="AR54" s="602">
        <f>SUM(IF(AN54=AN$5,4,0),IF(AN54&amp;AO54=AN$5&amp;AO$5,1,0),
IF(AND(AN54=AN$5,AO$6&gt;=$D$115),1,0),
IF(AND(AO54=AN$5,AO$6&gt;=$D$115),1,0),
IF(AND(AP54=AN$5,AO$6&gt;=$D$115),1,0),
IF(AN54&amp;AQ54=AR$5,1,0),
IF(AO54=AN$5,2,0),
IF(AP54=AN$5,1,0),
IF(OR(AN54&amp;AO54&amp;AP54=AN$5&amp;AO$5&amp;AP$5,AN54&amp;AO54&amp;AP54=AN$5&amp;AP$5&amp;AO$5,AN54&amp;AO54&amp;AP54=AO$5&amp;AN$5&amp;AP$5,AN54&amp;AO54&amp;AP54=AO$5&amp;AP$5&amp;AN$5,AN54&amp;AO54&amp;AP54=AP$5&amp;AN$5&amp;AO$5,AN54&amp;AO54&amp;AP54=AP$5&amp;AO$5&amp;AN$5),2,0),IF(AND(AN54=AN$5,AO$6&gt;=$D$129),1,0),IF(AND(AO54=AN$5,AO$6&gt;=$D$129),1,0),IF(AND(AP54=AN$5,AO$6&gt;=$D$129),1,0),IF(AN54&amp;AQ54=AQ$5,4,0),IF(AND(AN54=AN$5,AO$6&lt;=$D$104),-0.5,0),IF(AND(AO54=AN$5,AO$6&lt;=$D$104),-0.5,0),IF(AND(AP54=AN$5,AO$6&lt;=$D$104),-0.5,0))</f>
        <v/>
      </c>
      <c r="AS54" s="416" t="n"/>
      <c r="AT54" s="418" t="n"/>
      <c r="AU54" s="418" t="n"/>
      <c r="AV54" s="418" t="n"/>
      <c r="AW54" s="602">
        <f>SUM(IF(AS54=AS$5,4,0),IF(AS54&amp;AT54=AS$5&amp;AT$5,1,0),
IF(AND(AS54=AS$5,AT$6&gt;=$D$115),1,0),
IF(AND(AT54=AS$5,AT$6&gt;=$D$115),1,0),
IF(AND(AU54=AS$5,AT$6&gt;=$D$115),1,0),
IF(AS54&amp;AV54=AW$5,1,0),
IF(AT54=AS$5,2,0),
IF(AU54=AS$5,1,0),
IF(OR(AS54&amp;AT54&amp;AU54=AS$5&amp;AT$5&amp;AU$5,AS54&amp;AT54&amp;AU54=AS$5&amp;AU$5&amp;AT$5,AS54&amp;AT54&amp;AU54=AT$5&amp;AS$5&amp;AU$5,AS54&amp;AT54&amp;AU54=AT$5&amp;AU$5&amp;AS$5,AS54&amp;AT54&amp;AU54=AU$5&amp;AS$5&amp;AT$5,AS54&amp;AT54&amp;AU54=AU$5&amp;AT$5&amp;AS$5),2,0),IF(AND(AS54=AS$5,AT$6&gt;=$D$129),1,0),IF(AND(AT54=AS$5,AT$6&gt;=$D$129),1,0),IF(AND(AU54=AS$5,AT$6&gt;=$D$129),1,0),IF(AS54&amp;AV54=AV$5,4,0),IF(AND(AS54=AS$5,AT$6&lt;=$D$104),-0.5,0),IF(AND(AT54=AS$5,AT$6&lt;=$D$104),-0.5,0),IF(AND(AU54=AS$5,AT$6&lt;=$D$104),-0.5,0))</f>
        <v/>
      </c>
      <c r="AX54" s="416" t="n"/>
      <c r="AY54" s="418" t="n"/>
      <c r="AZ54" s="418" t="n"/>
      <c r="BA54" s="418" t="n"/>
      <c r="BB54" s="602">
        <f>SUM(IF(AX54=AX$5,4,0),IF(AX54&amp;AY54=AX$5&amp;AY$5,1,0),
IF(AND(AX54=AX$5,AY$6&gt;=$D$115),1,0),
IF(AND(AY54=AX$5,AY$6&gt;=$D$115),1,0),
IF(AND(AZ54=AX$5,AY$6&gt;=$D$115),1,0),
IF(AX54&amp;BA54=BB$5,1,0),
IF(AY54=AX$5,2,0),
IF(AZ54=AX$5,1,0),
IF(OR(AX54&amp;AY54&amp;AZ54=AX$5&amp;AY$5&amp;AZ$5,AX54&amp;AY54&amp;AZ54=AX$5&amp;AZ$5&amp;AY$5,AX54&amp;AY54&amp;AZ54=AY$5&amp;AX$5&amp;AZ$5,AX54&amp;AY54&amp;AZ54=AY$5&amp;AZ$5&amp;AX$5,AX54&amp;AY54&amp;AZ54=AZ$5&amp;AX$5&amp;AY$5,AX54&amp;AY54&amp;AZ54=AZ$5&amp;AY$5&amp;AX$5),2,0),IF(AND(AX54=AX$5,AY$6&gt;=$D$129),1,0),IF(AND(AY54=AX$5,AY$6&gt;=$D$129),1,0),IF(AND(AZ54=AX$5,AY$6&gt;=$D$129),1,0),IF(AX54&amp;BA54=BA$5,4,0),IF(AND(AX54=AX$5,AY$6&lt;=$D$104),-0.5,0),IF(AND(AY54=AX$5,AY$6&lt;=$D$104),-0.5,0),IF(AND(AZ54=AX$5,AY$6&lt;=$D$104),-0.5,0))</f>
        <v/>
      </c>
      <c r="BC54" s="416" t="n"/>
      <c r="BD54" s="418" t="n"/>
      <c r="BE54" s="418" t="n"/>
      <c r="BF54" s="418" t="n"/>
      <c r="BG54" s="602">
        <f>SUM(IF(BC54=BC$5,4,0),IF(BC54&amp;BD54=BC$5&amp;BD$5,1,0),
IF(AND(BC54=BC$5,BD$6&gt;=$D$115),1,0),
IF(AND(BD54=BC$5,BD$6&gt;=$D$115),1,0),
IF(AND(BE54=BC$5,BD$6&gt;=$D$115),1,0),
IF(BC54&amp;BF54=BG$5,1,0),
IF(BD54=BC$5,2,0),
IF(BE54=BC$5,1,0),
IF(OR(BC54&amp;BD54&amp;BE54=BC$5&amp;BD$5&amp;BE$5,BC54&amp;BD54&amp;BE54=BC$5&amp;BE$5&amp;BD$5,BC54&amp;BD54&amp;BE54=BD$5&amp;BC$5&amp;BE$5,BC54&amp;BD54&amp;BE54=BD$5&amp;BE$5&amp;BC$5,BC54&amp;BD54&amp;BE54=BE$5&amp;BC$5&amp;BD$5,BC54&amp;BD54&amp;BE54=BE$5&amp;BD$5&amp;BC$5),2,0),IF(AND(BC54=BC$5,BD$6&gt;=$D$129),1,0),IF(AND(BD54=BC$5,BD$6&gt;=$D$129),1,0),IF(AND(BE54=BC$5,BD$6&gt;=$D$129),1,0),IF(BC54&amp;BF54=BF$5,4,0),IF(AND(BC54=BC$5,BD$6&lt;=$D$104),-0.5,0),IF(AND(BD54=BC$5,BD$6&lt;=$D$104),-0.5,0),IF(AND(BE54=BC$5,BD$6&lt;=$D$104),-0.5,0))</f>
        <v/>
      </c>
      <c r="BH54" s="416" t="n"/>
      <c r="BI54" s="418" t="n"/>
      <c r="BJ54" s="418" t="n"/>
      <c r="BK54" s="418" t="n"/>
      <c r="BL54" s="602">
        <f>SUM(IF(BH54=BH$5,4,0),IF(BH54&amp;BI54=BH$5&amp;BI$5,1,0),
IF(AND(BH54=BH$5,BI$6&gt;=$D$115),1,0),
IF(AND(BI54=BH$5,BI$6&gt;=$D$115),1,0),
IF(AND(BJ54=BH$5,BI$6&gt;=$D$115),1,0),
IF(BH54&amp;BK54=BL$5,1,0),
IF(BI54=BH$5,2,0),
IF(BJ54=BH$5,1,0),
IF(OR(BH54&amp;BI54&amp;BJ54=BH$5&amp;BI$5&amp;BJ$5,BH54&amp;BI54&amp;BJ54=BH$5&amp;BJ$5&amp;BI$5,BH54&amp;BI54&amp;BJ54=BI$5&amp;BH$5&amp;BJ$5,BH54&amp;BI54&amp;BJ54=BI$5&amp;BJ$5&amp;BH$5,BH54&amp;BI54&amp;BJ54=BJ$5&amp;BH$5&amp;BI$5,BH54&amp;BI54&amp;BJ54=BJ$5&amp;BI$5&amp;BH$5),2,0),IF(AND(BH54=BH$5,BI$6&gt;=$D$129),1,0),IF(AND(BI54=BH$5,BI$6&gt;=$D$129),1,0),IF(AND(BJ54=BH$5,BI$6&gt;=$D$129),1,0),IF(BH54&amp;BK54=BK$5,4,0),IF(AND(BH54=BH$5,BI$6&lt;=$D$104),-0.5,0),IF(AND(BI54=BH$5,BI$6&lt;=$D$104),-0.5,0),IF(AND(BJ54=BH$5,BI$6&lt;=$D$104),-0.5,0))</f>
        <v/>
      </c>
      <c r="BM54" s="416" t="n"/>
      <c r="BN54" s="418" t="n"/>
      <c r="BO54" s="418" t="n"/>
      <c r="BP54" s="418" t="n"/>
      <c r="BQ54" s="602">
        <f>SUM(IF(BM54=BM$5,4,0),IF(BM54&amp;BN54=BM$5&amp;BN$5,1,0),
IF(AND(BM54=BM$5,BN$6&gt;=$D$115),1,0),
IF(AND(BN54=BM$5,BN$6&gt;=$D$115),1,0),
IF(AND(BO54=BM$5,BN$6&gt;=$D$115),1,0),
IF(BM54&amp;BP54=BQ$5,1,0),
IF(BN54=BM$5,2,0),
IF(BO54=BM$5,1,0),
IF(OR(BM54&amp;BN54&amp;BO54=BM$5&amp;BN$5&amp;BO$5,BM54&amp;BN54&amp;BO54=BM$5&amp;BO$5&amp;BN$5,BM54&amp;BN54&amp;BO54=BN$5&amp;BM$5&amp;BO$5,BM54&amp;BN54&amp;BO54=BN$5&amp;BO$5&amp;BM$5,BM54&amp;BN54&amp;BO54=BO$5&amp;BM$5&amp;BN$5,BM54&amp;BN54&amp;BO54=BO$5&amp;BN$5&amp;BM$5),2,0),IF(AND(BM54=BM$5,BN$6&gt;=$D$129),1,0),IF(AND(BN54=BM$5,BN$6&gt;=$D$129),1,0),IF(AND(BO54=BM$5,BN$6&gt;=$D$129),1,0),IF(BM54&amp;BP54=BP$5,4,0),IF(AND(BM54=BM$5,BN$6&lt;=$D$104),-0.5,0),IF(AND(BN54=BM$5,BN$6&lt;=$D$104),-0.5,0),IF(AND(BO54=BM$5,BN$6&lt;=$D$104),-0.5,0))</f>
        <v/>
      </c>
      <c r="BR54" s="416" t="n"/>
      <c r="BS54" s="418" t="n"/>
      <c r="BT54" s="418" t="n"/>
      <c r="BU54" s="418" t="n"/>
      <c r="BV54" s="602">
        <f>SUM(IF(BR54=BR$5,4,0),IF(BR54&amp;BS54=BR$5&amp;BS$5,1,0),
IF(AND(BR54=BR$5,BS$6&gt;=$D$115),1,0),
IF(AND(BS54=BR$5,BS$6&gt;=$D$115),1,0),
IF(AND(BT54=BR$5,BS$6&gt;=$D$115),1,0),
IF(BR54&amp;BU54=BV$5,1,0),
IF(BS54=BR$5,2,0),
IF(BT54=BR$5,1,0),
IF(OR(BR54&amp;BS54&amp;BT54=BR$5&amp;BS$5&amp;BT$5,BR54&amp;BS54&amp;BT54=BR$5&amp;BT$5&amp;BS$5,BR54&amp;BS54&amp;BT54=BS$5&amp;BR$5&amp;BT$5,BR54&amp;BS54&amp;BT54=BS$5&amp;BT$5&amp;BR$5,BR54&amp;BS54&amp;BT54=BT$5&amp;BR$5&amp;BS$5,BR54&amp;BS54&amp;BT54=BT$5&amp;BS$5&amp;BR$5),2,0),IF(AND(BR54=BR$5,BS$6&gt;=$D$129),1,0),IF(AND(BS54=BR$5,BS$6&gt;=$D$129),1,0),IF(AND(BT54=BR$5,BS$6&gt;=$D$129),1,0),IF(BR54&amp;BU54=BU$5,4,0),IF(AND(BR54=BR$5,BS$6&lt;=$D$104),-0.5,0),IF(AND(BS54=BR$5,BS$6&lt;=$D$104),-0.5,0),IF(AND(BT54=BR$5,BS$6&lt;=$D$104),-0.5,0))</f>
        <v/>
      </c>
      <c r="BW54" s="416" t="n"/>
      <c r="BX54" s="418" t="n"/>
      <c r="BY54" s="418" t="n"/>
      <c r="BZ54" s="418" t="n"/>
      <c r="CA54" s="602">
        <f>SUM(IF(BW54=BW$5,4,0),IF(BW54&amp;BX54=BW$5&amp;BX$5,1,0),
IF(AND(BW54=BW$5,BX$6&gt;=$D$115),1,0),
IF(AND(BX54=BW$5,BX$6&gt;=$D$115),1,0),
IF(AND(BY54=BW$5,BX$6&gt;=$D$115),1,0),
IF(BW54&amp;BZ54=CA$5,1,0),
IF(BX54=BW$5,2,0),
IF(BY54=BW$5,1,0),
IF(OR(BW54&amp;BX54&amp;BY54=BW$5&amp;BX$5&amp;BY$5,BW54&amp;BX54&amp;BY54=BW$5&amp;BY$5&amp;BX$5,BW54&amp;BX54&amp;BY54=BX$5&amp;BW$5&amp;BY$5,BW54&amp;BX54&amp;BY54=BX$5&amp;BY$5&amp;BW$5,BW54&amp;BX54&amp;BY54=BY$5&amp;BW$5&amp;BX$5,BW54&amp;BX54&amp;BY54=BY$5&amp;BX$5&amp;BW$5),2,0),IF(AND(BW54=BW$5,BX$6&gt;=$D$129),1,0),IF(AND(BX54=BW$5,BX$6&gt;=$D$129),1,0),IF(AND(BY54=BW$5,BX$6&gt;=$D$129),1,0),IF(BW54&amp;BZ54=BZ$5,4,0),IF(AND(BW54=BW$5,BX$6&lt;=$D$104),-0.5,0),IF(AND(BX54=BW$5,BX$6&lt;=$D$104),-0.5,0),IF(AND(BY54=BW$5,BX$6&lt;=$D$104),-0.5,0))</f>
        <v/>
      </c>
      <c r="CB54" s="416" t="n"/>
      <c r="CC54" s="418" t="n"/>
      <c r="CD54" s="418" t="n"/>
      <c r="CE54" s="418" t="n"/>
      <c r="CF54" s="602">
        <f>SUM(IF(CB54=CB$5,4,0),IF(CB54&amp;CC54=CB$5&amp;CC$5,1,0),
IF(AND(CB54=CB$5,CC$6&gt;=$D$115),1,0),
IF(AND(CC54=CB$5,CC$6&gt;=$D$115),1,0),
IF(AND(CD54=CB$5,CC$6&gt;=$D$115),1,0),
IF(CB54&amp;CE54=CF$5,1,0),
IF(CC54=CB$5,2,0),
IF(CD54=CB$5,1,0),
IF(OR(CB54&amp;CC54&amp;CD54=CB$5&amp;CC$5&amp;CD$5,CB54&amp;CC54&amp;CD54=CB$5&amp;CD$5&amp;CC$5,CB54&amp;CC54&amp;CD54=CC$5&amp;CB$5&amp;CD$5,CB54&amp;CC54&amp;CD54=CC$5&amp;CD$5&amp;CB$5,CB54&amp;CC54&amp;CD54=CD$5&amp;CB$5&amp;CC$5,CB54&amp;CC54&amp;CD54=CD$5&amp;CC$5&amp;CB$5),2,0),IF(AND(CB54=CB$5,CC$6&gt;=$D$129),1,0),IF(AND(CC54=CB$5,CC$6&gt;=$D$129),1,0),IF(AND(CD54=CB$5,CC$6&gt;=$D$129),1,0),IF(CB54&amp;CE54=CE$5,4,0),IF(AND(CB54=CB$5,CC$6&lt;=$D$104),-0.5,0),IF(AND(CC54=CB$5,CC$6&lt;=$D$104),-0.5,0),IF(AND(CD54=CB$5,CC$6&lt;=$D$104),-0.5,0))</f>
        <v/>
      </c>
      <c r="CG54" s="164">
        <f>IF(SEMANA2[[#This Row],[1]]="",0,$B$4)</f>
        <v/>
      </c>
      <c r="CH54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4" s="189">
        <f>IF(SEMANA2[[#This Row],[Columna14]]=0,0,(CH54/CG54))</f>
        <v/>
      </c>
      <c r="CJ54" s="165">
        <f>IF(SEMANA2[[#This Row],[1]]="",0,$B$4)</f>
        <v/>
      </c>
      <c r="CK54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4" s="189">
        <f>IF(SEMANA2[[#This Row],[Columna14]]=0,0,(CK54/CJ54))</f>
        <v/>
      </c>
      <c r="CM54" s="164">
        <f>IF(SEMANA2[[#This Row],[1]]="",0,$B$4)</f>
        <v/>
      </c>
      <c r="CN54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4" s="189">
        <f>IF(SEMANA2[[#This Row],[Columna14]]=0,0,(CN54/CM54))</f>
        <v/>
      </c>
      <c r="CP54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4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Row],[Columna25]],$AX$5,BA54,"SF")+COUNTIFS(SEMANA2[[#This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4" s="189">
        <f>IFERROR(IF(SEMANA2[[#This Row],[Columna14]]=0,0,(CQ54/CP54)),0)</f>
        <v/>
      </c>
      <c r="CS54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4" s="95">
        <f>_xlfn.XLOOKUP(SEMANA2[[#This Row],[COD]],BASE01[COD],BASE01[Columna33])</f>
        <v/>
      </c>
      <c r="CU54" s="604">
        <f>SUM(CS54,CT54)</f>
        <v/>
      </c>
      <c r="CV54" s="450">
        <f>IF(SEMANA2[[#This Row],[TIPO]]="PREMIO",$O$3,"0,00")</f>
        <v/>
      </c>
      <c r="CW54" s="576" t="n"/>
      <c r="CY54" s="392">
        <f>IF(CZ54="","",$CZ$25)</f>
        <v/>
      </c>
      <c r="CZ54" s="392" t="n"/>
      <c r="DA54" s="392">
        <f t="array" ref="DA54">IF(CZ54="", "", IF((INDEX(E$8:CE$57, MATCH(CZ54, C$8:C$57, 0), ($CZ$25-1)*5 + 1) &amp; "") = (INDEX(E$5:CE$5, 1, ($CZ$25-1)*5 + 1) &amp; ""), 1, IF((INDEX(E$8:CE$57, MATCH(CZ54, C$8:C$57, 0), ($CZ$25-1)*5 + 2) &amp; "") = (INDEX(E$5:CE$5, 1, ($CZ$25-1)*5 + 1) &amp; ""), 2, IF((INDEX(E$8:CE$57, MATCH(CZ54, C$8:C$57, 0), ($CZ$25-1)*5 + 3) &amp; "") = (INDEX(E$5:CE$5, 1, ($CZ$25-1)*5 + 1) &amp; ""), 3, ""))))</f>
        <v/>
      </c>
      <c r="DB54" s="605">
        <f>SEMANA2[[#This Row],[COD]]</f>
        <v/>
      </c>
      <c r="DC54" s="395">
        <f t="array" ref="DC54">IFERROR(IF(AND(INDEX($E$8:$CE$57, MATCH($C54, $C$8:$C$57, 0), (COLUMNS($DC54:DC54)-1)*5 + 1) = INDEX($E$5:$CE$5, 1, (COLUMNS($DC54:DC54)-1)*5 + 1), INDEX($E$8:$CE$57, MATCH($C54, $C$8:$C$57, 0), (COLUMNS($DC54:DC54)-1)*5 + 4) = "F"), INDEX($CZ$8:$CZ$23, COLUMNS($DC54:DC54)), "0"), "")</f>
        <v/>
      </c>
      <c r="DD54" s="395">
        <f t="array" ref="DD54">IFERROR(IF(AND(INDEX($E$8:$CE$57, MATCH($C54, $C$8:$C$57, 0), (COLUMNS($DC54:DD54)-1)*5 + 1) = INDEX($E$5:$CE$5, 1, (COLUMNS($DC54:DD54)-1)*5 + 1), INDEX($E$8:$CE$57, MATCH($C54, $C$8:$C$57, 0), (COLUMNS($DC54:DD54)-1)*5 + 4) = "F"), INDEX($CZ$8:$CZ$23, COLUMNS($DC54:DD54)), "0"), "")</f>
        <v/>
      </c>
      <c r="DE54" s="395">
        <f t="array" ref="DE54">IFERROR(IF(AND(INDEX($E$8:$CE$57, MATCH($C54, $C$8:$C$57, 0), (COLUMNS($DC54:DE54)-1)*5 + 1) = INDEX($E$5:$CE$5, 1, (COLUMNS($DC54:DE54)-1)*5 + 1), INDEX($E$8:$CE$57, MATCH($C54, $C$8:$C$57, 0), (COLUMNS($DC54:DE54)-1)*5 + 4) = "F"), INDEX($CZ$8:$CZ$23, COLUMNS($DC54:DE54)), "0"), "")</f>
        <v/>
      </c>
      <c r="DF54" s="395">
        <f t="array" ref="DF54">IFERROR(IF(AND(INDEX($E$8:$CE$57, MATCH($C54, $C$8:$C$57, 0), (COLUMNS($DC54:DF54)-1)*5 + 1) = INDEX($E$5:$CE$5, 1, (COLUMNS($DC54:DF54)-1)*5 + 1), INDEX($E$8:$CE$57, MATCH($C54, $C$8:$C$57, 0), (COLUMNS($DC54:DF54)-1)*5 + 4) = "F"), INDEX($CZ$8:$CZ$23, COLUMNS($DC54:DF54)), "0"), "")</f>
        <v/>
      </c>
      <c r="DG54" s="395">
        <f t="array" ref="DG54">IFERROR(IF(AND(INDEX($E$8:$CE$57, MATCH($C54, $C$8:$C$57, 0), (COLUMNS($DC54:DG54)-1)*5 + 1) = INDEX($E$5:$CE$5, 1, (COLUMNS($DC54:DG54)-1)*5 + 1), INDEX($E$8:$CE$57, MATCH($C54, $C$8:$C$57, 0), (COLUMNS($DC54:DG54)-1)*5 + 4) = "F"), INDEX($CZ$8:$CZ$23, COLUMNS($DC54:DG54)), "0"), "")</f>
        <v/>
      </c>
      <c r="DH54" s="395">
        <f t="array" ref="DH54">IFERROR(IF(AND(INDEX($E$8:$CE$57, MATCH($C54, $C$8:$C$57, 0), (COLUMNS($DC54:DH54)-1)*5 + 1) = INDEX($E$5:$CE$5, 1, (COLUMNS($DC54:DH54)-1)*5 + 1), INDEX($E$8:$CE$57, MATCH($C54, $C$8:$C$57, 0), (COLUMNS($DC54:DH54)-1)*5 + 4) = "F"), INDEX($CZ$8:$CZ$23, COLUMNS($DC54:DH54)), "0"), "")</f>
        <v/>
      </c>
      <c r="DI54" s="395">
        <f t="array" ref="DI54">IFERROR(IF(AND(INDEX($E$8:$CE$57, MATCH($C54, $C$8:$C$57, 0), (COLUMNS($DC54:DI54)-1)*5 + 1) = INDEX($E$5:$CE$5, 1, (COLUMNS($DC54:DI54)-1)*5 + 1), INDEX($E$8:$CE$57, MATCH($C54, $C$8:$C$57, 0), (COLUMNS($DC54:DI54)-1)*5 + 4) = "F"), INDEX($CZ$8:$CZ$23, COLUMNS($DC54:DI54)), "0"), "")</f>
        <v/>
      </c>
      <c r="DJ54" s="395">
        <f t="array" ref="DJ54">IFERROR(IF(AND(INDEX($E$8:$CE$57, MATCH($C54, $C$8:$C$57, 0), (COLUMNS($DC54:DJ54)-1)*5 + 1) = INDEX($E$5:$CE$5, 1, (COLUMNS($DC54:DJ54)-1)*5 + 1), INDEX($E$8:$CE$57, MATCH($C54, $C$8:$C$57, 0), (COLUMNS($DC54:DJ54)-1)*5 + 4) = "F"), INDEX($CZ$8:$CZ$23, COLUMNS($DC54:DJ54)), "0"), "")</f>
        <v/>
      </c>
      <c r="DK54" s="395">
        <f t="array" ref="DK54">IFERROR(IF(AND(INDEX($E$8:$CE$57, MATCH($C54, $C$8:$C$57, 0), (COLUMNS($DC54:DK54)-1)*5 + 1) = INDEX($E$5:$CE$5, 1, (COLUMNS($DC54:DK54)-1)*5 + 1), INDEX($E$8:$CE$57, MATCH($C54, $C$8:$C$57, 0), (COLUMNS($DC54:DK54)-1)*5 + 4) = "F"), INDEX($CZ$8:$CZ$23, COLUMNS($DC54:DK54)), "0"), "")</f>
        <v/>
      </c>
      <c r="DL54" s="395">
        <f t="array" ref="DL54">IFERROR(IF(AND(INDEX($E$8:$CE$57, MATCH($C54, $C$8:$C$57, 0), (COLUMNS($DC54:DL54)-1)*5 + 1) = INDEX($E$5:$CE$5, 1, (COLUMNS($DC54:DL54)-1)*5 + 1), INDEX($E$8:$CE$57, MATCH($C54, $C$8:$C$57, 0), (COLUMNS($DC54:DL54)-1)*5 + 4) = "F"), INDEX($CZ$8:$CZ$23, COLUMNS($DC54:DL54)), "0"), "")</f>
        <v/>
      </c>
      <c r="DM54" s="395">
        <f t="array" ref="DM54">IFERROR(IF(AND(INDEX($E$8:$CE$57, MATCH($C54, $C$8:$C$57, 0), (COLUMNS($DC54:DM54)-1)*5 + 1) = INDEX($E$5:$CE$5, 1, (COLUMNS($DC54:DM54)-1)*5 + 1), INDEX($E$8:$CE$57, MATCH($C54, $C$8:$C$57, 0), (COLUMNS($DC54:DM54)-1)*5 + 4) = "F"), INDEX($CZ$8:$CZ$23, COLUMNS($DC54:DM54)), "0"), "")</f>
        <v/>
      </c>
      <c r="DN54" s="395">
        <f t="array" ref="DN54">IFERROR(IF(AND(INDEX($E$8:$CE$57, MATCH($C54, $C$8:$C$57, 0), (COLUMNS($DC54:DN54)-1)*5 + 1) = INDEX($E$5:$CE$5, 1, (COLUMNS($DC54:DN54)-1)*5 + 1), INDEX($E$8:$CE$57, MATCH($C54, $C$8:$C$57, 0), (COLUMNS($DC54:DN54)-1)*5 + 4) = "F"), INDEX($CZ$8:$CZ$23, COLUMNS($DC54:DN54)), "0"), "")</f>
        <v/>
      </c>
      <c r="DO54" s="395">
        <f t="array" ref="DO54">IFERROR(IF(AND(INDEX($E$8:$CE$57, MATCH($C54, $C$8:$C$57, 0), (COLUMNS($DC54:DO54)-1)*5 + 1) = INDEX($E$5:$CE$5, 1, (COLUMNS($DC54:DO54)-1)*5 + 1), INDEX($E$8:$CE$57, MATCH($C54, $C$8:$C$57, 0), (COLUMNS($DC54:DO54)-1)*5 + 4) = "F"), INDEX($CZ$8:$CZ$23, COLUMNS($DC54:DO54)), "0"), "")</f>
        <v/>
      </c>
      <c r="DP54" s="395">
        <f t="array" ref="DP54">IFERROR(IF(AND(INDEX($E$8:$CE$57, MATCH($C54, $C$8:$C$57, 0), (COLUMNS($DC54:DP54)-1)*5 + 1) = INDEX($E$5:$CE$5, 1, (COLUMNS($DC54:DP54)-1)*5 + 1), INDEX($E$8:$CE$57, MATCH($C54, $C$8:$C$57, 0), (COLUMNS($DC54:DP54)-1)*5 + 4) = "F"), INDEX($CZ$8:$CZ$23, COLUMNS($DC54:DP54)), "0"), "")</f>
        <v/>
      </c>
      <c r="DQ54" s="395">
        <f t="array" ref="DQ54">IFERROR(IF(AND(INDEX($E$8:$CE$57, MATCH($C54, $C$8:$C$57, 0), (COLUMNS($DC54:DQ54)-1)*5 + 1) = INDEX($E$5:$CE$5, 1, (COLUMNS($DC54:DQ54)-1)*5 + 1), INDEX($E$8:$CE$57, MATCH($C54, $C$8:$C$57, 0), (COLUMNS($DC54:DQ54)-1)*5 + 4) = "F"), INDEX($CZ$8:$CZ$23, COLUMNS($DC54:DQ54)), "0"), "")</f>
        <v/>
      </c>
      <c r="DR54" s="395">
        <f t="array" ref="DR54">IFERROR(IF(AND(INDEX($E$8:$CE$57, MATCH($C54, $C$8:$C$57, 0), (COLUMNS($DC54:DR54)-1)*5 + 1) = INDEX($E$5:$CE$5, 1, (COLUMNS($DC54:DR54)-1)*5 + 1), INDEX($E$8:$CE$57, MATCH($C54, $C$8:$C$57, 0), (COLUMNS($DC54:DR54)-1)*5 + 4) = "F"), INDEX($CZ$8:$CZ$23, COLUMNS($DC54:DR54)), "0"), "")</f>
        <v/>
      </c>
      <c r="DT54" s="605">
        <f>SEMANA2[[#This Row],[COD]]</f>
        <v/>
      </c>
      <c r="DU54" s="395">
        <f t="array" ref="DU54">IFERROR(IF(AND(INDEX($E$8:$CE$57, MATCH($C54, $C$8:$C$57, 0), (COLUMNS($DU54:DU54)-1)*5 + 1) = INDEX($E$5:$CE$5, 1, (COLUMNS($DU54:DU54)-1)*5 + 1), INDEX($E$8:$CE$57, MATCH($C54, $C$8:$C$57, 0), (COLUMNS($DU54:DU54)-1)*5 + 4) = "SF"), INDEX($CZ$8:$CZ$23, COLUMNS($DU54:DU54)), "0"), "")</f>
        <v/>
      </c>
      <c r="DV54" s="395">
        <f t="array" ref="DV54">IFERROR(IF(AND(INDEX($E$8:$CE$57, MATCH($C54, $C$8:$C$57, 0), (COLUMNS($DU54:DV54)-1)*5 + 1) = INDEX($E$5:$CE$5, 1, (COLUMNS($DU54:DV54)-1)*5 + 1), INDEX($E$8:$CE$57, MATCH($C54, $C$8:$C$57, 0), (COLUMNS($DU54:DV54)-1)*5 + 4) = "SF"), INDEX($CZ$8:$CZ$23, COLUMNS($DU54:DV54)), "0"), "")</f>
        <v/>
      </c>
      <c r="DW54" s="395">
        <f t="array" ref="DW54">IFERROR(IF(AND(INDEX($E$8:$CE$57, MATCH($C54, $C$8:$C$57, 0), (COLUMNS($DU54:DW54)-1)*5 + 1) = INDEX($E$5:$CE$5, 1, (COLUMNS($DU54:DW54)-1)*5 + 1), INDEX($E$8:$CE$57, MATCH($C54, $C$8:$C$57, 0), (COLUMNS($DU54:DW54)-1)*5 + 4) = "SF"), INDEX($CZ$8:$CZ$23, COLUMNS($DU54:DW54)), "0"), "")</f>
        <v/>
      </c>
      <c r="DX54" s="395">
        <f t="array" ref="DX54">IFERROR(IF(AND(INDEX($E$8:$CE$57, MATCH($C54, $C$8:$C$57, 0), (COLUMNS($DU54:DX54)-1)*5 + 1) = INDEX($E$5:$CE$5, 1, (COLUMNS($DU54:DX54)-1)*5 + 1), INDEX($E$8:$CE$57, MATCH($C54, $C$8:$C$57, 0), (COLUMNS($DU54:DX54)-1)*5 + 4) = "SF"), INDEX($CZ$8:$CZ$23, COLUMNS($DU54:DX54)), "0"), "")</f>
        <v/>
      </c>
      <c r="DY54" s="395">
        <f t="array" ref="DY54">IFERROR(IF(AND(INDEX($E$8:$CE$57, MATCH($C54, $C$8:$C$57, 0), (COLUMNS($DU54:DY54)-1)*5 + 1) = INDEX($E$5:$CE$5, 1, (COLUMNS($DU54:DY54)-1)*5 + 1), INDEX($E$8:$CE$57, MATCH($C54, $C$8:$C$57, 0), (COLUMNS($DU54:DY54)-1)*5 + 4) = "SF"), INDEX($CZ$8:$CZ$23, COLUMNS($DU54:DY54)), "0"), "")</f>
        <v/>
      </c>
      <c r="DZ54" s="395">
        <f t="array" ref="DZ54">IFERROR(IF(AND(INDEX($E$8:$CE$57, MATCH($C54, $C$8:$C$57, 0), (COLUMNS($DU54:DZ54)-1)*5 + 1) = INDEX($E$5:$CE$5, 1, (COLUMNS($DU54:DZ54)-1)*5 + 1), INDEX($E$8:$CE$57, MATCH($C54, $C$8:$C$57, 0), (COLUMNS($DU54:DZ54)-1)*5 + 4) = "SF"), INDEX($CZ$8:$CZ$23, COLUMNS($DU54:DZ54)), "0"), "")</f>
        <v/>
      </c>
      <c r="EA54" s="395">
        <f t="array" ref="EA54">IFERROR(IF(AND(INDEX($E$8:$CE$57, MATCH($C54, $C$8:$C$57, 0), (COLUMNS($DU54:EA54)-1)*5 + 1) = INDEX($E$5:$CE$5, 1, (COLUMNS($DU54:EA54)-1)*5 + 1), INDEX($E$8:$CE$57, MATCH($C54, $C$8:$C$57, 0), (COLUMNS($DU54:EA54)-1)*5 + 4) = "SF"), INDEX($CZ$8:$CZ$23, COLUMNS($DU54:EA54)), "0"), "")</f>
        <v/>
      </c>
      <c r="EB54" s="395">
        <f t="array" ref="EB54">IFERROR(IF(AND(INDEX($E$8:$CE$57, MATCH($C54, $C$8:$C$57, 0), (COLUMNS($DU54:EB54)-1)*5 + 1) = INDEX($E$5:$CE$5, 1, (COLUMNS($DU54:EB54)-1)*5 + 1), INDEX($E$8:$CE$57, MATCH($C54, $C$8:$C$57, 0), (COLUMNS($DU54:EB54)-1)*5 + 4) = "SF"), INDEX($CZ$8:$CZ$23, COLUMNS($DU54:EB54)), "0"), "")</f>
        <v/>
      </c>
      <c r="EC54" s="395">
        <f t="array" ref="EC54">IFERROR(IF(AND(INDEX($E$8:$CE$57, MATCH($C54, $C$8:$C$57, 0), (COLUMNS($DU54:EC54)-1)*5 + 1) = INDEX($E$5:$CE$5, 1, (COLUMNS($DU54:EC54)-1)*5 + 1), INDEX($E$8:$CE$57, MATCH($C54, $C$8:$C$57, 0), (COLUMNS($DU54:EC54)-1)*5 + 4) = "SF"), INDEX($CZ$8:$CZ$23, COLUMNS($DU54:EC54)), "0"), "")</f>
        <v/>
      </c>
      <c r="ED54" s="395">
        <f t="array" ref="ED54">IFERROR(IF(AND(INDEX($E$8:$CE$57, MATCH($C54, $C$8:$C$57, 0), (COLUMNS($DU54:ED54)-1)*5 + 1) = INDEX($E$5:$CE$5, 1, (COLUMNS($DU54:ED54)-1)*5 + 1), INDEX($E$8:$CE$57, MATCH($C54, $C$8:$C$57, 0), (COLUMNS($DU54:ED54)-1)*5 + 4) = "SF"), INDEX($CZ$8:$CZ$23, COLUMNS($DU54:ED54)), "0"), "")</f>
        <v/>
      </c>
      <c r="EE54" s="395">
        <f t="array" ref="EE54">IFERROR(IF(AND(INDEX($E$8:$CE$57, MATCH($C54, $C$8:$C$57, 0), (COLUMNS($DU54:EE54)-1)*5 + 1) = INDEX($E$5:$CE$5, 1, (COLUMNS($DU54:EE54)-1)*5 + 1), INDEX($E$8:$CE$57, MATCH($C54, $C$8:$C$57, 0), (COLUMNS($DU54:EE54)-1)*5 + 4) = "SF"), INDEX($CZ$8:$CZ$23, COLUMNS($DU54:EE54)), "0"), "")</f>
        <v/>
      </c>
      <c r="EF54" s="395">
        <f t="array" ref="EF54">IFERROR(IF(AND(INDEX($E$8:$CE$57, MATCH($C54, $C$8:$C$57, 0), (COLUMNS($DU54:EF54)-1)*5 + 1) = INDEX($E$5:$CE$5, 1, (COLUMNS($DU54:EF54)-1)*5 + 1), INDEX($E$8:$CE$57, MATCH($C54, $C$8:$C$57, 0), (COLUMNS($DU54:EF54)-1)*5 + 4) = "SF"), INDEX($CZ$8:$CZ$23, COLUMNS($DU54:EF54)), "0"), "")</f>
        <v/>
      </c>
      <c r="EG54" s="395">
        <f t="array" ref="EG54">IFERROR(IF(AND(INDEX($E$8:$CE$57, MATCH($C54, $C$8:$C$57, 0), (COLUMNS($DU54:EG54)-1)*5 + 1) = INDEX($E$5:$CE$5, 1, (COLUMNS($DU54:EG54)-1)*5 + 1), INDEX($E$8:$CE$57, MATCH($C54, $C$8:$C$57, 0), (COLUMNS($DU54:EG54)-1)*5 + 4) = "SF"), INDEX($CZ$8:$CZ$23, COLUMNS($DU54:EG54)), "0"), "")</f>
        <v/>
      </c>
      <c r="EH54" s="395">
        <f t="array" ref="EH54">IFERROR(IF(AND(INDEX($E$8:$CE$57, MATCH($C54, $C$8:$C$57, 0), (COLUMNS($DU54:EH54)-1)*5 + 1) = INDEX($E$5:$CE$5, 1, (COLUMNS($DU54:EH54)-1)*5 + 1), INDEX($E$8:$CE$57, MATCH($C54, $C$8:$C$57, 0), (COLUMNS($DU54:EH54)-1)*5 + 4) = "SF"), INDEX($CZ$8:$CZ$23, COLUMNS($DU54:EH54)), "0"), "")</f>
        <v/>
      </c>
      <c r="EI54" s="395">
        <f t="array" ref="EI54">IFERROR(IF(AND(INDEX($E$8:$CE$57, MATCH($C54, $C$8:$C$57, 0), (COLUMNS($DU54:EI54)-1)*5 + 1) = INDEX($E$5:$CE$5, 1, (COLUMNS($DU54:EI54)-1)*5 + 1), INDEX($E$8:$CE$57, MATCH($C54, $C$8:$C$57, 0), (COLUMNS($DU54:EI54)-1)*5 + 4) = "SF"), INDEX($CZ$8:$CZ$23, COLUMNS($DU54:EI54)), "0"), "")</f>
        <v/>
      </c>
      <c r="EJ54" s="395">
        <f t="array" ref="EJ54">IFERROR(IF(AND(INDEX($E$8:$CE$57, MATCH($C54, $C$8:$C$57, 0), (COLUMNS($DU54:EJ54)-1)*5 + 1) = INDEX($E$5:$CE$5, 1, (COLUMNS($DU54:EJ54)-1)*5 + 1), INDEX($E$8:$CE$57, MATCH($C54, $C$8:$C$57, 0), (COLUMNS($DU54:EJ54)-1)*5 + 4) = "SF"), INDEX($CZ$8:$CZ$23, COLUMNS($DU54:EJ54)), "0"), "")</f>
        <v/>
      </c>
    </row>
    <row r="55" outlineLevel="1" ht="20.1" customHeight="1" s="568">
      <c r="A55" s="576" t="n"/>
      <c r="B55" s="449">
        <f>IF(SEMANA2[[#This Row],[COD]]&lt;&gt;"",B54+1,"")</f>
        <v/>
      </c>
      <c r="C55" s="622" t="inlineStr">
        <is>
          <t>COD 48</t>
        </is>
      </c>
      <c r="D55" s="415">
        <f t="array" ref="D55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5" s="416" t="n"/>
      <c r="F55" s="418" t="n"/>
      <c r="G55" s="418" t="n"/>
      <c r="H55" s="418" t="n"/>
      <c r="I55" s="602">
        <f>SUM(IF(E55=E$5,4,0),IF(E55&amp;F55=E$5&amp;F$5,1,0),
IF(AND(E55=E$5,F$6&gt;=$D$115),1,0),
IF(AND(F55=E$5,F$6&gt;=$D$115),1,0),
IF(AND(G55=E$5,F$6&gt;=$D$115),1,0),
IF(E55&amp;H55=I$5,1,0),
IF(F55=E$5,2,0),
IF(G55=E$5,1,0),
IF(OR(E55&amp;F55&amp;G55=E$5&amp;F$5&amp;G$5,E55&amp;F55&amp;G55=E$5&amp;G$5&amp;F$5,E55&amp;F55&amp;G55=F$5&amp;E$5&amp;G$5,E55&amp;F55&amp;G55=F$5&amp;G$5&amp;E$5,E55&amp;F55&amp;G55=G$5&amp;E$5&amp;F$5,E55&amp;F55&amp;G55=G$5&amp;F$5&amp;E$5),2,0),IF(AND(E55=E$5,F$6&gt;=$D$129),1,0),IF(AND(F55=E$5,F$6&gt;=$D$129),1,0),IF(AND(G55=E$5,F$6&gt;=$D$129),1,0),IF(E55&amp;H55=H$5,4,0),IF(AND(E55=E$5,F$6&lt;=$D$104),-0.5,0),IF(AND(F55=E$5,F$6&lt;=$D$104),-0.5,0),IF(AND(G55=E$5,F$6&lt;=$D$104),-0.5,0))</f>
        <v/>
      </c>
      <c r="J55" s="416" t="n"/>
      <c r="K55" s="418" t="n"/>
      <c r="L55" s="418" t="n"/>
      <c r="M55" s="418" t="n"/>
      <c r="N55" s="602">
        <f>SUM(IF(J55=J$5,4,0),IF(J55&amp;K55=J$5&amp;K$5,1,0),
IF(AND(J55=J$5,K$6&gt;=$D$115),1,0),
IF(AND(K55=J$5,K$6&gt;=$D$115),1,0),
IF(AND(L55=J$5,K$6&gt;=$D$115),1,0),
IF(J55&amp;M55=N$5,1,0),
IF(K55=J$5,2,0),
IF(L55=J$5,1,0),
IF(OR(J55&amp;K55&amp;L55=J$5&amp;K$5&amp;L$5,J55&amp;K55&amp;L55=J$5&amp;L$5&amp;K$5,J55&amp;K55&amp;L55=K$5&amp;J$5&amp;L$5,J55&amp;K55&amp;L55=K$5&amp;L$5&amp;J$5,J55&amp;K55&amp;L55=L$5&amp;J$5&amp;K$5,J55&amp;K55&amp;L55=L$5&amp;K$5&amp;J$5),2,0),IF(AND(J55=J$5,K$6&gt;=$D$129),1,0),IF(AND(K55=J$5,K$6&gt;=$D$129),1,0),IF(AND(L55=J$5,K$6&gt;=$D$129),1,0),IF(J55&amp;M55=M$5,4,0),IF(AND(J55=J$5,K$6&lt;=$D$104),-0.5,0),IF(AND(K55=J$5,K$6&lt;=$D$104),-0.5,0),IF(AND(L55=J$5,K$6&lt;=$D$104),-0.5,0))</f>
        <v/>
      </c>
      <c r="O55" s="416" t="n"/>
      <c r="P55" s="418" t="n"/>
      <c r="Q55" s="418" t="n"/>
      <c r="R55" s="418" t="n"/>
      <c r="S55" s="602">
        <f>SUM(IF(O55=O$5,4,0),IF(O55&amp;P55=O$5&amp;P$5,1,0),
IF(AND(O55=O$5,P$6&gt;=$D$115),1,0),
IF(AND(P55=O$5,P$6&gt;=$D$115),1,0),
IF(AND(Q55=O$5,P$6&gt;=$D$115),1,0),
IF(O55&amp;R55=S$5,1,0),
IF(P55=O$5,2,0),
IF(Q55=O$5,1,0),
IF(OR(O55&amp;P55&amp;Q55=O$5&amp;P$5&amp;Q$5,O55&amp;P55&amp;Q55=O$5&amp;Q$5&amp;P$5,O55&amp;P55&amp;Q55=P$5&amp;O$5&amp;Q$5,O55&amp;P55&amp;Q55=P$5&amp;Q$5&amp;O$5,O55&amp;P55&amp;Q55=Q$5&amp;O$5&amp;P$5,O55&amp;P55&amp;Q55=Q$5&amp;P$5&amp;O$5),2,0),IF(AND(O55=O$5,P$6&gt;=$D$129),1,0),IF(AND(P55=O$5,P$6&gt;=$D$129),1,0),IF(AND(Q55=O$5,P$6&gt;=$D$129),1,0),IF(O55&amp;R55=R$5,4,0),IF(AND(O55=O$5,P$6&lt;=$D$104),-0.5,0),IF(AND(P55=O$5,P$6&lt;=$D$104),-0.5,0),IF(AND(Q55=O$5,P$6&lt;=$D$104),-0.5,0))</f>
        <v/>
      </c>
      <c r="T55" s="416" t="n"/>
      <c r="U55" s="418" t="n"/>
      <c r="V55" s="418" t="n"/>
      <c r="W55" s="418" t="n"/>
      <c r="X55" s="602">
        <f>SUM(IF(T55=T$5,4,0),IF(T55&amp;U55=T$5&amp;U$5,1,0),
IF(AND(T55=T$5,U$6&gt;=$D$115),1,0),
IF(AND(U55=T$5,U$6&gt;=$D$115),1,0),
IF(AND(V55=T$5,U$6&gt;=$D$115),1,0),
IF(T55&amp;W55=X$5,1,0),
IF(U55=T$5,2,0),
IF(V55=T$5,1,0),
IF(OR(T55&amp;U55&amp;V55=T$5&amp;U$5&amp;V$5,T55&amp;U55&amp;V55=T$5&amp;V$5&amp;U$5,T55&amp;U55&amp;V55=U$5&amp;T$5&amp;V$5,T55&amp;U55&amp;V55=U$5&amp;V$5&amp;T$5,T55&amp;U55&amp;V55=V$5&amp;T$5&amp;U$5,T55&amp;U55&amp;V55=V$5&amp;U$5&amp;T$5),2,0),IF(AND(T55=T$5,U$6&gt;=$D$129),1,0),IF(AND(U55=T$5,U$6&gt;=$D$129),1,0),IF(AND(V55=T$5,U$6&gt;=$D$129),1,0),IF(T55&amp;W55=W$5,4,0),IF(AND(T55=T$5,U$6&lt;=$D$104),-0.5,0),IF(AND(U55=T$5,U$6&lt;=$D$104),-0.5,0),IF(AND(V55=T$5,U$6&lt;=$D$104),-0.5,0))</f>
        <v/>
      </c>
      <c r="Y55" s="416" t="n"/>
      <c r="Z55" s="418" t="n"/>
      <c r="AA55" s="418" t="n"/>
      <c r="AB55" s="418" t="n"/>
      <c r="AC55" s="602">
        <f>SUM(IF(Y55=Y$5,4,0),IF(Y55&amp;Z55=Y$5&amp;Z$5,1,0),
IF(AND(Y55=Y$5,Z$6&gt;=$D$115),1,0),
IF(AND(Z55=Y$5,Z$6&gt;=$D$115),1,0),
IF(AND(AA55=Y$5,Z$6&gt;=$D$115),1,0),
IF(Y55&amp;AB55=AC$5,1,0),
IF(Z55=Y$5,2,0),
IF(AA55=Y$5,1,0),
IF(OR(Y55&amp;Z55&amp;AA55=Y$5&amp;Z$5&amp;AA$5,Y55&amp;Z55&amp;AA55=Y$5&amp;AA$5&amp;Z$5,Y55&amp;Z55&amp;AA55=Z$5&amp;Y$5&amp;AA$5,Y55&amp;Z55&amp;AA55=Z$5&amp;AA$5&amp;Y$5,Y55&amp;Z55&amp;AA55=AA$5&amp;Y$5&amp;Z$5,Y55&amp;Z55&amp;AA55=AA$5&amp;Z$5&amp;Y$5),2,0),IF(AND(Y55=Y$5,Z$6&gt;=$D$129),1,0),IF(AND(Z55=Y$5,Z$6&gt;=$D$129),1,0),IF(AND(AA55=Y$5,Z$6&gt;=$D$129),1,0),IF(Y55&amp;AB55=AB$5,4,0),IF(AND(Y55=Y$5,Z$6&lt;=$D$104),-0.5,0),IF(AND(Z55=Y$5,Z$6&lt;=$D$104),-0.5,0),IF(AND(AA55=Y$5,Z$6&lt;=$D$104),-0.5,0))</f>
        <v/>
      </c>
      <c r="AD55" s="416" t="n"/>
      <c r="AE55" s="418" t="n"/>
      <c r="AF55" s="418" t="n"/>
      <c r="AG55" s="418" t="n"/>
      <c r="AH55" s="602">
        <f>SUM(IF(AD55=AD$5,4,0),IF(AD55&amp;AE55=AD$5&amp;AE$5,1,0),
IF(AND(AD55=AD$5,AE$6&gt;=$D$115),1,0),
IF(AND(AE55=AD$5,AE$6&gt;=$D$115),1,0),
IF(AND(AF55=AD$5,AE$6&gt;=$D$115),1,0),
IF(AD55&amp;AG55=AH$5,1,0),
IF(AE55=AD$5,2,0),
IF(AF55=AD$5,1,0),
IF(OR(AD55&amp;AE55&amp;AF55=AD$5&amp;AE$5&amp;AF$5,AD55&amp;AE55&amp;AF55=AD$5&amp;AF$5&amp;AE$5,AD55&amp;AE55&amp;AF55=AE$5&amp;AD$5&amp;AF$5,AD55&amp;AE55&amp;AF55=AE$5&amp;AF$5&amp;AD$5,AD55&amp;AE55&amp;AF55=AF$5&amp;AD$5&amp;AE$5,AD55&amp;AE55&amp;AF55=AF$5&amp;AE$5&amp;AD$5),2,0),IF(AND(AD55=AD$5,AE$6&gt;=$D$129),1,0),IF(AND(AE55=AD$5,AE$6&gt;=$D$129),1,0),IF(AND(AF55=AD$5,AE$6&gt;=$D$129),1,0),IF(AD55&amp;AG55=AG$5,4,0),IF(AND(AD55=AD$5,AE$6&lt;=$D$104),-0.5,0),IF(AND(AE55=AD$5,AE$6&lt;=$D$104),-0.5,0),IF(AND(AF55=AD$5,AE$6&lt;=$D$104),-0.5,0))</f>
        <v/>
      </c>
      <c r="AI55" s="416" t="n"/>
      <c r="AJ55" s="418" t="n"/>
      <c r="AK55" s="418" t="n"/>
      <c r="AL55" s="418" t="n"/>
      <c r="AM55" s="602">
        <f>SUM(IF(AI55=AI$5,4,0),IF(AI55&amp;AJ55=AI$5&amp;AJ$5,1,0),
IF(AND(AI55=AI$5,AJ$6&gt;=$D$115),1,0),
IF(AND(AJ55=AI$5,AJ$6&gt;=$D$115),1,0),
IF(AND(AK55=AI$5,AJ$6&gt;=$D$115),1,0),
IF(AI55&amp;AL55=AM$5,1,0),
IF(AJ55=AI$5,2,0),
IF(AK55=AI$5,1,0),
IF(OR(AI55&amp;AJ55&amp;AK55=AI$5&amp;AJ$5&amp;AK$5,AI55&amp;AJ55&amp;AK55=AI$5&amp;AK$5&amp;AJ$5,AI55&amp;AJ55&amp;AK55=AJ$5&amp;AI$5&amp;AK$5,AI55&amp;AJ55&amp;AK55=AJ$5&amp;AK$5&amp;AI$5,AI55&amp;AJ55&amp;AK55=AK$5&amp;AI$5&amp;AJ$5,AI55&amp;AJ55&amp;AK55=AK$5&amp;AJ$5&amp;AI$5),2,0),IF(AND(AI55=AI$5,AJ$6&gt;=$D$129),1,0),IF(AND(AJ55=AI$5,AJ$6&gt;=$D$129),1,0),IF(AND(AK55=AI$5,AJ$6&gt;=$D$129),1,0),IF(AI55&amp;AL55=AL$5,4,0),IF(AND(AI55=AI$5,AJ$6&lt;=$D$104),-0.5,0),IF(AND(AJ55=AI$5,AJ$6&lt;=$D$104),-0.5,0),IF(AND(AK55=AI$5,AJ$6&lt;=$D$104),-0.5,0))</f>
        <v/>
      </c>
      <c r="AN55" s="416" t="n"/>
      <c r="AO55" s="418" t="n"/>
      <c r="AP55" s="418" t="n"/>
      <c r="AQ55" s="418" t="n"/>
      <c r="AR55" s="602">
        <f>SUM(IF(AN55=AN$5,4,0),IF(AN55&amp;AO55=AN$5&amp;AO$5,1,0),
IF(AND(AN55=AN$5,AO$6&gt;=$D$115),1,0),
IF(AND(AO55=AN$5,AO$6&gt;=$D$115),1,0),
IF(AND(AP55=AN$5,AO$6&gt;=$D$115),1,0),
IF(AN55&amp;AQ55=AR$5,1,0),
IF(AO55=AN$5,2,0),
IF(AP55=AN$5,1,0),
IF(OR(AN55&amp;AO55&amp;AP55=AN$5&amp;AO$5&amp;AP$5,AN55&amp;AO55&amp;AP55=AN$5&amp;AP$5&amp;AO$5,AN55&amp;AO55&amp;AP55=AO$5&amp;AN$5&amp;AP$5,AN55&amp;AO55&amp;AP55=AO$5&amp;AP$5&amp;AN$5,AN55&amp;AO55&amp;AP55=AP$5&amp;AN$5&amp;AO$5,AN55&amp;AO55&amp;AP55=AP$5&amp;AO$5&amp;AN$5),2,0),IF(AND(AN55=AN$5,AO$6&gt;=$D$129),1,0),IF(AND(AO55=AN$5,AO$6&gt;=$D$129),1,0),IF(AND(AP55=AN$5,AO$6&gt;=$D$129),1,0),IF(AN55&amp;AQ55=AQ$5,4,0),IF(AND(AN55=AN$5,AO$6&lt;=$D$104),-0.5,0),IF(AND(AO55=AN$5,AO$6&lt;=$D$104),-0.5,0),IF(AND(AP55=AN$5,AO$6&lt;=$D$104),-0.5,0))</f>
        <v/>
      </c>
      <c r="AS55" s="416" t="n"/>
      <c r="AT55" s="418" t="n"/>
      <c r="AU55" s="418" t="n"/>
      <c r="AV55" s="418" t="n"/>
      <c r="AW55" s="602">
        <f>SUM(IF(AS55=AS$5,4,0),IF(AS55&amp;AT55=AS$5&amp;AT$5,1,0),
IF(AND(AS55=AS$5,AT$6&gt;=$D$115),1,0),
IF(AND(AT55=AS$5,AT$6&gt;=$D$115),1,0),
IF(AND(AU55=AS$5,AT$6&gt;=$D$115),1,0),
IF(AS55&amp;AV55=AW$5,1,0),
IF(AT55=AS$5,2,0),
IF(AU55=AS$5,1,0),
IF(OR(AS55&amp;AT55&amp;AU55=AS$5&amp;AT$5&amp;AU$5,AS55&amp;AT55&amp;AU55=AS$5&amp;AU$5&amp;AT$5,AS55&amp;AT55&amp;AU55=AT$5&amp;AS$5&amp;AU$5,AS55&amp;AT55&amp;AU55=AT$5&amp;AU$5&amp;AS$5,AS55&amp;AT55&amp;AU55=AU$5&amp;AS$5&amp;AT$5,AS55&amp;AT55&amp;AU55=AU$5&amp;AT$5&amp;AS$5),2,0),IF(AND(AS55=AS$5,AT$6&gt;=$D$129),1,0),IF(AND(AT55=AS$5,AT$6&gt;=$D$129),1,0),IF(AND(AU55=AS$5,AT$6&gt;=$D$129),1,0),IF(AS55&amp;AV55=AV$5,4,0),IF(AND(AS55=AS$5,AT$6&lt;=$D$104),-0.5,0),IF(AND(AT55=AS$5,AT$6&lt;=$D$104),-0.5,0),IF(AND(AU55=AS$5,AT$6&lt;=$D$104),-0.5,0))</f>
        <v/>
      </c>
      <c r="AX55" s="416" t="n"/>
      <c r="AY55" s="418" t="n"/>
      <c r="AZ55" s="418" t="n"/>
      <c r="BA55" s="418" t="n"/>
      <c r="BB55" s="602">
        <f>SUM(IF(AX55=AX$5,4,0),IF(AX55&amp;AY55=AX$5&amp;AY$5,1,0),
IF(AND(AX55=AX$5,AY$6&gt;=$D$115),1,0),
IF(AND(AY55=AX$5,AY$6&gt;=$D$115),1,0),
IF(AND(AZ55=AX$5,AY$6&gt;=$D$115),1,0),
IF(AX55&amp;BA55=BB$5,1,0),
IF(AY55=AX$5,2,0),
IF(AZ55=AX$5,1,0),
IF(OR(AX55&amp;AY55&amp;AZ55=AX$5&amp;AY$5&amp;AZ$5,AX55&amp;AY55&amp;AZ55=AX$5&amp;AZ$5&amp;AY$5,AX55&amp;AY55&amp;AZ55=AY$5&amp;AX$5&amp;AZ$5,AX55&amp;AY55&amp;AZ55=AY$5&amp;AZ$5&amp;AX$5,AX55&amp;AY55&amp;AZ55=AZ$5&amp;AX$5&amp;AY$5,AX55&amp;AY55&amp;AZ55=AZ$5&amp;AY$5&amp;AX$5),2,0),IF(AND(AX55=AX$5,AY$6&gt;=$D$129),1,0),IF(AND(AY55=AX$5,AY$6&gt;=$D$129),1,0),IF(AND(AZ55=AX$5,AY$6&gt;=$D$129),1,0),IF(AX55&amp;BA55=BA$5,4,0),IF(AND(AX55=AX$5,AY$6&lt;=$D$104),-0.5,0),IF(AND(AY55=AX$5,AY$6&lt;=$D$104),-0.5,0),IF(AND(AZ55=AX$5,AY$6&lt;=$D$104),-0.5,0))</f>
        <v/>
      </c>
      <c r="BC55" s="416" t="n"/>
      <c r="BD55" s="418" t="n"/>
      <c r="BE55" s="418" t="n"/>
      <c r="BF55" s="418" t="n"/>
      <c r="BG55" s="602">
        <f>SUM(IF(BC55=BC$5,4,0),IF(BC55&amp;BD55=BC$5&amp;BD$5,1,0),
IF(AND(BC55=BC$5,BD$6&gt;=$D$115),1,0),
IF(AND(BD55=BC$5,BD$6&gt;=$D$115),1,0),
IF(AND(BE55=BC$5,BD$6&gt;=$D$115),1,0),
IF(BC55&amp;BF55=BG$5,1,0),
IF(BD55=BC$5,2,0),
IF(BE55=BC$5,1,0),
IF(OR(BC55&amp;BD55&amp;BE55=BC$5&amp;BD$5&amp;BE$5,BC55&amp;BD55&amp;BE55=BC$5&amp;BE$5&amp;BD$5,BC55&amp;BD55&amp;BE55=BD$5&amp;BC$5&amp;BE$5,BC55&amp;BD55&amp;BE55=BD$5&amp;BE$5&amp;BC$5,BC55&amp;BD55&amp;BE55=BE$5&amp;BC$5&amp;BD$5,BC55&amp;BD55&amp;BE55=BE$5&amp;BD$5&amp;BC$5),2,0),IF(AND(BC55=BC$5,BD$6&gt;=$D$129),1,0),IF(AND(BD55=BC$5,BD$6&gt;=$D$129),1,0),IF(AND(BE55=BC$5,BD$6&gt;=$D$129),1,0),IF(BC55&amp;BF55=BF$5,4,0),IF(AND(BC55=BC$5,BD$6&lt;=$D$104),-0.5,0),IF(AND(BD55=BC$5,BD$6&lt;=$D$104),-0.5,0),IF(AND(BE55=BC$5,BD$6&lt;=$D$104),-0.5,0))</f>
        <v/>
      </c>
      <c r="BH55" s="416" t="n"/>
      <c r="BI55" s="418" t="n"/>
      <c r="BJ55" s="418" t="n"/>
      <c r="BK55" s="418" t="n"/>
      <c r="BL55" s="602">
        <f>SUM(IF(BH55=BH$5,4,0),IF(BH55&amp;BI55=BH$5&amp;BI$5,1,0),
IF(AND(BH55=BH$5,BI$6&gt;=$D$115),1,0),
IF(AND(BI55=BH$5,BI$6&gt;=$D$115),1,0),
IF(AND(BJ55=BH$5,BI$6&gt;=$D$115),1,0),
IF(BH55&amp;BK55=BL$5,1,0),
IF(BI55=BH$5,2,0),
IF(BJ55=BH$5,1,0),
IF(OR(BH55&amp;BI55&amp;BJ55=BH$5&amp;BI$5&amp;BJ$5,BH55&amp;BI55&amp;BJ55=BH$5&amp;BJ$5&amp;BI$5,BH55&amp;BI55&amp;BJ55=BI$5&amp;BH$5&amp;BJ$5,BH55&amp;BI55&amp;BJ55=BI$5&amp;BJ$5&amp;BH$5,BH55&amp;BI55&amp;BJ55=BJ$5&amp;BH$5&amp;BI$5,BH55&amp;BI55&amp;BJ55=BJ$5&amp;BI$5&amp;BH$5),2,0),IF(AND(BH55=BH$5,BI$6&gt;=$D$129),1,0),IF(AND(BI55=BH$5,BI$6&gt;=$D$129),1,0),IF(AND(BJ55=BH$5,BI$6&gt;=$D$129),1,0),IF(BH55&amp;BK55=BK$5,4,0),IF(AND(BH55=BH$5,BI$6&lt;=$D$104),-0.5,0),IF(AND(BI55=BH$5,BI$6&lt;=$D$104),-0.5,0),IF(AND(BJ55=BH$5,BI$6&lt;=$D$104),-0.5,0))</f>
        <v/>
      </c>
      <c r="BM55" s="416" t="n"/>
      <c r="BN55" s="418" t="n"/>
      <c r="BO55" s="418" t="n"/>
      <c r="BP55" s="418" t="n"/>
      <c r="BQ55" s="602">
        <f>SUM(IF(BM55=BM$5,4,0),IF(BM55&amp;BN55=BM$5&amp;BN$5,1,0),
IF(AND(BM55=BM$5,BN$6&gt;=$D$115),1,0),
IF(AND(BN55=BM$5,BN$6&gt;=$D$115),1,0),
IF(AND(BO55=BM$5,BN$6&gt;=$D$115),1,0),
IF(BM55&amp;BP55=BQ$5,1,0),
IF(BN55=BM$5,2,0),
IF(BO55=BM$5,1,0),
IF(OR(BM55&amp;BN55&amp;BO55=BM$5&amp;BN$5&amp;BO$5,BM55&amp;BN55&amp;BO55=BM$5&amp;BO$5&amp;BN$5,BM55&amp;BN55&amp;BO55=BN$5&amp;BM$5&amp;BO$5,BM55&amp;BN55&amp;BO55=BN$5&amp;BO$5&amp;BM$5,BM55&amp;BN55&amp;BO55=BO$5&amp;BM$5&amp;BN$5,BM55&amp;BN55&amp;BO55=BO$5&amp;BN$5&amp;BM$5),2,0),IF(AND(BM55=BM$5,BN$6&gt;=$D$129),1,0),IF(AND(BN55=BM$5,BN$6&gt;=$D$129),1,0),IF(AND(BO55=BM$5,BN$6&gt;=$D$129),1,0),IF(BM55&amp;BP55=BP$5,4,0),IF(AND(BM55=BM$5,BN$6&lt;=$D$104),-0.5,0),IF(AND(BN55=BM$5,BN$6&lt;=$D$104),-0.5,0),IF(AND(BO55=BM$5,BN$6&lt;=$D$104),-0.5,0))</f>
        <v/>
      </c>
      <c r="BR55" s="416" t="n"/>
      <c r="BS55" s="418" t="n"/>
      <c r="BT55" s="418" t="n"/>
      <c r="BU55" s="418" t="n"/>
      <c r="BV55" s="602">
        <f>SUM(IF(BR55=BR$5,4,0),IF(BR55&amp;BS55=BR$5&amp;BS$5,1,0),
IF(AND(BR55=BR$5,BS$6&gt;=$D$115),1,0),
IF(AND(BS55=BR$5,BS$6&gt;=$D$115),1,0),
IF(AND(BT55=BR$5,BS$6&gt;=$D$115),1,0),
IF(BR55&amp;BU55=BV$5,1,0),
IF(BS55=BR$5,2,0),
IF(BT55=BR$5,1,0),
IF(OR(BR55&amp;BS55&amp;BT55=BR$5&amp;BS$5&amp;BT$5,BR55&amp;BS55&amp;BT55=BR$5&amp;BT$5&amp;BS$5,BR55&amp;BS55&amp;BT55=BS$5&amp;BR$5&amp;BT$5,BR55&amp;BS55&amp;BT55=BS$5&amp;BT$5&amp;BR$5,BR55&amp;BS55&amp;BT55=BT$5&amp;BR$5&amp;BS$5,BR55&amp;BS55&amp;BT55=BT$5&amp;BS$5&amp;BR$5),2,0),IF(AND(BR55=BR$5,BS$6&gt;=$D$129),1,0),IF(AND(BS55=BR$5,BS$6&gt;=$D$129),1,0),IF(AND(BT55=BR$5,BS$6&gt;=$D$129),1,0),IF(BR55&amp;BU55=BU$5,4,0),IF(AND(BR55=BR$5,BS$6&lt;=$D$104),-0.5,0),IF(AND(BS55=BR$5,BS$6&lt;=$D$104),-0.5,0),IF(AND(BT55=BR$5,BS$6&lt;=$D$104),-0.5,0))</f>
        <v/>
      </c>
      <c r="BW55" s="416" t="n"/>
      <c r="BX55" s="418" t="n"/>
      <c r="BY55" s="418" t="n"/>
      <c r="BZ55" s="418" t="n"/>
      <c r="CA55" s="602">
        <f>SUM(IF(BW55=BW$5,4,0),IF(BW55&amp;BX55=BW$5&amp;BX$5,1,0),
IF(AND(BW55=BW$5,BX$6&gt;=$D$115),1,0),
IF(AND(BX55=BW$5,BX$6&gt;=$D$115),1,0),
IF(AND(BY55=BW$5,BX$6&gt;=$D$115),1,0),
IF(BW55&amp;BZ55=CA$5,1,0),
IF(BX55=BW$5,2,0),
IF(BY55=BW$5,1,0),
IF(OR(BW55&amp;BX55&amp;BY55=BW$5&amp;BX$5&amp;BY$5,BW55&amp;BX55&amp;BY55=BW$5&amp;BY$5&amp;BX$5,BW55&amp;BX55&amp;BY55=BX$5&amp;BW$5&amp;BY$5,BW55&amp;BX55&amp;BY55=BX$5&amp;BY$5&amp;BW$5,BW55&amp;BX55&amp;BY55=BY$5&amp;BW$5&amp;BX$5,BW55&amp;BX55&amp;BY55=BY$5&amp;BX$5&amp;BW$5),2,0),IF(AND(BW55=BW$5,BX$6&gt;=$D$129),1,0),IF(AND(BX55=BW$5,BX$6&gt;=$D$129),1,0),IF(AND(BY55=BW$5,BX$6&gt;=$D$129),1,0),IF(BW55&amp;BZ55=BZ$5,4,0),IF(AND(BW55=BW$5,BX$6&lt;=$D$104),-0.5,0),IF(AND(BX55=BW$5,BX$6&lt;=$D$104),-0.5,0),IF(AND(BY55=BW$5,BX$6&lt;=$D$104),-0.5,0))</f>
        <v/>
      </c>
      <c r="CB55" s="416" t="n"/>
      <c r="CC55" s="418" t="n"/>
      <c r="CD55" s="418" t="n"/>
      <c r="CE55" s="418" t="n"/>
      <c r="CF55" s="602">
        <f>SUM(IF(CB55=CB$5,4,0),IF(CB55&amp;CC55=CB$5&amp;CC$5,1,0),
IF(AND(CB55=CB$5,CC$6&gt;=$D$115),1,0),
IF(AND(CC55=CB$5,CC$6&gt;=$D$115),1,0),
IF(AND(CD55=CB$5,CC$6&gt;=$D$115),1,0),
IF(CB55&amp;CE55=CF$5,1,0),
IF(CC55=CB$5,2,0),
IF(CD55=CB$5,1,0),
IF(OR(CB55&amp;CC55&amp;CD55=CB$5&amp;CC$5&amp;CD$5,CB55&amp;CC55&amp;CD55=CB$5&amp;CD$5&amp;CC$5,CB55&amp;CC55&amp;CD55=CC$5&amp;CB$5&amp;CD$5,CB55&amp;CC55&amp;CD55=CC$5&amp;CD$5&amp;CB$5,CB55&amp;CC55&amp;CD55=CD$5&amp;CB$5&amp;CC$5,CB55&amp;CC55&amp;CD55=CD$5&amp;CC$5&amp;CB$5),2,0),IF(AND(CB55=CB$5,CC$6&gt;=$D$129),1,0),IF(AND(CC55=CB$5,CC$6&gt;=$D$129),1,0),IF(AND(CD55=CB$5,CC$6&gt;=$D$129),1,0),IF(CB55&amp;CE55=CE$5,4,0),IF(AND(CB55=CB$5,CC$6&lt;=$D$104),-0.5,0),IF(AND(CC55=CB$5,CC$6&lt;=$D$104),-0.5,0),IF(AND(CD55=CB$5,CC$6&lt;=$D$104),-0.5,0))</f>
        <v/>
      </c>
      <c r="CG55" s="164">
        <f>IF(SEMANA2[[#This Row],[1]]="",0,$B$4)</f>
        <v/>
      </c>
      <c r="CH55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5" s="189">
        <f>IF(SEMANA2[[#This Row],[Columna14]]=0,0,(CH55/CG55))</f>
        <v/>
      </c>
      <c r="CJ55" s="165">
        <f>IF(SEMANA2[[#This Row],[1]]="",0,$B$4)</f>
        <v/>
      </c>
      <c r="CK55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5" s="189">
        <f>IF(SEMANA2[[#This Row],[Columna14]]=0,0,(CK55/CJ55))</f>
        <v/>
      </c>
      <c r="CM55" s="164">
        <f>IF(SEMANA2[[#This Row],[1]]="",0,$B$4)</f>
        <v/>
      </c>
      <c r="CN55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5" s="189">
        <f>IF(SEMANA2[[#This Row],[Columna14]]=0,0,(CN55/CM55))</f>
        <v/>
      </c>
      <c r="CP55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5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Row],[Columna25]],$AX$5,BA55,"SF")+COUNTIFS(SEMANA2[[#This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5" s="189">
        <f>IFERROR(IF(SEMANA2[[#This Row],[Columna14]]=0,0,(CQ55/CP55)),0)</f>
        <v/>
      </c>
      <c r="CS55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5" s="95">
        <f>_xlfn.XLOOKUP(SEMANA2[[#This Row],[COD]],BASE01[COD],BASE01[Columna33])</f>
        <v/>
      </c>
      <c r="CU55" s="604">
        <f>SUM(CS55,CT55)</f>
        <v/>
      </c>
      <c r="CV55" s="450">
        <f>IF(SEMANA2[[#This Row],[TIPO]]="PREMIO",$O$3,"0,00")</f>
        <v/>
      </c>
      <c r="CW55" s="576" t="n"/>
      <c r="CY55" s="392">
        <f>IF(CZ55="","",$CZ$25)</f>
        <v/>
      </c>
      <c r="CZ55" s="392" t="n"/>
      <c r="DA55" s="392">
        <f t="array" ref="DA55">IF(CZ55="", "", IF((INDEX(E$8:CE$57, MATCH(CZ55, C$8:C$57, 0), ($CZ$25-1)*5 + 1) &amp; "") = (INDEX(E$5:CE$5, 1, ($CZ$25-1)*5 + 1) &amp; ""), 1, IF((INDEX(E$8:CE$57, MATCH(CZ55, C$8:C$57, 0), ($CZ$25-1)*5 + 2) &amp; "") = (INDEX(E$5:CE$5, 1, ($CZ$25-1)*5 + 1) &amp; ""), 2, IF((INDEX(E$8:CE$57, MATCH(CZ55, C$8:C$57, 0), ($CZ$25-1)*5 + 3) &amp; "") = (INDEX(E$5:CE$5, 1, ($CZ$25-1)*5 + 1) &amp; ""), 3, ""))))</f>
        <v/>
      </c>
      <c r="DB55" s="605">
        <f>SEMANA2[[#This Row],[COD]]</f>
        <v/>
      </c>
      <c r="DC55" s="395">
        <f t="array" ref="DC55">IFERROR(IF(AND(INDEX($E$8:$CE$57, MATCH($C55, $C$8:$C$57, 0), (COLUMNS($DC55:DC55)-1)*5 + 1) = INDEX($E$5:$CE$5, 1, (COLUMNS($DC55:DC55)-1)*5 + 1), INDEX($E$8:$CE$57, MATCH($C55, $C$8:$C$57, 0), (COLUMNS($DC55:DC55)-1)*5 + 4) = "F"), INDEX($CZ$8:$CZ$23, COLUMNS($DC55:DC55)), "0"), "")</f>
        <v/>
      </c>
      <c r="DD55" s="395">
        <f t="array" ref="DD55">IFERROR(IF(AND(INDEX($E$8:$CE$57, MATCH($C55, $C$8:$C$57, 0), (COLUMNS($DC55:DD55)-1)*5 + 1) = INDEX($E$5:$CE$5, 1, (COLUMNS($DC55:DD55)-1)*5 + 1), INDEX($E$8:$CE$57, MATCH($C55, $C$8:$C$57, 0), (COLUMNS($DC55:DD55)-1)*5 + 4) = "F"), INDEX($CZ$8:$CZ$23, COLUMNS($DC55:DD55)), "0"), "")</f>
        <v/>
      </c>
      <c r="DE55" s="395">
        <f t="array" ref="DE55">IFERROR(IF(AND(INDEX($E$8:$CE$57, MATCH($C55, $C$8:$C$57, 0), (COLUMNS($DC55:DE55)-1)*5 + 1) = INDEX($E$5:$CE$5, 1, (COLUMNS($DC55:DE55)-1)*5 + 1), INDEX($E$8:$CE$57, MATCH($C55, $C$8:$C$57, 0), (COLUMNS($DC55:DE55)-1)*5 + 4) = "F"), INDEX($CZ$8:$CZ$23, COLUMNS($DC55:DE55)), "0"), "")</f>
        <v/>
      </c>
      <c r="DF55" s="395">
        <f t="array" ref="DF55">IFERROR(IF(AND(INDEX($E$8:$CE$57, MATCH($C55, $C$8:$C$57, 0), (COLUMNS($DC55:DF55)-1)*5 + 1) = INDEX($E$5:$CE$5, 1, (COLUMNS($DC55:DF55)-1)*5 + 1), INDEX($E$8:$CE$57, MATCH($C55, $C$8:$C$57, 0), (COLUMNS($DC55:DF55)-1)*5 + 4) = "F"), INDEX($CZ$8:$CZ$23, COLUMNS($DC55:DF55)), "0"), "")</f>
        <v/>
      </c>
      <c r="DG55" s="395">
        <f t="array" ref="DG55">IFERROR(IF(AND(INDEX($E$8:$CE$57, MATCH($C55, $C$8:$C$57, 0), (COLUMNS($DC55:DG55)-1)*5 + 1) = INDEX($E$5:$CE$5, 1, (COLUMNS($DC55:DG55)-1)*5 + 1), INDEX($E$8:$CE$57, MATCH($C55, $C$8:$C$57, 0), (COLUMNS($DC55:DG55)-1)*5 + 4) = "F"), INDEX($CZ$8:$CZ$23, COLUMNS($DC55:DG55)), "0"), "")</f>
        <v/>
      </c>
      <c r="DH55" s="395">
        <f t="array" ref="DH55">IFERROR(IF(AND(INDEX($E$8:$CE$57, MATCH($C55, $C$8:$C$57, 0), (COLUMNS($DC55:DH55)-1)*5 + 1) = INDEX($E$5:$CE$5, 1, (COLUMNS($DC55:DH55)-1)*5 + 1), INDEX($E$8:$CE$57, MATCH($C55, $C$8:$C$57, 0), (COLUMNS($DC55:DH55)-1)*5 + 4) = "F"), INDEX($CZ$8:$CZ$23, COLUMNS($DC55:DH55)), "0"), "")</f>
        <v/>
      </c>
      <c r="DI55" s="395">
        <f t="array" ref="DI55">IFERROR(IF(AND(INDEX($E$8:$CE$57, MATCH($C55, $C$8:$C$57, 0), (COLUMNS($DC55:DI55)-1)*5 + 1) = INDEX($E$5:$CE$5, 1, (COLUMNS($DC55:DI55)-1)*5 + 1), INDEX($E$8:$CE$57, MATCH($C55, $C$8:$C$57, 0), (COLUMNS($DC55:DI55)-1)*5 + 4) = "F"), INDEX($CZ$8:$CZ$23, COLUMNS($DC55:DI55)), "0"), "")</f>
        <v/>
      </c>
      <c r="DJ55" s="395">
        <f t="array" ref="DJ55">IFERROR(IF(AND(INDEX($E$8:$CE$57, MATCH($C55, $C$8:$C$57, 0), (COLUMNS($DC55:DJ55)-1)*5 + 1) = INDEX($E$5:$CE$5, 1, (COLUMNS($DC55:DJ55)-1)*5 + 1), INDEX($E$8:$CE$57, MATCH($C55, $C$8:$C$57, 0), (COLUMNS($DC55:DJ55)-1)*5 + 4) = "F"), INDEX($CZ$8:$CZ$23, COLUMNS($DC55:DJ55)), "0"), "")</f>
        <v/>
      </c>
      <c r="DK55" s="395">
        <f t="array" ref="DK55">IFERROR(IF(AND(INDEX($E$8:$CE$57, MATCH($C55, $C$8:$C$57, 0), (COLUMNS($DC55:DK55)-1)*5 + 1) = INDEX($E$5:$CE$5, 1, (COLUMNS($DC55:DK55)-1)*5 + 1), INDEX($E$8:$CE$57, MATCH($C55, $C$8:$C$57, 0), (COLUMNS($DC55:DK55)-1)*5 + 4) = "F"), INDEX($CZ$8:$CZ$23, COLUMNS($DC55:DK55)), "0"), "")</f>
        <v/>
      </c>
      <c r="DL55" s="395">
        <f t="array" ref="DL55">IFERROR(IF(AND(INDEX($E$8:$CE$57, MATCH($C55, $C$8:$C$57, 0), (COLUMNS($DC55:DL55)-1)*5 + 1) = INDEX($E$5:$CE$5, 1, (COLUMNS($DC55:DL55)-1)*5 + 1), INDEX($E$8:$CE$57, MATCH($C55, $C$8:$C$57, 0), (COLUMNS($DC55:DL55)-1)*5 + 4) = "F"), INDEX($CZ$8:$CZ$23, COLUMNS($DC55:DL55)), "0"), "")</f>
        <v/>
      </c>
      <c r="DM55" s="395">
        <f t="array" ref="DM55">IFERROR(IF(AND(INDEX($E$8:$CE$57, MATCH($C55, $C$8:$C$57, 0), (COLUMNS($DC55:DM55)-1)*5 + 1) = INDEX($E$5:$CE$5, 1, (COLUMNS($DC55:DM55)-1)*5 + 1), INDEX($E$8:$CE$57, MATCH($C55, $C$8:$C$57, 0), (COLUMNS($DC55:DM55)-1)*5 + 4) = "F"), INDEX($CZ$8:$CZ$23, COLUMNS($DC55:DM55)), "0"), "")</f>
        <v/>
      </c>
      <c r="DN55" s="395">
        <f t="array" ref="DN55">IFERROR(IF(AND(INDEX($E$8:$CE$57, MATCH($C55, $C$8:$C$57, 0), (COLUMNS($DC55:DN55)-1)*5 + 1) = INDEX($E$5:$CE$5, 1, (COLUMNS($DC55:DN55)-1)*5 + 1), INDEX($E$8:$CE$57, MATCH($C55, $C$8:$C$57, 0), (COLUMNS($DC55:DN55)-1)*5 + 4) = "F"), INDEX($CZ$8:$CZ$23, COLUMNS($DC55:DN55)), "0"), "")</f>
        <v/>
      </c>
      <c r="DO55" s="395">
        <f t="array" ref="DO55">IFERROR(IF(AND(INDEX($E$8:$CE$57, MATCH($C55, $C$8:$C$57, 0), (COLUMNS($DC55:DO55)-1)*5 + 1) = INDEX($E$5:$CE$5, 1, (COLUMNS($DC55:DO55)-1)*5 + 1), INDEX($E$8:$CE$57, MATCH($C55, $C$8:$C$57, 0), (COLUMNS($DC55:DO55)-1)*5 + 4) = "F"), INDEX($CZ$8:$CZ$23, COLUMNS($DC55:DO55)), "0"), "")</f>
        <v/>
      </c>
      <c r="DP55" s="395">
        <f t="array" ref="DP55">IFERROR(IF(AND(INDEX($E$8:$CE$57, MATCH($C55, $C$8:$C$57, 0), (COLUMNS($DC55:DP55)-1)*5 + 1) = INDEX($E$5:$CE$5, 1, (COLUMNS($DC55:DP55)-1)*5 + 1), INDEX($E$8:$CE$57, MATCH($C55, $C$8:$C$57, 0), (COLUMNS($DC55:DP55)-1)*5 + 4) = "F"), INDEX($CZ$8:$CZ$23, COLUMNS($DC55:DP55)), "0"), "")</f>
        <v/>
      </c>
      <c r="DQ55" s="395">
        <f t="array" ref="DQ55">IFERROR(IF(AND(INDEX($E$8:$CE$57, MATCH($C55, $C$8:$C$57, 0), (COLUMNS($DC55:DQ55)-1)*5 + 1) = INDEX($E$5:$CE$5, 1, (COLUMNS($DC55:DQ55)-1)*5 + 1), INDEX($E$8:$CE$57, MATCH($C55, $C$8:$C$57, 0), (COLUMNS($DC55:DQ55)-1)*5 + 4) = "F"), INDEX($CZ$8:$CZ$23, COLUMNS($DC55:DQ55)), "0"), "")</f>
        <v/>
      </c>
      <c r="DR55" s="395">
        <f t="array" ref="DR55">IFERROR(IF(AND(INDEX($E$8:$CE$57, MATCH($C55, $C$8:$C$57, 0), (COLUMNS($DC55:DR55)-1)*5 + 1) = INDEX($E$5:$CE$5, 1, (COLUMNS($DC55:DR55)-1)*5 + 1), INDEX($E$8:$CE$57, MATCH($C55, $C$8:$C$57, 0), (COLUMNS($DC55:DR55)-1)*5 + 4) = "F"), INDEX($CZ$8:$CZ$23, COLUMNS($DC55:DR55)), "0"), "")</f>
        <v/>
      </c>
      <c r="DT55" s="605">
        <f>SEMANA2[[#This Row],[COD]]</f>
        <v/>
      </c>
      <c r="DU55" s="395">
        <f t="array" ref="DU55">IFERROR(IF(AND(INDEX($E$8:$CE$57, MATCH($C55, $C$8:$C$57, 0), (COLUMNS($DU55:DU55)-1)*5 + 1) = INDEX($E$5:$CE$5, 1, (COLUMNS($DU55:DU55)-1)*5 + 1), INDEX($E$8:$CE$57, MATCH($C55, $C$8:$C$57, 0), (COLUMNS($DU55:DU55)-1)*5 + 4) = "SF"), INDEX($CZ$8:$CZ$23, COLUMNS($DU55:DU55)), "0"), "")</f>
        <v/>
      </c>
      <c r="DV55" s="395">
        <f t="array" ref="DV55">IFERROR(IF(AND(INDEX($E$8:$CE$57, MATCH($C55, $C$8:$C$57, 0), (COLUMNS($DU55:DV55)-1)*5 + 1) = INDEX($E$5:$CE$5, 1, (COLUMNS($DU55:DV55)-1)*5 + 1), INDEX($E$8:$CE$57, MATCH($C55, $C$8:$C$57, 0), (COLUMNS($DU55:DV55)-1)*5 + 4) = "SF"), INDEX($CZ$8:$CZ$23, COLUMNS($DU55:DV55)), "0"), "")</f>
        <v/>
      </c>
      <c r="DW55" s="395">
        <f t="array" ref="DW55">IFERROR(IF(AND(INDEX($E$8:$CE$57, MATCH($C55, $C$8:$C$57, 0), (COLUMNS($DU55:DW55)-1)*5 + 1) = INDEX($E$5:$CE$5, 1, (COLUMNS($DU55:DW55)-1)*5 + 1), INDEX($E$8:$CE$57, MATCH($C55, $C$8:$C$57, 0), (COLUMNS($DU55:DW55)-1)*5 + 4) = "SF"), INDEX($CZ$8:$CZ$23, COLUMNS($DU55:DW55)), "0"), "")</f>
        <v/>
      </c>
      <c r="DX55" s="395">
        <f t="array" ref="DX55">IFERROR(IF(AND(INDEX($E$8:$CE$57, MATCH($C55, $C$8:$C$57, 0), (COLUMNS($DU55:DX55)-1)*5 + 1) = INDEX($E$5:$CE$5, 1, (COLUMNS($DU55:DX55)-1)*5 + 1), INDEX($E$8:$CE$57, MATCH($C55, $C$8:$C$57, 0), (COLUMNS($DU55:DX55)-1)*5 + 4) = "SF"), INDEX($CZ$8:$CZ$23, COLUMNS($DU55:DX55)), "0"), "")</f>
        <v/>
      </c>
      <c r="DY55" s="395">
        <f t="array" ref="DY55">IFERROR(IF(AND(INDEX($E$8:$CE$57, MATCH($C55, $C$8:$C$57, 0), (COLUMNS($DU55:DY55)-1)*5 + 1) = INDEX($E$5:$CE$5, 1, (COLUMNS($DU55:DY55)-1)*5 + 1), INDEX($E$8:$CE$57, MATCH($C55, $C$8:$C$57, 0), (COLUMNS($DU55:DY55)-1)*5 + 4) = "SF"), INDEX($CZ$8:$CZ$23, COLUMNS($DU55:DY55)), "0"), "")</f>
        <v/>
      </c>
      <c r="DZ55" s="395">
        <f t="array" ref="DZ55">IFERROR(IF(AND(INDEX($E$8:$CE$57, MATCH($C55, $C$8:$C$57, 0), (COLUMNS($DU55:DZ55)-1)*5 + 1) = INDEX($E$5:$CE$5, 1, (COLUMNS($DU55:DZ55)-1)*5 + 1), INDEX($E$8:$CE$57, MATCH($C55, $C$8:$C$57, 0), (COLUMNS($DU55:DZ55)-1)*5 + 4) = "SF"), INDEX($CZ$8:$CZ$23, COLUMNS($DU55:DZ55)), "0"), "")</f>
        <v/>
      </c>
      <c r="EA55" s="395">
        <f t="array" ref="EA55">IFERROR(IF(AND(INDEX($E$8:$CE$57, MATCH($C55, $C$8:$C$57, 0), (COLUMNS($DU55:EA55)-1)*5 + 1) = INDEX($E$5:$CE$5, 1, (COLUMNS($DU55:EA55)-1)*5 + 1), INDEX($E$8:$CE$57, MATCH($C55, $C$8:$C$57, 0), (COLUMNS($DU55:EA55)-1)*5 + 4) = "SF"), INDEX($CZ$8:$CZ$23, COLUMNS($DU55:EA55)), "0"), "")</f>
        <v/>
      </c>
      <c r="EB55" s="395">
        <f t="array" ref="EB55">IFERROR(IF(AND(INDEX($E$8:$CE$57, MATCH($C55, $C$8:$C$57, 0), (COLUMNS($DU55:EB55)-1)*5 + 1) = INDEX($E$5:$CE$5, 1, (COLUMNS($DU55:EB55)-1)*5 + 1), INDEX($E$8:$CE$57, MATCH($C55, $C$8:$C$57, 0), (COLUMNS($DU55:EB55)-1)*5 + 4) = "SF"), INDEX($CZ$8:$CZ$23, COLUMNS($DU55:EB55)), "0"), "")</f>
        <v/>
      </c>
      <c r="EC55" s="395">
        <f t="array" ref="EC55">IFERROR(IF(AND(INDEX($E$8:$CE$57, MATCH($C55, $C$8:$C$57, 0), (COLUMNS($DU55:EC55)-1)*5 + 1) = INDEX($E$5:$CE$5, 1, (COLUMNS($DU55:EC55)-1)*5 + 1), INDEX($E$8:$CE$57, MATCH($C55, $C$8:$C$57, 0), (COLUMNS($DU55:EC55)-1)*5 + 4) = "SF"), INDEX($CZ$8:$CZ$23, COLUMNS($DU55:EC55)), "0"), "")</f>
        <v/>
      </c>
      <c r="ED55" s="395">
        <f t="array" ref="ED55">IFERROR(IF(AND(INDEX($E$8:$CE$57, MATCH($C55, $C$8:$C$57, 0), (COLUMNS($DU55:ED55)-1)*5 + 1) = INDEX($E$5:$CE$5, 1, (COLUMNS($DU55:ED55)-1)*5 + 1), INDEX($E$8:$CE$57, MATCH($C55, $C$8:$C$57, 0), (COLUMNS($DU55:ED55)-1)*5 + 4) = "SF"), INDEX($CZ$8:$CZ$23, COLUMNS($DU55:ED55)), "0"), "")</f>
        <v/>
      </c>
      <c r="EE55" s="395">
        <f t="array" ref="EE55">IFERROR(IF(AND(INDEX($E$8:$CE$57, MATCH($C55, $C$8:$C$57, 0), (COLUMNS($DU55:EE55)-1)*5 + 1) = INDEX($E$5:$CE$5, 1, (COLUMNS($DU55:EE55)-1)*5 + 1), INDEX($E$8:$CE$57, MATCH($C55, $C$8:$C$57, 0), (COLUMNS($DU55:EE55)-1)*5 + 4) = "SF"), INDEX($CZ$8:$CZ$23, COLUMNS($DU55:EE55)), "0"), "")</f>
        <v/>
      </c>
      <c r="EF55" s="395">
        <f t="array" ref="EF55">IFERROR(IF(AND(INDEX($E$8:$CE$57, MATCH($C55, $C$8:$C$57, 0), (COLUMNS($DU55:EF55)-1)*5 + 1) = INDEX($E$5:$CE$5, 1, (COLUMNS($DU55:EF55)-1)*5 + 1), INDEX($E$8:$CE$57, MATCH($C55, $C$8:$C$57, 0), (COLUMNS($DU55:EF55)-1)*5 + 4) = "SF"), INDEX($CZ$8:$CZ$23, COLUMNS($DU55:EF55)), "0"), "")</f>
        <v/>
      </c>
      <c r="EG55" s="395">
        <f t="array" ref="EG55">IFERROR(IF(AND(INDEX($E$8:$CE$57, MATCH($C55, $C$8:$C$57, 0), (COLUMNS($DU55:EG55)-1)*5 + 1) = INDEX($E$5:$CE$5, 1, (COLUMNS($DU55:EG55)-1)*5 + 1), INDEX($E$8:$CE$57, MATCH($C55, $C$8:$C$57, 0), (COLUMNS($DU55:EG55)-1)*5 + 4) = "SF"), INDEX($CZ$8:$CZ$23, COLUMNS($DU55:EG55)), "0"), "")</f>
        <v/>
      </c>
      <c r="EH55" s="395">
        <f t="array" ref="EH55">IFERROR(IF(AND(INDEX($E$8:$CE$57, MATCH($C55, $C$8:$C$57, 0), (COLUMNS($DU55:EH55)-1)*5 + 1) = INDEX($E$5:$CE$5, 1, (COLUMNS($DU55:EH55)-1)*5 + 1), INDEX($E$8:$CE$57, MATCH($C55, $C$8:$C$57, 0), (COLUMNS($DU55:EH55)-1)*5 + 4) = "SF"), INDEX($CZ$8:$CZ$23, COLUMNS($DU55:EH55)), "0"), "")</f>
        <v/>
      </c>
      <c r="EI55" s="395">
        <f t="array" ref="EI55">IFERROR(IF(AND(INDEX($E$8:$CE$57, MATCH($C55, $C$8:$C$57, 0), (COLUMNS($DU55:EI55)-1)*5 + 1) = INDEX($E$5:$CE$5, 1, (COLUMNS($DU55:EI55)-1)*5 + 1), INDEX($E$8:$CE$57, MATCH($C55, $C$8:$C$57, 0), (COLUMNS($DU55:EI55)-1)*5 + 4) = "SF"), INDEX($CZ$8:$CZ$23, COLUMNS($DU55:EI55)), "0"), "")</f>
        <v/>
      </c>
      <c r="EJ55" s="395">
        <f t="array" ref="EJ55">IFERROR(IF(AND(INDEX($E$8:$CE$57, MATCH($C55, $C$8:$C$57, 0), (COLUMNS($DU55:EJ55)-1)*5 + 1) = INDEX($E$5:$CE$5, 1, (COLUMNS($DU55:EJ55)-1)*5 + 1), INDEX($E$8:$CE$57, MATCH($C55, $C$8:$C$57, 0), (COLUMNS($DU55:EJ55)-1)*5 + 4) = "SF"), INDEX($CZ$8:$CZ$23, COLUMNS($DU55:EJ55)), "0"), "")</f>
        <v/>
      </c>
    </row>
    <row r="56" outlineLevel="1" ht="20.1" customHeight="1" s="568">
      <c r="A56" s="576" t="n"/>
      <c r="B56" s="449">
        <f>IF(SEMANA2[[#This Row],[COD]]&lt;&gt;"",B55+1,"")</f>
        <v/>
      </c>
      <c r="C56" s="622" t="inlineStr">
        <is>
          <t>COD 49</t>
        </is>
      </c>
      <c r="D56" s="415">
        <f t="array" ref="D56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6" s="416" t="n"/>
      <c r="F56" s="418" t="n"/>
      <c r="G56" s="418" t="n"/>
      <c r="H56" s="418" t="n"/>
      <c r="I56" s="602">
        <f>SUM(IF(E56=E$5,4,0),IF(E56&amp;F56=E$5&amp;F$5,1,0),
IF(AND(E56=E$5,F$6&gt;=$D$115),1,0),
IF(AND(F56=E$5,F$6&gt;=$D$115),1,0),
IF(AND(G56=E$5,F$6&gt;=$D$115),1,0),
IF(E56&amp;H56=I$5,1,0),
IF(F56=E$5,2,0),
IF(G56=E$5,1,0),
IF(OR(E56&amp;F56&amp;G56=E$5&amp;F$5&amp;G$5,E56&amp;F56&amp;G56=E$5&amp;G$5&amp;F$5,E56&amp;F56&amp;G56=F$5&amp;E$5&amp;G$5,E56&amp;F56&amp;G56=F$5&amp;G$5&amp;E$5,E56&amp;F56&amp;G56=G$5&amp;E$5&amp;F$5,E56&amp;F56&amp;G56=G$5&amp;F$5&amp;E$5),2,0),IF(AND(E56=E$5,F$6&gt;=$D$129),1,0),IF(AND(F56=E$5,F$6&gt;=$D$129),1,0),IF(AND(G56=E$5,F$6&gt;=$D$129),1,0),IF(E56&amp;H56=H$5,4,0),IF(AND(E56=E$5,F$6&lt;=$D$104),-0.5,0),IF(AND(F56=E$5,F$6&lt;=$D$104),-0.5,0),IF(AND(G56=E$5,F$6&lt;=$D$104),-0.5,0))</f>
        <v/>
      </c>
      <c r="J56" s="416" t="n"/>
      <c r="K56" s="418" t="n"/>
      <c r="L56" s="418" t="n"/>
      <c r="M56" s="418" t="n"/>
      <c r="N56" s="602">
        <f>SUM(IF(J56=J$5,4,0),IF(J56&amp;K56=J$5&amp;K$5,1,0),
IF(AND(J56=J$5,K$6&gt;=$D$115),1,0),
IF(AND(K56=J$5,K$6&gt;=$D$115),1,0),
IF(AND(L56=J$5,K$6&gt;=$D$115),1,0),
IF(J56&amp;M56=N$5,1,0),
IF(K56=J$5,2,0),
IF(L56=J$5,1,0),
IF(OR(J56&amp;K56&amp;L56=J$5&amp;K$5&amp;L$5,J56&amp;K56&amp;L56=J$5&amp;L$5&amp;K$5,J56&amp;K56&amp;L56=K$5&amp;J$5&amp;L$5,J56&amp;K56&amp;L56=K$5&amp;L$5&amp;J$5,J56&amp;K56&amp;L56=L$5&amp;J$5&amp;K$5,J56&amp;K56&amp;L56=L$5&amp;K$5&amp;J$5),2,0),IF(AND(J56=J$5,K$6&gt;=$D$129),1,0),IF(AND(K56=J$5,K$6&gt;=$D$129),1,0),IF(AND(L56=J$5,K$6&gt;=$D$129),1,0),IF(J56&amp;M56=M$5,4,0),IF(AND(J56=J$5,K$6&lt;=$D$104),-0.5,0),IF(AND(K56=J$5,K$6&lt;=$D$104),-0.5,0),IF(AND(L56=J$5,K$6&lt;=$D$104),-0.5,0))</f>
        <v/>
      </c>
      <c r="O56" s="416" t="n"/>
      <c r="P56" s="418" t="n"/>
      <c r="Q56" s="418" t="n"/>
      <c r="R56" s="418" t="n"/>
      <c r="S56" s="602">
        <f>SUM(IF(O56=O$5,4,0),IF(O56&amp;P56=O$5&amp;P$5,1,0),
IF(AND(O56=O$5,P$6&gt;=$D$115),1,0),
IF(AND(P56=O$5,P$6&gt;=$D$115),1,0),
IF(AND(Q56=O$5,P$6&gt;=$D$115),1,0),
IF(O56&amp;R56=S$5,1,0),
IF(P56=O$5,2,0),
IF(Q56=O$5,1,0),
IF(OR(O56&amp;P56&amp;Q56=O$5&amp;P$5&amp;Q$5,O56&amp;P56&amp;Q56=O$5&amp;Q$5&amp;P$5,O56&amp;P56&amp;Q56=P$5&amp;O$5&amp;Q$5,O56&amp;P56&amp;Q56=P$5&amp;Q$5&amp;O$5,O56&amp;P56&amp;Q56=Q$5&amp;O$5&amp;P$5,O56&amp;P56&amp;Q56=Q$5&amp;P$5&amp;O$5),2,0),IF(AND(O56=O$5,P$6&gt;=$D$129),1,0),IF(AND(P56=O$5,P$6&gt;=$D$129),1,0),IF(AND(Q56=O$5,P$6&gt;=$D$129),1,0),IF(O56&amp;R56=R$5,4,0),IF(AND(O56=O$5,P$6&lt;=$D$104),-0.5,0),IF(AND(P56=O$5,P$6&lt;=$D$104),-0.5,0),IF(AND(Q56=O$5,P$6&lt;=$D$104),-0.5,0))</f>
        <v/>
      </c>
      <c r="T56" s="416" t="n"/>
      <c r="U56" s="418" t="n"/>
      <c r="V56" s="418" t="n"/>
      <c r="W56" s="418" t="n"/>
      <c r="X56" s="602">
        <f>SUM(IF(T56=T$5,4,0),IF(T56&amp;U56=T$5&amp;U$5,1,0),
IF(AND(T56=T$5,U$6&gt;=$D$115),1,0),
IF(AND(U56=T$5,U$6&gt;=$D$115),1,0),
IF(AND(V56=T$5,U$6&gt;=$D$115),1,0),
IF(T56&amp;W56=X$5,1,0),
IF(U56=T$5,2,0),
IF(V56=T$5,1,0),
IF(OR(T56&amp;U56&amp;V56=T$5&amp;U$5&amp;V$5,T56&amp;U56&amp;V56=T$5&amp;V$5&amp;U$5,T56&amp;U56&amp;V56=U$5&amp;T$5&amp;V$5,T56&amp;U56&amp;V56=U$5&amp;V$5&amp;T$5,T56&amp;U56&amp;V56=V$5&amp;T$5&amp;U$5,T56&amp;U56&amp;V56=V$5&amp;U$5&amp;T$5),2,0),IF(AND(T56=T$5,U$6&gt;=$D$129),1,0),IF(AND(U56=T$5,U$6&gt;=$D$129),1,0),IF(AND(V56=T$5,U$6&gt;=$D$129),1,0),IF(T56&amp;W56=W$5,4,0),IF(AND(T56=T$5,U$6&lt;=$D$104),-0.5,0),IF(AND(U56=T$5,U$6&lt;=$D$104),-0.5,0),IF(AND(V56=T$5,U$6&lt;=$D$104),-0.5,0))</f>
        <v/>
      </c>
      <c r="Y56" s="416" t="n"/>
      <c r="Z56" s="418" t="n"/>
      <c r="AA56" s="418" t="n"/>
      <c r="AB56" s="418" t="n"/>
      <c r="AC56" s="602">
        <f>SUM(IF(Y56=Y$5,4,0),IF(Y56&amp;Z56=Y$5&amp;Z$5,1,0),
IF(AND(Y56=Y$5,Z$6&gt;=$D$115),1,0),
IF(AND(Z56=Y$5,Z$6&gt;=$D$115),1,0),
IF(AND(AA56=Y$5,Z$6&gt;=$D$115),1,0),
IF(Y56&amp;AB56=AC$5,1,0),
IF(Z56=Y$5,2,0),
IF(AA56=Y$5,1,0),
IF(OR(Y56&amp;Z56&amp;AA56=Y$5&amp;Z$5&amp;AA$5,Y56&amp;Z56&amp;AA56=Y$5&amp;AA$5&amp;Z$5,Y56&amp;Z56&amp;AA56=Z$5&amp;Y$5&amp;AA$5,Y56&amp;Z56&amp;AA56=Z$5&amp;AA$5&amp;Y$5,Y56&amp;Z56&amp;AA56=AA$5&amp;Y$5&amp;Z$5,Y56&amp;Z56&amp;AA56=AA$5&amp;Z$5&amp;Y$5),2,0),IF(AND(Y56=Y$5,Z$6&gt;=$D$129),1,0),IF(AND(Z56=Y$5,Z$6&gt;=$D$129),1,0),IF(AND(AA56=Y$5,Z$6&gt;=$D$129),1,0),IF(Y56&amp;AB56=AB$5,4,0),IF(AND(Y56=Y$5,Z$6&lt;=$D$104),-0.5,0),IF(AND(Z56=Y$5,Z$6&lt;=$D$104),-0.5,0),IF(AND(AA56=Y$5,Z$6&lt;=$D$104),-0.5,0))</f>
        <v/>
      </c>
      <c r="AD56" s="416" t="n"/>
      <c r="AE56" s="418" t="n"/>
      <c r="AF56" s="418" t="n"/>
      <c r="AG56" s="418" t="n"/>
      <c r="AH56" s="602">
        <f>SUM(IF(AD56=AD$5,4,0),IF(AD56&amp;AE56=AD$5&amp;AE$5,1,0),
IF(AND(AD56=AD$5,AE$6&gt;=$D$115),1,0),
IF(AND(AE56=AD$5,AE$6&gt;=$D$115),1,0),
IF(AND(AF56=AD$5,AE$6&gt;=$D$115),1,0),
IF(AD56&amp;AG56=AH$5,1,0),
IF(AE56=AD$5,2,0),
IF(AF56=AD$5,1,0),
IF(OR(AD56&amp;AE56&amp;AF56=AD$5&amp;AE$5&amp;AF$5,AD56&amp;AE56&amp;AF56=AD$5&amp;AF$5&amp;AE$5,AD56&amp;AE56&amp;AF56=AE$5&amp;AD$5&amp;AF$5,AD56&amp;AE56&amp;AF56=AE$5&amp;AF$5&amp;AD$5,AD56&amp;AE56&amp;AF56=AF$5&amp;AD$5&amp;AE$5,AD56&amp;AE56&amp;AF56=AF$5&amp;AE$5&amp;AD$5),2,0),IF(AND(AD56=AD$5,AE$6&gt;=$D$129),1,0),IF(AND(AE56=AD$5,AE$6&gt;=$D$129),1,0),IF(AND(AF56=AD$5,AE$6&gt;=$D$129),1,0),IF(AD56&amp;AG56=AG$5,4,0),IF(AND(AD56=AD$5,AE$6&lt;=$D$104),-0.5,0),IF(AND(AE56=AD$5,AE$6&lt;=$D$104),-0.5,0),IF(AND(AF56=AD$5,AE$6&lt;=$D$104),-0.5,0))</f>
        <v/>
      </c>
      <c r="AI56" s="416" t="n"/>
      <c r="AJ56" s="418" t="n"/>
      <c r="AK56" s="418" t="n"/>
      <c r="AL56" s="418" t="n"/>
      <c r="AM56" s="602">
        <f>SUM(IF(AI56=AI$5,4,0),IF(AI56&amp;AJ56=AI$5&amp;AJ$5,1,0),
IF(AND(AI56=AI$5,AJ$6&gt;=$D$115),1,0),
IF(AND(AJ56=AI$5,AJ$6&gt;=$D$115),1,0),
IF(AND(AK56=AI$5,AJ$6&gt;=$D$115),1,0),
IF(AI56&amp;AL56=AM$5,1,0),
IF(AJ56=AI$5,2,0),
IF(AK56=AI$5,1,0),
IF(OR(AI56&amp;AJ56&amp;AK56=AI$5&amp;AJ$5&amp;AK$5,AI56&amp;AJ56&amp;AK56=AI$5&amp;AK$5&amp;AJ$5,AI56&amp;AJ56&amp;AK56=AJ$5&amp;AI$5&amp;AK$5,AI56&amp;AJ56&amp;AK56=AJ$5&amp;AK$5&amp;AI$5,AI56&amp;AJ56&amp;AK56=AK$5&amp;AI$5&amp;AJ$5,AI56&amp;AJ56&amp;AK56=AK$5&amp;AJ$5&amp;AI$5),2,0),IF(AND(AI56=AI$5,AJ$6&gt;=$D$129),1,0),IF(AND(AJ56=AI$5,AJ$6&gt;=$D$129),1,0),IF(AND(AK56=AI$5,AJ$6&gt;=$D$129),1,0),IF(AI56&amp;AL56=AL$5,4,0),IF(AND(AI56=AI$5,AJ$6&lt;=$D$104),-0.5,0),IF(AND(AJ56=AI$5,AJ$6&lt;=$D$104),-0.5,0),IF(AND(AK56=AI$5,AJ$6&lt;=$D$104),-0.5,0))</f>
        <v/>
      </c>
      <c r="AN56" s="416" t="n"/>
      <c r="AO56" s="418" t="n"/>
      <c r="AP56" s="418" t="n"/>
      <c r="AQ56" s="418" t="n"/>
      <c r="AR56" s="602">
        <f>SUM(IF(AN56=AN$5,4,0),IF(AN56&amp;AO56=AN$5&amp;AO$5,1,0),
IF(AND(AN56=AN$5,AO$6&gt;=$D$115),1,0),
IF(AND(AO56=AN$5,AO$6&gt;=$D$115),1,0),
IF(AND(AP56=AN$5,AO$6&gt;=$D$115),1,0),
IF(AN56&amp;AQ56=AR$5,1,0),
IF(AO56=AN$5,2,0),
IF(AP56=AN$5,1,0),
IF(OR(AN56&amp;AO56&amp;AP56=AN$5&amp;AO$5&amp;AP$5,AN56&amp;AO56&amp;AP56=AN$5&amp;AP$5&amp;AO$5,AN56&amp;AO56&amp;AP56=AO$5&amp;AN$5&amp;AP$5,AN56&amp;AO56&amp;AP56=AO$5&amp;AP$5&amp;AN$5,AN56&amp;AO56&amp;AP56=AP$5&amp;AN$5&amp;AO$5,AN56&amp;AO56&amp;AP56=AP$5&amp;AO$5&amp;AN$5),2,0),IF(AND(AN56=AN$5,AO$6&gt;=$D$129),1,0),IF(AND(AO56=AN$5,AO$6&gt;=$D$129),1,0),IF(AND(AP56=AN$5,AO$6&gt;=$D$129),1,0),IF(AN56&amp;AQ56=AQ$5,4,0),IF(AND(AN56=AN$5,AO$6&lt;=$D$104),-0.5,0),IF(AND(AO56=AN$5,AO$6&lt;=$D$104),-0.5,0),IF(AND(AP56=AN$5,AO$6&lt;=$D$104),-0.5,0))</f>
        <v/>
      </c>
      <c r="AS56" s="416" t="n"/>
      <c r="AT56" s="418" t="n"/>
      <c r="AU56" s="418" t="n"/>
      <c r="AV56" s="418" t="n"/>
      <c r="AW56" s="602">
        <f>SUM(IF(AS56=AS$5,4,0),IF(AS56&amp;AT56=AS$5&amp;AT$5,1,0),
IF(AND(AS56=AS$5,AT$6&gt;=$D$115),1,0),
IF(AND(AT56=AS$5,AT$6&gt;=$D$115),1,0),
IF(AND(AU56=AS$5,AT$6&gt;=$D$115),1,0),
IF(AS56&amp;AV56=AW$5,1,0),
IF(AT56=AS$5,2,0),
IF(AU56=AS$5,1,0),
IF(OR(AS56&amp;AT56&amp;AU56=AS$5&amp;AT$5&amp;AU$5,AS56&amp;AT56&amp;AU56=AS$5&amp;AU$5&amp;AT$5,AS56&amp;AT56&amp;AU56=AT$5&amp;AS$5&amp;AU$5,AS56&amp;AT56&amp;AU56=AT$5&amp;AU$5&amp;AS$5,AS56&amp;AT56&amp;AU56=AU$5&amp;AS$5&amp;AT$5,AS56&amp;AT56&amp;AU56=AU$5&amp;AT$5&amp;AS$5),2,0),IF(AND(AS56=AS$5,AT$6&gt;=$D$129),1,0),IF(AND(AT56=AS$5,AT$6&gt;=$D$129),1,0),IF(AND(AU56=AS$5,AT$6&gt;=$D$129),1,0),IF(AS56&amp;AV56=AV$5,4,0),IF(AND(AS56=AS$5,AT$6&lt;=$D$104),-0.5,0),IF(AND(AT56=AS$5,AT$6&lt;=$D$104),-0.5,0),IF(AND(AU56=AS$5,AT$6&lt;=$D$104),-0.5,0))</f>
        <v/>
      </c>
      <c r="AX56" s="416" t="n"/>
      <c r="AY56" s="418" t="n"/>
      <c r="AZ56" s="418" t="n"/>
      <c r="BA56" s="418" t="n"/>
      <c r="BB56" s="602">
        <f>SUM(IF(AX56=AX$5,4,0),IF(AX56&amp;AY56=AX$5&amp;AY$5,1,0),
IF(AND(AX56=AX$5,AY$6&gt;=$D$115),1,0),
IF(AND(AY56=AX$5,AY$6&gt;=$D$115),1,0),
IF(AND(AZ56=AX$5,AY$6&gt;=$D$115),1,0),
IF(AX56&amp;BA56=BB$5,1,0),
IF(AY56=AX$5,2,0),
IF(AZ56=AX$5,1,0),
IF(OR(AX56&amp;AY56&amp;AZ56=AX$5&amp;AY$5&amp;AZ$5,AX56&amp;AY56&amp;AZ56=AX$5&amp;AZ$5&amp;AY$5,AX56&amp;AY56&amp;AZ56=AY$5&amp;AX$5&amp;AZ$5,AX56&amp;AY56&amp;AZ56=AY$5&amp;AZ$5&amp;AX$5,AX56&amp;AY56&amp;AZ56=AZ$5&amp;AX$5&amp;AY$5,AX56&amp;AY56&amp;AZ56=AZ$5&amp;AY$5&amp;AX$5),2,0),IF(AND(AX56=AX$5,AY$6&gt;=$D$129),1,0),IF(AND(AY56=AX$5,AY$6&gt;=$D$129),1,0),IF(AND(AZ56=AX$5,AY$6&gt;=$D$129),1,0),IF(AX56&amp;BA56=BA$5,4,0),IF(AND(AX56=AX$5,AY$6&lt;=$D$104),-0.5,0),IF(AND(AY56=AX$5,AY$6&lt;=$D$104),-0.5,0),IF(AND(AZ56=AX$5,AY$6&lt;=$D$104),-0.5,0))</f>
        <v/>
      </c>
      <c r="BC56" s="416" t="n"/>
      <c r="BD56" s="418" t="n"/>
      <c r="BE56" s="418" t="n"/>
      <c r="BF56" s="418" t="n"/>
      <c r="BG56" s="602">
        <f>SUM(IF(BC56=BC$5,4,0),IF(BC56&amp;BD56=BC$5&amp;BD$5,1,0),
IF(AND(BC56=BC$5,BD$6&gt;=$D$115),1,0),
IF(AND(BD56=BC$5,BD$6&gt;=$D$115),1,0),
IF(AND(BE56=BC$5,BD$6&gt;=$D$115),1,0),
IF(BC56&amp;BF56=BG$5,1,0),
IF(BD56=BC$5,2,0),
IF(BE56=BC$5,1,0),
IF(OR(BC56&amp;BD56&amp;BE56=BC$5&amp;BD$5&amp;BE$5,BC56&amp;BD56&amp;BE56=BC$5&amp;BE$5&amp;BD$5,BC56&amp;BD56&amp;BE56=BD$5&amp;BC$5&amp;BE$5,BC56&amp;BD56&amp;BE56=BD$5&amp;BE$5&amp;BC$5,BC56&amp;BD56&amp;BE56=BE$5&amp;BC$5&amp;BD$5,BC56&amp;BD56&amp;BE56=BE$5&amp;BD$5&amp;BC$5),2,0),IF(AND(BC56=BC$5,BD$6&gt;=$D$129),1,0),IF(AND(BD56=BC$5,BD$6&gt;=$D$129),1,0),IF(AND(BE56=BC$5,BD$6&gt;=$D$129),1,0),IF(BC56&amp;BF56=BF$5,4,0),IF(AND(BC56=BC$5,BD$6&lt;=$D$104),-0.5,0),IF(AND(BD56=BC$5,BD$6&lt;=$D$104),-0.5,0),IF(AND(BE56=BC$5,BD$6&lt;=$D$104),-0.5,0))</f>
        <v/>
      </c>
      <c r="BH56" s="416" t="n"/>
      <c r="BI56" s="418" t="n"/>
      <c r="BJ56" s="418" t="n"/>
      <c r="BK56" s="418" t="n"/>
      <c r="BL56" s="602">
        <f>SUM(IF(BH56=BH$5,4,0),IF(BH56&amp;BI56=BH$5&amp;BI$5,1,0),
IF(AND(BH56=BH$5,BI$6&gt;=$D$115),1,0),
IF(AND(BI56=BH$5,BI$6&gt;=$D$115),1,0),
IF(AND(BJ56=BH$5,BI$6&gt;=$D$115),1,0),
IF(BH56&amp;BK56=BL$5,1,0),
IF(BI56=BH$5,2,0),
IF(BJ56=BH$5,1,0),
IF(OR(BH56&amp;BI56&amp;BJ56=BH$5&amp;BI$5&amp;BJ$5,BH56&amp;BI56&amp;BJ56=BH$5&amp;BJ$5&amp;BI$5,BH56&amp;BI56&amp;BJ56=BI$5&amp;BH$5&amp;BJ$5,BH56&amp;BI56&amp;BJ56=BI$5&amp;BJ$5&amp;BH$5,BH56&amp;BI56&amp;BJ56=BJ$5&amp;BH$5&amp;BI$5,BH56&amp;BI56&amp;BJ56=BJ$5&amp;BI$5&amp;BH$5),2,0),IF(AND(BH56=BH$5,BI$6&gt;=$D$129),1,0),IF(AND(BI56=BH$5,BI$6&gt;=$D$129),1,0),IF(AND(BJ56=BH$5,BI$6&gt;=$D$129),1,0),IF(BH56&amp;BK56=BK$5,4,0),IF(AND(BH56=BH$5,BI$6&lt;=$D$104),-0.5,0),IF(AND(BI56=BH$5,BI$6&lt;=$D$104),-0.5,0),IF(AND(BJ56=BH$5,BI$6&lt;=$D$104),-0.5,0))</f>
        <v/>
      </c>
      <c r="BM56" s="416" t="n"/>
      <c r="BN56" s="418" t="n"/>
      <c r="BO56" s="418" t="n"/>
      <c r="BP56" s="418" t="n"/>
      <c r="BQ56" s="602">
        <f>SUM(IF(BM56=BM$5,4,0),IF(BM56&amp;BN56=BM$5&amp;BN$5,1,0),
IF(AND(BM56=BM$5,BN$6&gt;=$D$115),1,0),
IF(AND(BN56=BM$5,BN$6&gt;=$D$115),1,0),
IF(AND(BO56=BM$5,BN$6&gt;=$D$115),1,0),
IF(BM56&amp;BP56=BQ$5,1,0),
IF(BN56=BM$5,2,0),
IF(BO56=BM$5,1,0),
IF(OR(BM56&amp;BN56&amp;BO56=BM$5&amp;BN$5&amp;BO$5,BM56&amp;BN56&amp;BO56=BM$5&amp;BO$5&amp;BN$5,BM56&amp;BN56&amp;BO56=BN$5&amp;BM$5&amp;BO$5,BM56&amp;BN56&amp;BO56=BN$5&amp;BO$5&amp;BM$5,BM56&amp;BN56&amp;BO56=BO$5&amp;BM$5&amp;BN$5,BM56&amp;BN56&amp;BO56=BO$5&amp;BN$5&amp;BM$5),2,0),IF(AND(BM56=BM$5,BN$6&gt;=$D$129),1,0),IF(AND(BN56=BM$5,BN$6&gt;=$D$129),1,0),IF(AND(BO56=BM$5,BN$6&gt;=$D$129),1,0),IF(BM56&amp;BP56=BP$5,4,0),IF(AND(BM56=BM$5,BN$6&lt;=$D$104),-0.5,0),IF(AND(BN56=BM$5,BN$6&lt;=$D$104),-0.5,0),IF(AND(BO56=BM$5,BN$6&lt;=$D$104),-0.5,0))</f>
        <v/>
      </c>
      <c r="BR56" s="416" t="n"/>
      <c r="BS56" s="418" t="n"/>
      <c r="BT56" s="418" t="n"/>
      <c r="BU56" s="418" t="n"/>
      <c r="BV56" s="602">
        <f>SUM(IF(BR56=BR$5,4,0),IF(BR56&amp;BS56=BR$5&amp;BS$5,1,0),
IF(AND(BR56=BR$5,BS$6&gt;=$D$115),1,0),
IF(AND(BS56=BR$5,BS$6&gt;=$D$115),1,0),
IF(AND(BT56=BR$5,BS$6&gt;=$D$115),1,0),
IF(BR56&amp;BU56=BV$5,1,0),
IF(BS56=BR$5,2,0),
IF(BT56=BR$5,1,0),
IF(OR(BR56&amp;BS56&amp;BT56=BR$5&amp;BS$5&amp;BT$5,BR56&amp;BS56&amp;BT56=BR$5&amp;BT$5&amp;BS$5,BR56&amp;BS56&amp;BT56=BS$5&amp;BR$5&amp;BT$5,BR56&amp;BS56&amp;BT56=BS$5&amp;BT$5&amp;BR$5,BR56&amp;BS56&amp;BT56=BT$5&amp;BR$5&amp;BS$5,BR56&amp;BS56&amp;BT56=BT$5&amp;BS$5&amp;BR$5),2,0),IF(AND(BR56=BR$5,BS$6&gt;=$D$129),1,0),IF(AND(BS56=BR$5,BS$6&gt;=$D$129),1,0),IF(AND(BT56=BR$5,BS$6&gt;=$D$129),1,0),IF(BR56&amp;BU56=BU$5,4,0),IF(AND(BR56=BR$5,BS$6&lt;=$D$104),-0.5,0),IF(AND(BS56=BR$5,BS$6&lt;=$D$104),-0.5,0),IF(AND(BT56=BR$5,BS$6&lt;=$D$104),-0.5,0))</f>
        <v/>
      </c>
      <c r="BW56" s="416" t="n"/>
      <c r="BX56" s="418" t="n"/>
      <c r="BY56" s="418" t="n"/>
      <c r="BZ56" s="418" t="n"/>
      <c r="CA56" s="602">
        <f>SUM(IF(BW56=BW$5,4,0),IF(BW56&amp;BX56=BW$5&amp;BX$5,1,0),
IF(AND(BW56=BW$5,BX$6&gt;=$D$115),1,0),
IF(AND(BX56=BW$5,BX$6&gt;=$D$115),1,0),
IF(AND(BY56=BW$5,BX$6&gt;=$D$115),1,0),
IF(BW56&amp;BZ56=CA$5,1,0),
IF(BX56=BW$5,2,0),
IF(BY56=BW$5,1,0),
IF(OR(BW56&amp;BX56&amp;BY56=BW$5&amp;BX$5&amp;BY$5,BW56&amp;BX56&amp;BY56=BW$5&amp;BY$5&amp;BX$5,BW56&amp;BX56&amp;BY56=BX$5&amp;BW$5&amp;BY$5,BW56&amp;BX56&amp;BY56=BX$5&amp;BY$5&amp;BW$5,BW56&amp;BX56&amp;BY56=BY$5&amp;BW$5&amp;BX$5,BW56&amp;BX56&amp;BY56=BY$5&amp;BX$5&amp;BW$5),2,0),IF(AND(BW56=BW$5,BX$6&gt;=$D$129),1,0),IF(AND(BX56=BW$5,BX$6&gt;=$D$129),1,0),IF(AND(BY56=BW$5,BX$6&gt;=$D$129),1,0),IF(BW56&amp;BZ56=BZ$5,4,0),IF(AND(BW56=BW$5,BX$6&lt;=$D$104),-0.5,0),IF(AND(BX56=BW$5,BX$6&lt;=$D$104),-0.5,0),IF(AND(BY56=BW$5,BX$6&lt;=$D$104),-0.5,0))</f>
        <v/>
      </c>
      <c r="CB56" s="416" t="n"/>
      <c r="CC56" s="418" t="n"/>
      <c r="CD56" s="418" t="n"/>
      <c r="CE56" s="418" t="n"/>
      <c r="CF56" s="602">
        <f>SUM(IF(CB56=CB$5,4,0),IF(CB56&amp;CC56=CB$5&amp;CC$5,1,0),
IF(AND(CB56=CB$5,CC$6&gt;=$D$115),1,0),
IF(AND(CC56=CB$5,CC$6&gt;=$D$115),1,0),
IF(AND(CD56=CB$5,CC$6&gt;=$D$115),1,0),
IF(CB56&amp;CE56=CF$5,1,0),
IF(CC56=CB$5,2,0),
IF(CD56=CB$5,1,0),
IF(OR(CB56&amp;CC56&amp;CD56=CB$5&amp;CC$5&amp;CD$5,CB56&amp;CC56&amp;CD56=CB$5&amp;CD$5&amp;CC$5,CB56&amp;CC56&amp;CD56=CC$5&amp;CB$5&amp;CD$5,CB56&amp;CC56&amp;CD56=CC$5&amp;CD$5&amp;CB$5,CB56&amp;CC56&amp;CD56=CD$5&amp;CB$5&amp;CC$5,CB56&amp;CC56&amp;CD56=CD$5&amp;CC$5&amp;CB$5),2,0),IF(AND(CB56=CB$5,CC$6&gt;=$D$129),1,0),IF(AND(CC56=CB$5,CC$6&gt;=$D$129),1,0),IF(AND(CD56=CB$5,CC$6&gt;=$D$129),1,0),IF(CB56&amp;CE56=CE$5,4,0),IF(AND(CB56=CB$5,CC$6&lt;=$D$104),-0.5,0),IF(AND(CC56=CB$5,CC$6&lt;=$D$104),-0.5,0),IF(AND(CD56=CB$5,CC$6&lt;=$D$104),-0.5,0))</f>
        <v/>
      </c>
      <c r="CG56" s="164">
        <f>IF(SEMANA2[[#This Row],[1]]="",0,$B$4)</f>
        <v/>
      </c>
      <c r="CH56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6" s="189">
        <f>IF(SEMANA2[[#This Row],[Columna14]]=0,0,(CH56/CG56))</f>
        <v/>
      </c>
      <c r="CJ56" s="165">
        <f>IF(SEMANA2[[#This Row],[1]]="",0,$B$4)</f>
        <v/>
      </c>
      <c r="CK56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6" s="189">
        <f>IF(SEMANA2[[#This Row],[Columna14]]=0,0,(CK56/CJ56))</f>
        <v/>
      </c>
      <c r="CM56" s="164">
        <f>IF(SEMANA2[[#This Row],[1]]="",0,$B$4)</f>
        <v/>
      </c>
      <c r="CN56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6" s="189">
        <f>IF(SEMANA2[[#This Row],[Columna14]]=0,0,(CN56/CM56))</f>
        <v/>
      </c>
      <c r="CP56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6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Row],[Columna25]],$AX$5,BA56,"SF")+COUNTIFS(SEMANA2[[#This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6" s="189">
        <f>IFERROR(IF(SEMANA2[[#This Row],[Columna14]]=0,0,(CQ56/CP56)),0)</f>
        <v/>
      </c>
      <c r="CS56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6" s="95">
        <f>_xlfn.XLOOKUP(SEMANA2[[#This Row],[COD]],BASE01[COD],BASE01[Columna33])</f>
        <v/>
      </c>
      <c r="CU56" s="604">
        <f>SUM(CS56,CT56)</f>
        <v/>
      </c>
      <c r="CV56" s="450">
        <f>IF(SEMANA2[[#This Row],[TIPO]]="PREMIO",$O$3,"0,00")</f>
        <v/>
      </c>
      <c r="CW56" s="576" t="n"/>
      <c r="CY56" s="392">
        <f>IF(CZ56="","",$CZ$25)</f>
        <v/>
      </c>
      <c r="CZ56" s="392" t="n"/>
      <c r="DA56" s="392">
        <f t="array" ref="DA56">IF(CZ56="", "", IF((INDEX(E$8:CE$57, MATCH(CZ56, C$8:C$57, 0), ($CZ$25-1)*5 + 1) &amp; "") = (INDEX(E$5:CE$5, 1, ($CZ$25-1)*5 + 1) &amp; ""), 1, IF((INDEX(E$8:CE$57, MATCH(CZ56, C$8:C$57, 0), ($CZ$25-1)*5 + 2) &amp; "") = (INDEX(E$5:CE$5, 1, ($CZ$25-1)*5 + 1) &amp; ""), 2, IF((INDEX(E$8:CE$57, MATCH(CZ56, C$8:C$57, 0), ($CZ$25-1)*5 + 3) &amp; "") = (INDEX(E$5:CE$5, 1, ($CZ$25-1)*5 + 1) &amp; ""), 3, ""))))</f>
        <v/>
      </c>
      <c r="DB56" s="605">
        <f>SEMANA2[[#This Row],[COD]]</f>
        <v/>
      </c>
      <c r="DC56" s="395">
        <f t="array" ref="DC56">IFERROR(IF(AND(INDEX($E$8:$CE$57, MATCH($C56, $C$8:$C$57, 0), (COLUMNS($DC56:DC56)-1)*5 + 1) = INDEX($E$5:$CE$5, 1, (COLUMNS($DC56:DC56)-1)*5 + 1), INDEX($E$8:$CE$57, MATCH($C56, $C$8:$C$57, 0), (COLUMNS($DC56:DC56)-1)*5 + 4) = "F"), INDEX($CZ$8:$CZ$23, COLUMNS($DC56:DC56)), "0"), "")</f>
        <v/>
      </c>
      <c r="DD56" s="395">
        <f t="array" ref="DD56">IFERROR(IF(AND(INDEX($E$8:$CE$57, MATCH($C56, $C$8:$C$57, 0), (COLUMNS($DC56:DD56)-1)*5 + 1) = INDEX($E$5:$CE$5, 1, (COLUMNS($DC56:DD56)-1)*5 + 1), INDEX($E$8:$CE$57, MATCH($C56, $C$8:$C$57, 0), (COLUMNS($DC56:DD56)-1)*5 + 4) = "F"), INDEX($CZ$8:$CZ$23, COLUMNS($DC56:DD56)), "0"), "")</f>
        <v/>
      </c>
      <c r="DE56" s="395">
        <f t="array" ref="DE56">IFERROR(IF(AND(INDEX($E$8:$CE$57, MATCH($C56, $C$8:$C$57, 0), (COLUMNS($DC56:DE56)-1)*5 + 1) = INDEX($E$5:$CE$5, 1, (COLUMNS($DC56:DE56)-1)*5 + 1), INDEX($E$8:$CE$57, MATCH($C56, $C$8:$C$57, 0), (COLUMNS($DC56:DE56)-1)*5 + 4) = "F"), INDEX($CZ$8:$CZ$23, COLUMNS($DC56:DE56)), "0"), "")</f>
        <v/>
      </c>
      <c r="DF56" s="395">
        <f t="array" ref="DF56">IFERROR(IF(AND(INDEX($E$8:$CE$57, MATCH($C56, $C$8:$C$57, 0), (COLUMNS($DC56:DF56)-1)*5 + 1) = INDEX($E$5:$CE$5, 1, (COLUMNS($DC56:DF56)-1)*5 + 1), INDEX($E$8:$CE$57, MATCH($C56, $C$8:$C$57, 0), (COLUMNS($DC56:DF56)-1)*5 + 4) = "F"), INDEX($CZ$8:$CZ$23, COLUMNS($DC56:DF56)), "0"), "")</f>
        <v/>
      </c>
      <c r="DG56" s="395">
        <f t="array" ref="DG56">IFERROR(IF(AND(INDEX($E$8:$CE$57, MATCH($C56, $C$8:$C$57, 0), (COLUMNS($DC56:DG56)-1)*5 + 1) = INDEX($E$5:$CE$5, 1, (COLUMNS($DC56:DG56)-1)*5 + 1), INDEX($E$8:$CE$57, MATCH($C56, $C$8:$C$57, 0), (COLUMNS($DC56:DG56)-1)*5 + 4) = "F"), INDEX($CZ$8:$CZ$23, COLUMNS($DC56:DG56)), "0"), "")</f>
        <v/>
      </c>
      <c r="DH56" s="395">
        <f t="array" ref="DH56">IFERROR(IF(AND(INDEX($E$8:$CE$57, MATCH($C56, $C$8:$C$57, 0), (COLUMNS($DC56:DH56)-1)*5 + 1) = INDEX($E$5:$CE$5, 1, (COLUMNS($DC56:DH56)-1)*5 + 1), INDEX($E$8:$CE$57, MATCH($C56, $C$8:$C$57, 0), (COLUMNS($DC56:DH56)-1)*5 + 4) = "F"), INDEX($CZ$8:$CZ$23, COLUMNS($DC56:DH56)), "0"), "")</f>
        <v/>
      </c>
      <c r="DI56" s="395">
        <f t="array" ref="DI56">IFERROR(IF(AND(INDEX($E$8:$CE$57, MATCH($C56, $C$8:$C$57, 0), (COLUMNS($DC56:DI56)-1)*5 + 1) = INDEX($E$5:$CE$5, 1, (COLUMNS($DC56:DI56)-1)*5 + 1), INDEX($E$8:$CE$57, MATCH($C56, $C$8:$C$57, 0), (COLUMNS($DC56:DI56)-1)*5 + 4) = "F"), INDEX($CZ$8:$CZ$23, COLUMNS($DC56:DI56)), "0"), "")</f>
        <v/>
      </c>
      <c r="DJ56" s="395">
        <f t="array" ref="DJ56">IFERROR(IF(AND(INDEX($E$8:$CE$57, MATCH($C56, $C$8:$C$57, 0), (COLUMNS($DC56:DJ56)-1)*5 + 1) = INDEX($E$5:$CE$5, 1, (COLUMNS($DC56:DJ56)-1)*5 + 1), INDEX($E$8:$CE$57, MATCH($C56, $C$8:$C$57, 0), (COLUMNS($DC56:DJ56)-1)*5 + 4) = "F"), INDEX($CZ$8:$CZ$23, COLUMNS($DC56:DJ56)), "0"), "")</f>
        <v/>
      </c>
      <c r="DK56" s="395">
        <f t="array" ref="DK56">IFERROR(IF(AND(INDEX($E$8:$CE$57, MATCH($C56, $C$8:$C$57, 0), (COLUMNS($DC56:DK56)-1)*5 + 1) = INDEX($E$5:$CE$5, 1, (COLUMNS($DC56:DK56)-1)*5 + 1), INDEX($E$8:$CE$57, MATCH($C56, $C$8:$C$57, 0), (COLUMNS($DC56:DK56)-1)*5 + 4) = "F"), INDEX($CZ$8:$CZ$23, COLUMNS($DC56:DK56)), "0"), "")</f>
        <v/>
      </c>
      <c r="DL56" s="395">
        <f t="array" ref="DL56">IFERROR(IF(AND(INDEX($E$8:$CE$57, MATCH($C56, $C$8:$C$57, 0), (COLUMNS($DC56:DL56)-1)*5 + 1) = INDEX($E$5:$CE$5, 1, (COLUMNS($DC56:DL56)-1)*5 + 1), INDEX($E$8:$CE$57, MATCH($C56, $C$8:$C$57, 0), (COLUMNS($DC56:DL56)-1)*5 + 4) = "F"), INDEX($CZ$8:$CZ$23, COLUMNS($DC56:DL56)), "0"), "")</f>
        <v/>
      </c>
      <c r="DM56" s="395">
        <f t="array" ref="DM56">IFERROR(IF(AND(INDEX($E$8:$CE$57, MATCH($C56, $C$8:$C$57, 0), (COLUMNS($DC56:DM56)-1)*5 + 1) = INDEX($E$5:$CE$5, 1, (COLUMNS($DC56:DM56)-1)*5 + 1), INDEX($E$8:$CE$57, MATCH($C56, $C$8:$C$57, 0), (COLUMNS($DC56:DM56)-1)*5 + 4) = "F"), INDEX($CZ$8:$CZ$23, COLUMNS($DC56:DM56)), "0"), "")</f>
        <v/>
      </c>
      <c r="DN56" s="395">
        <f t="array" ref="DN56">IFERROR(IF(AND(INDEX($E$8:$CE$57, MATCH($C56, $C$8:$C$57, 0), (COLUMNS($DC56:DN56)-1)*5 + 1) = INDEX($E$5:$CE$5, 1, (COLUMNS($DC56:DN56)-1)*5 + 1), INDEX($E$8:$CE$57, MATCH($C56, $C$8:$C$57, 0), (COLUMNS($DC56:DN56)-1)*5 + 4) = "F"), INDEX($CZ$8:$CZ$23, COLUMNS($DC56:DN56)), "0"), "")</f>
        <v/>
      </c>
      <c r="DO56" s="395">
        <f t="array" ref="DO56">IFERROR(IF(AND(INDEX($E$8:$CE$57, MATCH($C56, $C$8:$C$57, 0), (COLUMNS($DC56:DO56)-1)*5 + 1) = INDEX($E$5:$CE$5, 1, (COLUMNS($DC56:DO56)-1)*5 + 1), INDEX($E$8:$CE$57, MATCH($C56, $C$8:$C$57, 0), (COLUMNS($DC56:DO56)-1)*5 + 4) = "F"), INDEX($CZ$8:$CZ$23, COLUMNS($DC56:DO56)), "0"), "")</f>
        <v/>
      </c>
      <c r="DP56" s="395">
        <f t="array" ref="DP56">IFERROR(IF(AND(INDEX($E$8:$CE$57, MATCH($C56, $C$8:$C$57, 0), (COLUMNS($DC56:DP56)-1)*5 + 1) = INDEX($E$5:$CE$5, 1, (COLUMNS($DC56:DP56)-1)*5 + 1), INDEX($E$8:$CE$57, MATCH($C56, $C$8:$C$57, 0), (COLUMNS($DC56:DP56)-1)*5 + 4) = "F"), INDEX($CZ$8:$CZ$23, COLUMNS($DC56:DP56)), "0"), "")</f>
        <v/>
      </c>
      <c r="DQ56" s="395">
        <f t="array" ref="DQ56">IFERROR(IF(AND(INDEX($E$8:$CE$57, MATCH($C56, $C$8:$C$57, 0), (COLUMNS($DC56:DQ56)-1)*5 + 1) = INDEX($E$5:$CE$5, 1, (COLUMNS($DC56:DQ56)-1)*5 + 1), INDEX($E$8:$CE$57, MATCH($C56, $C$8:$C$57, 0), (COLUMNS($DC56:DQ56)-1)*5 + 4) = "F"), INDEX($CZ$8:$CZ$23, COLUMNS($DC56:DQ56)), "0"), "")</f>
        <v/>
      </c>
      <c r="DR56" s="395">
        <f t="array" ref="DR56">IFERROR(IF(AND(INDEX($E$8:$CE$57, MATCH($C56, $C$8:$C$57, 0), (COLUMNS($DC56:DR56)-1)*5 + 1) = INDEX($E$5:$CE$5, 1, (COLUMNS($DC56:DR56)-1)*5 + 1), INDEX($E$8:$CE$57, MATCH($C56, $C$8:$C$57, 0), (COLUMNS($DC56:DR56)-1)*5 + 4) = "F"), INDEX($CZ$8:$CZ$23, COLUMNS($DC56:DR56)), "0"), "")</f>
        <v/>
      </c>
      <c r="DT56" s="605">
        <f>SEMANA2[[#This Row],[COD]]</f>
        <v/>
      </c>
      <c r="DU56" s="395">
        <f t="array" ref="DU56">IFERROR(IF(AND(INDEX($E$8:$CE$57, MATCH($C56, $C$8:$C$57, 0), (COLUMNS($DU56:DU56)-1)*5 + 1) = INDEX($E$5:$CE$5, 1, (COLUMNS($DU56:DU56)-1)*5 + 1), INDEX($E$8:$CE$57, MATCH($C56, $C$8:$C$57, 0), (COLUMNS($DU56:DU56)-1)*5 + 4) = "SF"), INDEX($CZ$8:$CZ$23, COLUMNS($DU56:DU56)), "0"), "")</f>
        <v/>
      </c>
      <c r="DV56" s="395">
        <f t="array" ref="DV56">IFERROR(IF(AND(INDEX($E$8:$CE$57, MATCH($C56, $C$8:$C$57, 0), (COLUMNS($DU56:DV56)-1)*5 + 1) = INDEX($E$5:$CE$5, 1, (COLUMNS($DU56:DV56)-1)*5 + 1), INDEX($E$8:$CE$57, MATCH($C56, $C$8:$C$57, 0), (COLUMNS($DU56:DV56)-1)*5 + 4) = "SF"), INDEX($CZ$8:$CZ$23, COLUMNS($DU56:DV56)), "0"), "")</f>
        <v/>
      </c>
      <c r="DW56" s="395">
        <f t="array" ref="DW56">IFERROR(IF(AND(INDEX($E$8:$CE$57, MATCH($C56, $C$8:$C$57, 0), (COLUMNS($DU56:DW56)-1)*5 + 1) = INDEX($E$5:$CE$5, 1, (COLUMNS($DU56:DW56)-1)*5 + 1), INDEX($E$8:$CE$57, MATCH($C56, $C$8:$C$57, 0), (COLUMNS($DU56:DW56)-1)*5 + 4) = "SF"), INDEX($CZ$8:$CZ$23, COLUMNS($DU56:DW56)), "0"), "")</f>
        <v/>
      </c>
      <c r="DX56" s="395">
        <f t="array" ref="DX56">IFERROR(IF(AND(INDEX($E$8:$CE$57, MATCH($C56, $C$8:$C$57, 0), (COLUMNS($DU56:DX56)-1)*5 + 1) = INDEX($E$5:$CE$5, 1, (COLUMNS($DU56:DX56)-1)*5 + 1), INDEX($E$8:$CE$57, MATCH($C56, $C$8:$C$57, 0), (COLUMNS($DU56:DX56)-1)*5 + 4) = "SF"), INDEX($CZ$8:$CZ$23, COLUMNS($DU56:DX56)), "0"), "")</f>
        <v/>
      </c>
      <c r="DY56" s="395">
        <f t="array" ref="DY56">IFERROR(IF(AND(INDEX($E$8:$CE$57, MATCH($C56, $C$8:$C$57, 0), (COLUMNS($DU56:DY56)-1)*5 + 1) = INDEX($E$5:$CE$5, 1, (COLUMNS($DU56:DY56)-1)*5 + 1), INDEX($E$8:$CE$57, MATCH($C56, $C$8:$C$57, 0), (COLUMNS($DU56:DY56)-1)*5 + 4) = "SF"), INDEX($CZ$8:$CZ$23, COLUMNS($DU56:DY56)), "0"), "")</f>
        <v/>
      </c>
      <c r="DZ56" s="395">
        <f t="array" ref="DZ56">IFERROR(IF(AND(INDEX($E$8:$CE$57, MATCH($C56, $C$8:$C$57, 0), (COLUMNS($DU56:DZ56)-1)*5 + 1) = INDEX($E$5:$CE$5, 1, (COLUMNS($DU56:DZ56)-1)*5 + 1), INDEX($E$8:$CE$57, MATCH($C56, $C$8:$C$57, 0), (COLUMNS($DU56:DZ56)-1)*5 + 4) = "SF"), INDEX($CZ$8:$CZ$23, COLUMNS($DU56:DZ56)), "0"), "")</f>
        <v/>
      </c>
      <c r="EA56" s="395">
        <f t="array" ref="EA56">IFERROR(IF(AND(INDEX($E$8:$CE$57, MATCH($C56, $C$8:$C$57, 0), (COLUMNS($DU56:EA56)-1)*5 + 1) = INDEX($E$5:$CE$5, 1, (COLUMNS($DU56:EA56)-1)*5 + 1), INDEX($E$8:$CE$57, MATCH($C56, $C$8:$C$57, 0), (COLUMNS($DU56:EA56)-1)*5 + 4) = "SF"), INDEX($CZ$8:$CZ$23, COLUMNS($DU56:EA56)), "0"), "")</f>
        <v/>
      </c>
      <c r="EB56" s="395">
        <f t="array" ref="EB56">IFERROR(IF(AND(INDEX($E$8:$CE$57, MATCH($C56, $C$8:$C$57, 0), (COLUMNS($DU56:EB56)-1)*5 + 1) = INDEX($E$5:$CE$5, 1, (COLUMNS($DU56:EB56)-1)*5 + 1), INDEX($E$8:$CE$57, MATCH($C56, $C$8:$C$57, 0), (COLUMNS($DU56:EB56)-1)*5 + 4) = "SF"), INDEX($CZ$8:$CZ$23, COLUMNS($DU56:EB56)), "0"), "")</f>
        <v/>
      </c>
      <c r="EC56" s="395">
        <f t="array" ref="EC56">IFERROR(IF(AND(INDEX($E$8:$CE$57, MATCH($C56, $C$8:$C$57, 0), (COLUMNS($DU56:EC56)-1)*5 + 1) = INDEX($E$5:$CE$5, 1, (COLUMNS($DU56:EC56)-1)*5 + 1), INDEX($E$8:$CE$57, MATCH($C56, $C$8:$C$57, 0), (COLUMNS($DU56:EC56)-1)*5 + 4) = "SF"), INDEX($CZ$8:$CZ$23, COLUMNS($DU56:EC56)), "0"), "")</f>
        <v/>
      </c>
      <c r="ED56" s="395">
        <f t="array" ref="ED56">IFERROR(IF(AND(INDEX($E$8:$CE$57, MATCH($C56, $C$8:$C$57, 0), (COLUMNS($DU56:ED56)-1)*5 + 1) = INDEX($E$5:$CE$5, 1, (COLUMNS($DU56:ED56)-1)*5 + 1), INDEX($E$8:$CE$57, MATCH($C56, $C$8:$C$57, 0), (COLUMNS($DU56:ED56)-1)*5 + 4) = "SF"), INDEX($CZ$8:$CZ$23, COLUMNS($DU56:ED56)), "0"), "")</f>
        <v/>
      </c>
      <c r="EE56" s="395">
        <f t="array" ref="EE56">IFERROR(IF(AND(INDEX($E$8:$CE$57, MATCH($C56, $C$8:$C$57, 0), (COLUMNS($DU56:EE56)-1)*5 + 1) = INDEX($E$5:$CE$5, 1, (COLUMNS($DU56:EE56)-1)*5 + 1), INDEX($E$8:$CE$57, MATCH($C56, $C$8:$C$57, 0), (COLUMNS($DU56:EE56)-1)*5 + 4) = "SF"), INDEX($CZ$8:$CZ$23, COLUMNS($DU56:EE56)), "0"), "")</f>
        <v/>
      </c>
      <c r="EF56" s="395">
        <f t="array" ref="EF56">IFERROR(IF(AND(INDEX($E$8:$CE$57, MATCH($C56, $C$8:$C$57, 0), (COLUMNS($DU56:EF56)-1)*5 + 1) = INDEX($E$5:$CE$5, 1, (COLUMNS($DU56:EF56)-1)*5 + 1), INDEX($E$8:$CE$57, MATCH($C56, $C$8:$C$57, 0), (COLUMNS($DU56:EF56)-1)*5 + 4) = "SF"), INDEX($CZ$8:$CZ$23, COLUMNS($DU56:EF56)), "0"), "")</f>
        <v/>
      </c>
      <c r="EG56" s="395">
        <f t="array" ref="EG56">IFERROR(IF(AND(INDEX($E$8:$CE$57, MATCH($C56, $C$8:$C$57, 0), (COLUMNS($DU56:EG56)-1)*5 + 1) = INDEX($E$5:$CE$5, 1, (COLUMNS($DU56:EG56)-1)*5 + 1), INDEX($E$8:$CE$57, MATCH($C56, $C$8:$C$57, 0), (COLUMNS($DU56:EG56)-1)*5 + 4) = "SF"), INDEX($CZ$8:$CZ$23, COLUMNS($DU56:EG56)), "0"), "")</f>
        <v/>
      </c>
      <c r="EH56" s="395">
        <f t="array" ref="EH56">IFERROR(IF(AND(INDEX($E$8:$CE$57, MATCH($C56, $C$8:$C$57, 0), (COLUMNS($DU56:EH56)-1)*5 + 1) = INDEX($E$5:$CE$5, 1, (COLUMNS($DU56:EH56)-1)*5 + 1), INDEX($E$8:$CE$57, MATCH($C56, $C$8:$C$57, 0), (COLUMNS($DU56:EH56)-1)*5 + 4) = "SF"), INDEX($CZ$8:$CZ$23, COLUMNS($DU56:EH56)), "0"), "")</f>
        <v/>
      </c>
      <c r="EI56" s="395">
        <f t="array" ref="EI56">IFERROR(IF(AND(INDEX($E$8:$CE$57, MATCH($C56, $C$8:$C$57, 0), (COLUMNS($DU56:EI56)-1)*5 + 1) = INDEX($E$5:$CE$5, 1, (COLUMNS($DU56:EI56)-1)*5 + 1), INDEX($E$8:$CE$57, MATCH($C56, $C$8:$C$57, 0), (COLUMNS($DU56:EI56)-1)*5 + 4) = "SF"), INDEX($CZ$8:$CZ$23, COLUMNS($DU56:EI56)), "0"), "")</f>
        <v/>
      </c>
      <c r="EJ56" s="395">
        <f t="array" ref="EJ56">IFERROR(IF(AND(INDEX($E$8:$CE$57, MATCH($C56, $C$8:$C$57, 0), (COLUMNS($DU56:EJ56)-1)*5 + 1) = INDEX($E$5:$CE$5, 1, (COLUMNS($DU56:EJ56)-1)*5 + 1), INDEX($E$8:$CE$57, MATCH($C56, $C$8:$C$57, 0), (COLUMNS($DU56:EJ56)-1)*5 + 4) = "SF"), INDEX($CZ$8:$CZ$23, COLUMNS($DU56:EJ56)), "0"), "")</f>
        <v/>
      </c>
    </row>
    <row r="57" outlineLevel="1" ht="20.1" customHeight="1" s="568">
      <c r="A57" s="576" t="n"/>
      <c r="B57" s="449">
        <f>IF(SEMANA2[[#This Row],[COD]]&lt;&gt;"",B56+1,"")</f>
        <v/>
      </c>
      <c r="C57" s="622" t="inlineStr">
        <is>
          <t>COD 50</t>
        </is>
      </c>
      <c r="D57" s="415">
        <f t="array" ref="D57">IF(SEMANA2[[#This Row],[COD]]="","",_xlfn.IFS(_xlfn.XLOOKUP(SEMANA2[[#This Row],[COD]],CODIGOS_Y_PAGOS[CODIGO],CODIGOS_Y_PAGOS[13/09/2026],"")="X","PREMIO",_xlfn.XLOOKUP(SEMANA2[[#This Row],[COD]],CODIGOS_Y_PAGOS[CODIGO],CODIGOS_Y_PAGOS[13/09/2026],"")="","NO ENVIÓ",_xlfn.XLOOKUP(SEMANA2[[#This Row],[COD]],CODIGOS_Y_PAGOS[CODIGO],CODIGOS_Y_PAGOS[13/09/2026],"")=0,"MEETING",_xlfn.XLOOKUP(SEMANA2[[#This Row],[COD]],CODIGOS_Y_PAGOS[CODIGO],CODIGOS_Y_PAGOS[13/09/2026],"")="O","PREMIO",_xlfn.XLOOKUP(SEMANA2[[#This Row],[COD]],CODIGOS_Y_PAGOS[CODIGO],CODIGOS_Y_PAGOS[13/09/2026],"")="-","PAGO PENDIENTE"))</f>
        <v/>
      </c>
      <c r="E57" s="416" t="n"/>
      <c r="F57" s="418" t="n"/>
      <c r="G57" s="418" t="n"/>
      <c r="H57" s="418" t="n"/>
      <c r="I57" s="602">
        <f>SUM(IF(E57=E$5,4,0),IF(E57&amp;F57=E$5&amp;F$5,1,0),
IF(AND(E57=E$5,F$6&gt;=$D$115),1,0),
IF(AND(F57=E$5,F$6&gt;=$D$115),1,0),
IF(AND(G57=E$5,F$6&gt;=$D$115),1,0),
IF(E57&amp;H57=I$5,1,0),
IF(F57=E$5,2,0),
IF(G57=E$5,1,0),
IF(OR(E57&amp;F57&amp;G57=E$5&amp;F$5&amp;G$5,E57&amp;F57&amp;G57=E$5&amp;G$5&amp;F$5,E57&amp;F57&amp;G57=F$5&amp;E$5&amp;G$5,E57&amp;F57&amp;G57=F$5&amp;G$5&amp;E$5,E57&amp;F57&amp;G57=G$5&amp;E$5&amp;F$5,E57&amp;F57&amp;G57=G$5&amp;F$5&amp;E$5),2,0),IF(AND(E57=E$5,F$6&gt;=$D$129),1,0),IF(AND(F57=E$5,F$6&gt;=$D$129),1,0),IF(AND(G57=E$5,F$6&gt;=$D$129),1,0),IF(E57&amp;H57=H$5,4,0),IF(AND(E57=E$5,F$6&lt;=$D$104),-0.5,0),IF(AND(F57=E$5,F$6&lt;=$D$104),-0.5,0),IF(AND(G57=E$5,F$6&lt;=$D$104),-0.5,0))</f>
        <v/>
      </c>
      <c r="J57" s="416" t="n"/>
      <c r="K57" s="418" t="n"/>
      <c r="L57" s="418" t="n"/>
      <c r="M57" s="418" t="n"/>
      <c r="N57" s="602">
        <f>SUM(IF(J57=J$5,4,0),IF(J57&amp;K57=J$5&amp;K$5,1,0),
IF(AND(J57=J$5,K$6&gt;=$D$115),1,0),
IF(AND(K57=J$5,K$6&gt;=$D$115),1,0),
IF(AND(L57=J$5,K$6&gt;=$D$115),1,0),
IF(J57&amp;M57=N$5,1,0),
IF(K57=J$5,2,0),
IF(L57=J$5,1,0),
IF(OR(J57&amp;K57&amp;L57=J$5&amp;K$5&amp;L$5,J57&amp;K57&amp;L57=J$5&amp;L$5&amp;K$5,J57&amp;K57&amp;L57=K$5&amp;J$5&amp;L$5,J57&amp;K57&amp;L57=K$5&amp;L$5&amp;J$5,J57&amp;K57&amp;L57=L$5&amp;J$5&amp;K$5,J57&amp;K57&amp;L57=L$5&amp;K$5&amp;J$5),2,0),IF(AND(J57=J$5,K$6&gt;=$D$129),1,0),IF(AND(K57=J$5,K$6&gt;=$D$129),1,0),IF(AND(L57=J$5,K$6&gt;=$D$129),1,0),IF(J57&amp;M57=M$5,4,0),IF(AND(J57=J$5,K$6&lt;=$D$104),-0.5,0),IF(AND(K57=J$5,K$6&lt;=$D$104),-0.5,0),IF(AND(L57=J$5,K$6&lt;=$D$104),-0.5,0))</f>
        <v/>
      </c>
      <c r="O57" s="416" t="n"/>
      <c r="P57" s="418" t="n"/>
      <c r="Q57" s="418" t="n"/>
      <c r="R57" s="418" t="n"/>
      <c r="S57" s="602">
        <f>SUM(IF(O57=O$5,4,0),IF(O57&amp;P57=O$5&amp;P$5,1,0),
IF(AND(O57=O$5,P$6&gt;=$D$115),1,0),
IF(AND(P57=O$5,P$6&gt;=$D$115),1,0),
IF(AND(Q57=O$5,P$6&gt;=$D$115),1,0),
IF(O57&amp;R57=S$5,1,0),
IF(P57=O$5,2,0),
IF(Q57=O$5,1,0),
IF(OR(O57&amp;P57&amp;Q57=O$5&amp;P$5&amp;Q$5,O57&amp;P57&amp;Q57=O$5&amp;Q$5&amp;P$5,O57&amp;P57&amp;Q57=P$5&amp;O$5&amp;Q$5,O57&amp;P57&amp;Q57=P$5&amp;Q$5&amp;O$5,O57&amp;P57&amp;Q57=Q$5&amp;O$5&amp;P$5,O57&amp;P57&amp;Q57=Q$5&amp;P$5&amp;O$5),2,0),IF(AND(O57=O$5,P$6&gt;=$D$129),1,0),IF(AND(P57=O$5,P$6&gt;=$D$129),1,0),IF(AND(Q57=O$5,P$6&gt;=$D$129),1,0),IF(O57&amp;R57=R$5,4,0),IF(AND(O57=O$5,P$6&lt;=$D$104),-0.5,0),IF(AND(P57=O$5,P$6&lt;=$D$104),-0.5,0),IF(AND(Q57=O$5,P$6&lt;=$D$104),-0.5,0))</f>
        <v/>
      </c>
      <c r="T57" s="416" t="n"/>
      <c r="U57" s="418" t="n"/>
      <c r="V57" s="418" t="n"/>
      <c r="W57" s="418" t="n"/>
      <c r="X57" s="602">
        <f>SUM(IF(T57=T$5,4,0),IF(T57&amp;U57=T$5&amp;U$5,1,0),
IF(AND(T57=T$5,U$6&gt;=$D$115),1,0),
IF(AND(U57=T$5,U$6&gt;=$D$115),1,0),
IF(AND(V57=T$5,U$6&gt;=$D$115),1,0),
IF(T57&amp;W57=X$5,1,0),
IF(U57=T$5,2,0),
IF(V57=T$5,1,0),
IF(OR(T57&amp;U57&amp;V57=T$5&amp;U$5&amp;V$5,T57&amp;U57&amp;V57=T$5&amp;V$5&amp;U$5,T57&amp;U57&amp;V57=U$5&amp;T$5&amp;V$5,T57&amp;U57&amp;V57=U$5&amp;V$5&amp;T$5,T57&amp;U57&amp;V57=V$5&amp;T$5&amp;U$5,T57&amp;U57&amp;V57=V$5&amp;U$5&amp;T$5),2,0),IF(AND(T57=T$5,U$6&gt;=$D$129),1,0),IF(AND(U57=T$5,U$6&gt;=$D$129),1,0),IF(AND(V57=T$5,U$6&gt;=$D$129),1,0),IF(T57&amp;W57=W$5,4,0),IF(AND(T57=T$5,U$6&lt;=$D$104),-0.5,0),IF(AND(U57=T$5,U$6&lt;=$D$104),-0.5,0),IF(AND(V57=T$5,U$6&lt;=$D$104),-0.5,0))</f>
        <v/>
      </c>
      <c r="Y57" s="416" t="n"/>
      <c r="Z57" s="418" t="n"/>
      <c r="AA57" s="418" t="n"/>
      <c r="AB57" s="418" t="n"/>
      <c r="AC57" s="602">
        <f>SUM(IF(Y57=Y$5,4,0),IF(Y57&amp;Z57=Y$5&amp;Z$5,1,0),
IF(AND(Y57=Y$5,Z$6&gt;=$D$115),1,0),
IF(AND(Z57=Y$5,Z$6&gt;=$D$115),1,0),
IF(AND(AA57=Y$5,Z$6&gt;=$D$115),1,0),
IF(Y57&amp;AB57=AC$5,1,0),
IF(Z57=Y$5,2,0),
IF(AA57=Y$5,1,0),
IF(OR(Y57&amp;Z57&amp;AA57=Y$5&amp;Z$5&amp;AA$5,Y57&amp;Z57&amp;AA57=Y$5&amp;AA$5&amp;Z$5,Y57&amp;Z57&amp;AA57=Z$5&amp;Y$5&amp;AA$5,Y57&amp;Z57&amp;AA57=Z$5&amp;AA$5&amp;Y$5,Y57&amp;Z57&amp;AA57=AA$5&amp;Y$5&amp;Z$5,Y57&amp;Z57&amp;AA57=AA$5&amp;Z$5&amp;Y$5),2,0),IF(AND(Y57=Y$5,Z$6&gt;=$D$129),1,0),IF(AND(Z57=Y$5,Z$6&gt;=$D$129),1,0),IF(AND(AA57=Y$5,Z$6&gt;=$D$129),1,0),IF(Y57&amp;AB57=AB$5,4,0),IF(AND(Y57=Y$5,Z$6&lt;=$D$104),-0.5,0),IF(AND(Z57=Y$5,Z$6&lt;=$D$104),-0.5,0),IF(AND(AA57=Y$5,Z$6&lt;=$D$104),-0.5,0))</f>
        <v/>
      </c>
      <c r="AD57" s="416" t="n"/>
      <c r="AE57" s="418" t="n"/>
      <c r="AF57" s="418" t="n"/>
      <c r="AG57" s="418" t="n"/>
      <c r="AH57" s="602">
        <f>SUM(IF(AD57=AD$5,4,0),IF(AD57&amp;AE57=AD$5&amp;AE$5,1,0),
IF(AND(AD57=AD$5,AE$6&gt;=$D$115),1,0),
IF(AND(AE57=AD$5,AE$6&gt;=$D$115),1,0),
IF(AND(AF57=AD$5,AE$6&gt;=$D$115),1,0),
IF(AD57&amp;AG57=AH$5,1,0),
IF(AE57=AD$5,2,0),
IF(AF57=AD$5,1,0),
IF(OR(AD57&amp;AE57&amp;AF57=AD$5&amp;AE$5&amp;AF$5,AD57&amp;AE57&amp;AF57=AD$5&amp;AF$5&amp;AE$5,AD57&amp;AE57&amp;AF57=AE$5&amp;AD$5&amp;AF$5,AD57&amp;AE57&amp;AF57=AE$5&amp;AF$5&amp;AD$5,AD57&amp;AE57&amp;AF57=AF$5&amp;AD$5&amp;AE$5,AD57&amp;AE57&amp;AF57=AF$5&amp;AE$5&amp;AD$5),2,0),IF(AND(AD57=AD$5,AE$6&gt;=$D$129),1,0),IF(AND(AE57=AD$5,AE$6&gt;=$D$129),1,0),IF(AND(AF57=AD$5,AE$6&gt;=$D$129),1,0),IF(AD57&amp;AG57=AG$5,4,0),IF(AND(AD57=AD$5,AE$6&lt;=$D$104),-0.5,0),IF(AND(AE57=AD$5,AE$6&lt;=$D$104),-0.5,0),IF(AND(AF57=AD$5,AE$6&lt;=$D$104),-0.5,0))</f>
        <v/>
      </c>
      <c r="AI57" s="416" t="n"/>
      <c r="AJ57" s="418" t="n"/>
      <c r="AK57" s="418" t="n"/>
      <c r="AL57" s="418" t="n"/>
      <c r="AM57" s="602">
        <f>SUM(IF(AI57=AI$5,4,0),IF(AI57&amp;AJ57=AI$5&amp;AJ$5,1,0),
IF(AND(AI57=AI$5,AJ$6&gt;=$D$115),1,0),
IF(AND(AJ57=AI$5,AJ$6&gt;=$D$115),1,0),
IF(AND(AK57=AI$5,AJ$6&gt;=$D$115),1,0),
IF(AI57&amp;AL57=AM$5,1,0),
IF(AJ57=AI$5,2,0),
IF(AK57=AI$5,1,0),
IF(OR(AI57&amp;AJ57&amp;AK57=AI$5&amp;AJ$5&amp;AK$5,AI57&amp;AJ57&amp;AK57=AI$5&amp;AK$5&amp;AJ$5,AI57&amp;AJ57&amp;AK57=AJ$5&amp;AI$5&amp;AK$5,AI57&amp;AJ57&amp;AK57=AJ$5&amp;AK$5&amp;AI$5,AI57&amp;AJ57&amp;AK57=AK$5&amp;AI$5&amp;AJ$5,AI57&amp;AJ57&amp;AK57=AK$5&amp;AJ$5&amp;AI$5),2,0),IF(AND(AI57=AI$5,AJ$6&gt;=$D$129),1,0),IF(AND(AJ57=AI$5,AJ$6&gt;=$D$129),1,0),IF(AND(AK57=AI$5,AJ$6&gt;=$D$129),1,0),IF(AI57&amp;AL57=AL$5,4,0),IF(AND(AI57=AI$5,AJ$6&lt;=$D$104),-0.5,0),IF(AND(AJ57=AI$5,AJ$6&lt;=$D$104),-0.5,0),IF(AND(AK57=AI$5,AJ$6&lt;=$D$104),-0.5,0))</f>
        <v/>
      </c>
      <c r="AN57" s="416" t="n"/>
      <c r="AO57" s="418" t="n"/>
      <c r="AP57" s="418" t="n"/>
      <c r="AQ57" s="418" t="n"/>
      <c r="AR57" s="602">
        <f>SUM(IF(AN57=AN$5,4,0),IF(AN57&amp;AO57=AN$5&amp;AO$5,1,0),
IF(AND(AN57=AN$5,AO$6&gt;=$D$115),1,0),
IF(AND(AO57=AN$5,AO$6&gt;=$D$115),1,0),
IF(AND(AP57=AN$5,AO$6&gt;=$D$115),1,0),
IF(AN57&amp;AQ57=AR$5,1,0),
IF(AO57=AN$5,2,0),
IF(AP57=AN$5,1,0),
IF(OR(AN57&amp;AO57&amp;AP57=AN$5&amp;AO$5&amp;AP$5,AN57&amp;AO57&amp;AP57=AN$5&amp;AP$5&amp;AO$5,AN57&amp;AO57&amp;AP57=AO$5&amp;AN$5&amp;AP$5,AN57&amp;AO57&amp;AP57=AO$5&amp;AP$5&amp;AN$5,AN57&amp;AO57&amp;AP57=AP$5&amp;AN$5&amp;AO$5,AN57&amp;AO57&amp;AP57=AP$5&amp;AO$5&amp;AN$5),2,0),IF(AND(AN57=AN$5,AO$6&gt;=$D$129),1,0),IF(AND(AO57=AN$5,AO$6&gt;=$D$129),1,0),IF(AND(AP57=AN$5,AO$6&gt;=$D$129),1,0),IF(AN57&amp;AQ57=AQ$5,4,0),IF(AND(AN57=AN$5,AO$6&lt;=$D$104),-0.5,0),IF(AND(AO57=AN$5,AO$6&lt;=$D$104),-0.5,0),IF(AND(AP57=AN$5,AO$6&lt;=$D$104),-0.5,0))</f>
        <v/>
      </c>
      <c r="AS57" s="416" t="n"/>
      <c r="AT57" s="418" t="n"/>
      <c r="AU57" s="418" t="n"/>
      <c r="AV57" s="418" t="n"/>
      <c r="AW57" s="602">
        <f>SUM(IF(AS57=AS$5,4,0),IF(AS57&amp;AT57=AS$5&amp;AT$5,1,0),
IF(AND(AS57=AS$5,AT$6&gt;=$D$115),1,0),
IF(AND(AT57=AS$5,AT$6&gt;=$D$115),1,0),
IF(AND(AU57=AS$5,AT$6&gt;=$D$115),1,0),
IF(AS57&amp;AV57=AW$5,1,0),
IF(AT57=AS$5,2,0),
IF(AU57=AS$5,1,0),
IF(OR(AS57&amp;AT57&amp;AU57=AS$5&amp;AT$5&amp;AU$5,AS57&amp;AT57&amp;AU57=AS$5&amp;AU$5&amp;AT$5,AS57&amp;AT57&amp;AU57=AT$5&amp;AS$5&amp;AU$5,AS57&amp;AT57&amp;AU57=AT$5&amp;AU$5&amp;AS$5,AS57&amp;AT57&amp;AU57=AU$5&amp;AS$5&amp;AT$5,AS57&amp;AT57&amp;AU57=AU$5&amp;AT$5&amp;AS$5),2,0),IF(AND(AS57=AS$5,AT$6&gt;=$D$129),1,0),IF(AND(AT57=AS$5,AT$6&gt;=$D$129),1,0),IF(AND(AU57=AS$5,AT$6&gt;=$D$129),1,0),IF(AS57&amp;AV57=AV$5,4,0),IF(AND(AS57=AS$5,AT$6&lt;=$D$104),-0.5,0),IF(AND(AT57=AS$5,AT$6&lt;=$D$104),-0.5,0),IF(AND(AU57=AS$5,AT$6&lt;=$D$104),-0.5,0))</f>
        <v/>
      </c>
      <c r="AX57" s="416" t="n"/>
      <c r="AY57" s="418" t="n"/>
      <c r="AZ57" s="418" t="n"/>
      <c r="BA57" s="418" t="n"/>
      <c r="BB57" s="602">
        <f>SUM(IF(AX57=AX$5,4,0),IF(AX57&amp;AY57=AX$5&amp;AY$5,1,0),
IF(AND(AX57=AX$5,AY$6&gt;=$D$115),1,0),
IF(AND(AY57=AX$5,AY$6&gt;=$D$115),1,0),
IF(AND(AZ57=AX$5,AY$6&gt;=$D$115),1,0),
IF(AX57&amp;BA57=BB$5,1,0),
IF(AY57=AX$5,2,0),
IF(AZ57=AX$5,1,0),
IF(OR(AX57&amp;AY57&amp;AZ57=AX$5&amp;AY$5&amp;AZ$5,AX57&amp;AY57&amp;AZ57=AX$5&amp;AZ$5&amp;AY$5,AX57&amp;AY57&amp;AZ57=AY$5&amp;AX$5&amp;AZ$5,AX57&amp;AY57&amp;AZ57=AY$5&amp;AZ$5&amp;AX$5,AX57&amp;AY57&amp;AZ57=AZ$5&amp;AX$5&amp;AY$5,AX57&amp;AY57&amp;AZ57=AZ$5&amp;AY$5&amp;AX$5),2,0),IF(AND(AX57=AX$5,AY$6&gt;=$D$129),1,0),IF(AND(AY57=AX$5,AY$6&gt;=$D$129),1,0),IF(AND(AZ57=AX$5,AY$6&gt;=$D$129),1,0),IF(AX57&amp;BA57=BA$5,4,0),IF(AND(AX57=AX$5,AY$6&lt;=$D$104),-0.5,0),IF(AND(AY57=AX$5,AY$6&lt;=$D$104),-0.5,0),IF(AND(AZ57=AX$5,AY$6&lt;=$D$104),-0.5,0))</f>
        <v/>
      </c>
      <c r="BC57" s="416" t="n"/>
      <c r="BD57" s="418" t="n"/>
      <c r="BE57" s="418" t="n"/>
      <c r="BF57" s="418" t="n"/>
      <c r="BG57" s="602">
        <f>SUM(IF(BC57=BC$5,4,0),IF(BC57&amp;BD57=BC$5&amp;BD$5,1,0),
IF(AND(BC57=BC$5,BD$6&gt;=$D$115),1,0),
IF(AND(BD57=BC$5,BD$6&gt;=$D$115),1,0),
IF(AND(BE57=BC$5,BD$6&gt;=$D$115),1,0),
IF(BC57&amp;BF57=BG$5,1,0),
IF(BD57=BC$5,2,0),
IF(BE57=BC$5,1,0),
IF(OR(BC57&amp;BD57&amp;BE57=BC$5&amp;BD$5&amp;BE$5,BC57&amp;BD57&amp;BE57=BC$5&amp;BE$5&amp;BD$5,BC57&amp;BD57&amp;BE57=BD$5&amp;BC$5&amp;BE$5,BC57&amp;BD57&amp;BE57=BD$5&amp;BE$5&amp;BC$5,BC57&amp;BD57&amp;BE57=BE$5&amp;BC$5&amp;BD$5,BC57&amp;BD57&amp;BE57=BE$5&amp;BD$5&amp;BC$5),2,0),IF(AND(BC57=BC$5,BD$6&gt;=$D$129),1,0),IF(AND(BD57=BC$5,BD$6&gt;=$D$129),1,0),IF(AND(BE57=BC$5,BD$6&gt;=$D$129),1,0),IF(BC57&amp;BF57=BF$5,4,0),IF(AND(BC57=BC$5,BD$6&lt;=$D$104),-0.5,0),IF(AND(BD57=BC$5,BD$6&lt;=$D$104),-0.5,0),IF(AND(BE57=BC$5,BD$6&lt;=$D$104),-0.5,0))</f>
        <v/>
      </c>
      <c r="BH57" s="416" t="n"/>
      <c r="BI57" s="418" t="n"/>
      <c r="BJ57" s="418" t="n"/>
      <c r="BK57" s="418" t="n"/>
      <c r="BL57" s="602">
        <f>SUM(IF(BH57=BH$5,4,0),IF(BH57&amp;BI57=BH$5&amp;BI$5,1,0),
IF(AND(BH57=BH$5,BI$6&gt;=$D$115),1,0),
IF(AND(BI57=BH$5,BI$6&gt;=$D$115),1,0),
IF(AND(BJ57=BH$5,BI$6&gt;=$D$115),1,0),
IF(BH57&amp;BK57=BL$5,1,0),
IF(BI57=BH$5,2,0),
IF(BJ57=BH$5,1,0),
IF(OR(BH57&amp;BI57&amp;BJ57=BH$5&amp;BI$5&amp;BJ$5,BH57&amp;BI57&amp;BJ57=BH$5&amp;BJ$5&amp;BI$5,BH57&amp;BI57&amp;BJ57=BI$5&amp;BH$5&amp;BJ$5,BH57&amp;BI57&amp;BJ57=BI$5&amp;BJ$5&amp;BH$5,BH57&amp;BI57&amp;BJ57=BJ$5&amp;BH$5&amp;BI$5,BH57&amp;BI57&amp;BJ57=BJ$5&amp;BI$5&amp;BH$5),2,0),IF(AND(BH57=BH$5,BI$6&gt;=$D$129),1,0),IF(AND(BI57=BH$5,BI$6&gt;=$D$129),1,0),IF(AND(BJ57=BH$5,BI$6&gt;=$D$129),1,0),IF(BH57&amp;BK57=BK$5,4,0),IF(AND(BH57=BH$5,BI$6&lt;=$D$104),-0.5,0),IF(AND(BI57=BH$5,BI$6&lt;=$D$104),-0.5,0),IF(AND(BJ57=BH$5,BI$6&lt;=$D$104),-0.5,0))</f>
        <v/>
      </c>
      <c r="BM57" s="416" t="n"/>
      <c r="BN57" s="418" t="n"/>
      <c r="BO57" s="418" t="n"/>
      <c r="BP57" s="418" t="n"/>
      <c r="BQ57" s="602">
        <f>SUM(IF(BM57=BM$5,4,0),IF(BM57&amp;BN57=BM$5&amp;BN$5,1,0),
IF(AND(BM57=BM$5,BN$6&gt;=$D$115),1,0),
IF(AND(BN57=BM$5,BN$6&gt;=$D$115),1,0),
IF(AND(BO57=BM$5,BN$6&gt;=$D$115),1,0),
IF(BM57&amp;BP57=BQ$5,1,0),
IF(BN57=BM$5,2,0),
IF(BO57=BM$5,1,0),
IF(OR(BM57&amp;BN57&amp;BO57=BM$5&amp;BN$5&amp;BO$5,BM57&amp;BN57&amp;BO57=BM$5&amp;BO$5&amp;BN$5,BM57&amp;BN57&amp;BO57=BN$5&amp;BM$5&amp;BO$5,BM57&amp;BN57&amp;BO57=BN$5&amp;BO$5&amp;BM$5,BM57&amp;BN57&amp;BO57=BO$5&amp;BM$5&amp;BN$5,BM57&amp;BN57&amp;BO57=BO$5&amp;BN$5&amp;BM$5),2,0),IF(AND(BM57=BM$5,BN$6&gt;=$D$129),1,0),IF(AND(BN57=BM$5,BN$6&gt;=$D$129),1,0),IF(AND(BO57=BM$5,BN$6&gt;=$D$129),1,0),IF(BM57&amp;BP57=BP$5,4,0),IF(AND(BM57=BM$5,BN$6&lt;=$D$104),-0.5,0),IF(AND(BN57=BM$5,BN$6&lt;=$D$104),-0.5,0),IF(AND(BO57=BM$5,BN$6&lt;=$D$104),-0.5,0))</f>
        <v/>
      </c>
      <c r="BR57" s="416" t="n"/>
      <c r="BS57" s="418" t="n"/>
      <c r="BT57" s="418" t="n"/>
      <c r="BU57" s="418" t="n"/>
      <c r="BV57" s="602">
        <f>SUM(IF(BR57=BR$5,4,0),IF(BR57&amp;BS57=BR$5&amp;BS$5,1,0),
IF(AND(BR57=BR$5,BS$6&gt;=$D$115),1,0),
IF(AND(BS57=BR$5,BS$6&gt;=$D$115),1,0),
IF(AND(BT57=BR$5,BS$6&gt;=$D$115),1,0),
IF(BR57&amp;BU57=BV$5,1,0),
IF(BS57=BR$5,2,0),
IF(BT57=BR$5,1,0),
IF(OR(BR57&amp;BS57&amp;BT57=BR$5&amp;BS$5&amp;BT$5,BR57&amp;BS57&amp;BT57=BR$5&amp;BT$5&amp;BS$5,BR57&amp;BS57&amp;BT57=BS$5&amp;BR$5&amp;BT$5,BR57&amp;BS57&amp;BT57=BS$5&amp;BT$5&amp;BR$5,BR57&amp;BS57&amp;BT57=BT$5&amp;BR$5&amp;BS$5,BR57&amp;BS57&amp;BT57=BT$5&amp;BS$5&amp;BR$5),2,0),IF(AND(BR57=BR$5,BS$6&gt;=$D$129),1,0),IF(AND(BS57=BR$5,BS$6&gt;=$D$129),1,0),IF(AND(BT57=BR$5,BS$6&gt;=$D$129),1,0),IF(BR57&amp;BU57=BU$5,4,0),IF(AND(BR57=BR$5,BS$6&lt;=$D$104),-0.5,0),IF(AND(BS57=BR$5,BS$6&lt;=$D$104),-0.5,0),IF(AND(BT57=BR$5,BS$6&lt;=$D$104),-0.5,0))</f>
        <v/>
      </c>
      <c r="BW57" s="416" t="n"/>
      <c r="BX57" s="418" t="n"/>
      <c r="BY57" s="418" t="n"/>
      <c r="BZ57" s="418" t="n"/>
      <c r="CA57" s="602">
        <f>SUM(IF(BW57=BW$5,4,0),IF(BW57&amp;BX57=BW$5&amp;BX$5,1,0),
IF(AND(BW57=BW$5,BX$6&gt;=$D$115),1,0),
IF(AND(BX57=BW$5,BX$6&gt;=$D$115),1,0),
IF(AND(BY57=BW$5,BX$6&gt;=$D$115),1,0),
IF(BW57&amp;BZ57=CA$5,1,0),
IF(BX57=BW$5,2,0),
IF(BY57=BW$5,1,0),
IF(OR(BW57&amp;BX57&amp;BY57=BW$5&amp;BX$5&amp;BY$5,BW57&amp;BX57&amp;BY57=BW$5&amp;BY$5&amp;BX$5,BW57&amp;BX57&amp;BY57=BX$5&amp;BW$5&amp;BY$5,BW57&amp;BX57&amp;BY57=BX$5&amp;BY$5&amp;BW$5,BW57&amp;BX57&amp;BY57=BY$5&amp;BW$5&amp;BX$5,BW57&amp;BX57&amp;BY57=BY$5&amp;BX$5&amp;BW$5),2,0),IF(AND(BW57=BW$5,BX$6&gt;=$D$129),1,0),IF(AND(BX57=BW$5,BX$6&gt;=$D$129),1,0),IF(AND(BY57=BW$5,BX$6&gt;=$D$129),1,0),IF(BW57&amp;BZ57=BZ$5,4,0),IF(AND(BW57=BW$5,BX$6&lt;=$D$104),-0.5,0),IF(AND(BX57=BW$5,BX$6&lt;=$D$104),-0.5,0),IF(AND(BY57=BW$5,BX$6&lt;=$D$104),-0.5,0))</f>
        <v/>
      </c>
      <c r="CB57" s="416" t="n"/>
      <c r="CC57" s="418" t="n"/>
      <c r="CD57" s="418" t="n"/>
      <c r="CE57" s="418" t="n"/>
      <c r="CF57" s="602">
        <f>SUM(IF(CB57=CB$5,4,0),IF(CB57&amp;CC57=CB$5&amp;CC$5,1,0),
IF(AND(CB57=CB$5,CC$6&gt;=$D$115),1,0),
IF(AND(CC57=CB$5,CC$6&gt;=$D$115),1,0),
IF(AND(CD57=CB$5,CC$6&gt;=$D$115),1,0),
IF(CB57&amp;CE57=CF$5,1,0),
IF(CC57=CB$5,2,0),
IF(CD57=CB$5,1,0),
IF(OR(CB57&amp;CC57&amp;CD57=CB$5&amp;CC$5&amp;CD$5,CB57&amp;CC57&amp;CD57=CB$5&amp;CD$5&amp;CC$5,CB57&amp;CC57&amp;CD57=CC$5&amp;CB$5&amp;CD$5,CB57&amp;CC57&amp;CD57=CC$5&amp;CD$5&amp;CB$5,CB57&amp;CC57&amp;CD57=CD$5&amp;CB$5&amp;CC$5,CB57&amp;CC57&amp;CD57=CD$5&amp;CC$5&amp;CB$5),2,0),IF(AND(CB57=CB$5,CC$6&gt;=$D$129),1,0),IF(AND(CC57=CB$5,CC$6&gt;=$D$129),1,0),IF(AND(CD57=CB$5,CC$6&gt;=$D$129),1,0),IF(CB57&amp;CE57=CE$5,4,0),IF(AND(CB57=CB$5,CC$6&lt;=$D$104),-0.5,0),IF(AND(CC57=CB$5,CC$6&lt;=$D$104),-0.5,0),IF(AND(CD57=CB$5,CC$6&lt;=$D$104),-0.5,0))</f>
        <v/>
      </c>
      <c r="CG57" s="164">
        <f>IF(SEMANA2[[#This Row],[1]]="",0,$B$4)</f>
        <v/>
      </c>
      <c r="CH57" s="165">
        <f>COUNTIF(SEMANA2[[#This Row],[1]],$E$5)+COUNTIF(SEMANA2[[#This Row],[12]],$J$5)+COUNTIF(SEMANA2[[#This Row],[Columna4]],$O$5)+COUNTIF(SEMANA2[[#This Row],[Columna7]],$T$5)+COUNTIF(SEMANA2[[#This Row],[Columna10]],$Y$5)+COUNTIF(SEMANA2[[#This Row],[1RA]],$AD$5)+COUNTIF(SEMANA2[[#This Row],[Columna16]],$AI$5)+COUNTIF(SEMANA2[[#This Row],[123]],$AN$5)+COUNTIF(SEMANA2[[#This Row],[AAAA]],$AS$5)+COUNTIF(SEMANA2[[#This Row],[Columna25]],$AX$5)+COUNTIF(SEMANA2[[#This Row],[Columna272]],$BC$5)+COUNTIF(SEMANA2[[#This Row],[Columna276]],$BH$5)+COUNTIF(SEMANA2[[#This Row],[Columna280]],$BM$5)+COUNTIF(SEMANA2[[#This Row],[Columna2802]],$BR$5)+COUNTIF(SEMANA2[[#This Row],[Columna2803]],$BW$5)+COUNTIF(SEMANA2[[#This Row],[Columna2804]],$CB$5)</f>
        <v/>
      </c>
      <c r="CI57" s="189">
        <f>IF(SEMANA2[[#This Row],[Columna14]]=0,0,(CH57/CG57))</f>
        <v/>
      </c>
      <c r="CJ57" s="165">
        <f>IF(SEMANA2[[#This Row],[1]]="",0,$B$4)</f>
        <v/>
      </c>
      <c r="CK57" s="190">
        <f>COUNTIF(SEMANA2[[#This Row],[1]]:SEMANA2[[#This Row],[2]],$E$5)+COUNTIF(SEMANA2[[#This Row],[12]]:SEMANA2[[#This Row],[Columna2]],$J$5)+COUNTIF(SEMANA2[[#This Row],[Columna4]]:SEMANA2[[#This Row],[Columna5]],$O$5)+COUNTIF(SEMANA2[[#This Row],[Columna7]]:SEMANA2[[#This Row],[Columna8]],$T$5)+COUNTIF(SEMANA2[[#This Row],[Columna10]]:SEMANA2[[#This Row],[Columna11]],$Y$5)+COUNTIF(SEMANA2[[#This Row],[1RA]]:SEMANA2[[#This Row],[2DA]],$AD$5)+COUNTIF(SEMANA2[[#This Row],[Columna16]:[Columna17]],$AI$5)+COUNTIF(SEMANA2[[#This Row],[123]:[555]],$AN$5)+COUNTIF(SEMANA2[[#This Row],[AAAA]]:SEMANA2[[#This Row],[BBBB]],$AS$5)+COUNTIF(SEMANA2[[#This Row],[Columna25]]:SEMANA2[[#This Row],[Columna26]],$AX$5)+COUNTIF(SEMANA2[[#This Row],[Columna272]]:SEMANA2[[#This Row],[Columna273]],$BC$5)+COUNTIF(SEMANA2[[#This Row],[Columna276]]:SEMANA2[[#This Row],[Columna277]],$BH$5)+COUNTIF(SEMANA2[[#This Row],[Columna280]]:SEMANA2[[#This Row],[Columna281]],$BM$5)+COUNTIF(SEMANA2[[#This Row],[Columna2802]]:SEMANA2[[#This Row],[Columna2813]],$BR$5)+COUNTIF(SEMANA2[[#This Row],[Columna2803]:[Columna2814]],$BW$5)+COUNTIF(SEMANA2[[#This Row],[Columna2804]:[Columna2815]],$CB$5)</f>
        <v/>
      </c>
      <c r="CL57" s="189">
        <f>IF(SEMANA2[[#This Row],[Columna14]]=0,0,(CK57/CJ57))</f>
        <v/>
      </c>
      <c r="CM57" s="164">
        <f>IF(SEMANA2[[#This Row],[1]]="",0,$B$4)</f>
        <v/>
      </c>
      <c r="CN57" s="190">
        <f>COUNTIF(SEMANA2[[#This Row],[1]:[22]],$E$5)+COUNTIF(SEMANA2[[#This Row],[12]:[Columna23]],$J$5)+COUNTIF(SEMANA2[[#This Row],[Columna4]:[Columna53]],$O$5)+COUNTIF(SEMANA2[[#This Row],[Columna7]:[Columna83]],$T$5)+COUNTIF(SEMANA2[[#This Row],[Columna10]:[Columna113]],$Y$5)+COUNTIF(SEMANA2[[#This Row],[1RA]:[2DA2]],$AD$5)+COUNTIF(SEMANA2[[#This Row],[Columna16]:[Columna173]],$AI$5)+COUNTIF(SEMANA2[[#This Row],[123]:[556]],$AN$5)+COUNTIF(SEMANA2[[#This Row],[AAAA]:[Columna13]],$AS$5)+COUNTIF(SEMANA2[[#This Row],[Columna25]:[Columna263]],$AX$5)+COUNTIF(SEMANA2[[#This Row],[Columna272]:[Columna2732]],$BC$5)+COUNTIF(SEMANA2[[#This Row],[Columna276]:[Columna2772]],$BH$5)+COUNTIF(SEMANA2[[#This Row],[Columna280]:[Columna2812]],$BM$5)+COUNTIF(SEMANA2[[#This Row],[Columna2802]:[Columna28124]],$BR$5)+COUNTIF(SEMANA2[[#This Row],[Columna2803]:[Columna28125]],$BW$5)+COUNTIF(SEMANA2[[#This Row],[Columna2804]:[Columna28126]],$CB$5)</f>
        <v/>
      </c>
      <c r="CO57" s="189">
        <f>IF(SEMANA2[[#This Row],[Columna14]]=0,0,(CN57/CM57))</f>
        <v/>
      </c>
      <c r="CP57" s="165">
        <f>SUM(
  (AND(OR(SEMANA2[[#This Row],[3]]="F", SEMANA2[[#This Row],[3]]="SF"), F$6&lt;&gt;"")),
  (AND(OR(SEMANA2[[#This Row],[Columna28]]="F", SEMANA2[[#This Row],[Columna28]]="SF"), K$6&lt;&gt;"")),
  (AND(OR(SEMANA2[[#This Row],[Columna52]]="F", SEMANA2[[#This Row],[Columna52]]="SF"), P$6&lt;&gt;"")),
  (AND(OR(SEMANA2[[#This Row],[Columna82]]="F", SEMANA2[[#This Row],[Columna82]]="SF"), U$6&lt;&gt;"")),
  (AND(OR(SEMANA2[[#This Row],[Columna112]]="F", SEMANA2[[#This Row],[Columna112]]="SF"), Z$6&lt;&gt;"")),
  (AND(OR(SEMANA2[[#This Row],[3RA]]="F", SEMANA2[[#This Row],[3RA]]="SF"), AE$6&lt;&gt;"")),
  (AND(OR(SEMANA2[[#This Row],[Columna172]]="F",SEMANA2[[#This Row],[Columna172]]="SF"), AJ$6&lt;&gt;"")),
  (AND(OR(SEMANA2[[#This Row],[111]]="F", SEMANA2[[#This Row],[111]]="SF"), AO$6&lt;&gt;"")),
  (AND(OR(SEMANA2[[#This Row],[CCCC]]="F", SEMANA2[[#This Row],[CCCC]]="SF"), AT$6&lt;&gt;"")),
  (AND(OR(SEMANA2[[#This Row],[Columna262]]="F",SEMANA2[[#This Row],[Columna262]]="SF"), AY$6&lt;&gt;"")),
  (AND(OR(SEMANA2[[#This Row],[Columna274]]="F", SEMANA2[[#This Row],[Columna274]]="SF"), BD$6&lt;&gt;"")), (AND(OR(SEMANA2[[#This Row],[Columna278]]="F", SEMANA2[[#This Row],[Columna278]]="SF"), BI$6&lt;&gt;"")),
  (AND(OR(SEMANA2[[#This Row],[Columna282]]="F", SEMANA2[[#This Row],[Columna282]]="SF"), BN$6&lt;&gt;"")),
  (AND(OR(SEMANA2[[#This Row],[Columna2825]]="F", SEMANA2[[#This Row],[Columna2825]]="SF"), BS$6&lt;&gt;"")),
  (AND(OR(SEMANA2[[#This Row],[Columna2826]]="F", SEMANA2[[#This Row],[Columna2826]]="SF"), BX$6&lt;&gt;"")),
  (AND(OR(SEMANA2[[#This Row],[Columna2827]]="F", SEMANA2[[#This Row],[Columna2827]]="SF"), CC$6&lt;&gt;""))
)</f>
        <v/>
      </c>
      <c r="CQ57" s="190">
        <f>COUNTIFS(SEMANA2[[#This Row],[1]],$E$5,SEMANA2[[#This Row],[3]],"F")+COUNTIFS(SEMANA2[[#This Row],[12]],$J$5,SEMANA2[[#This Row],[Columna28]],"F")+COUNTIFS(SEMANA2[[#This Row],[Columna4]],$O$5,SEMANA2[[#This Row],[Columna52]],"F")+COUNTIFS(SEMANA2[[#This Row],[Columna7]],$T$5,SEMANA2[[#This Row],[Columna82]],"F")+COUNTIFS(SEMANA2[[#This Row],[Columna10]],$Y$5,SEMANA2[[#This Row],[Columna112]],"F")+COUNTIFS(SEMANA2[[#This Row],[1RA]],$AD$5,SEMANA2[[#This Row],[3RA]],"F")+COUNTIFS(SEMANA2[[#This Row],[Columna16]],$AI$5,SEMANA2[[#This Row],[Columna172]],"F")+COUNTIFS(SEMANA2[[#This Row],[123]],$AN$5,SEMANA2[[#This Row],[111]],"F")+COUNTIFS(SEMANA2[[#This Row],[AAAA]],$AS$5,SEMANA2[[#This Row],[CCCC]],"F")+COUNTIFS(SEMANA2[[#This Row],[Columna25]],$AX$5,SEMANA2[[#This Row],[Columna262]],"F")+COUNTIFS(SEMANA2[[#This Row],[Columna272]],$BC$5,SEMANA2[[#This Row],[Columna274]],"F")+COUNTIFS(SEMANA2[[#This Row],[Columna276]],$BH$5,SEMANA2[[#This Row],[Columna278]],"F")+COUNTIFS(SEMANA2[[#This Row],[Columna280]],$BM$5,SEMANA2[[#This Row],[Columna282]],"F")+COUNTIFS(SEMANA2[[#This Row],[1]],$E$5,SEMANA2[[#This Row],[3]],"SF")+COUNTIFS(SEMANA2[[#This Row],[12]],$J$5,SEMANA2[[#This Row],[Columna28]],"SF")+COUNTIFS(SEMANA2[[#This Row],[Columna4]],$O$5,SEMANA2[[#This Row],[Columna52]],"SF")+COUNTIFS(SEMANA2[[#This Row],[Columna7]],$T$5,SEMANA2[[#This Row],[Columna82]],"SF")+COUNTIFS(SEMANA2[[#This Row],[Columna10]],$Y$5,SEMANA2[[#This Row],[Columna112]],"SF")+COUNTIFS(SEMANA2[[#This Row],[1RA]],$AD$5,SEMANA2[[#This Row],[3RA]],"SF")+COUNTIFS(SEMANA2[[#This Row],[Columna16]],$AI$5,SEMANA2[[#This Row],[Columna172]],"SF")+COUNTIFS(SEMANA2[[#This Row],[123]],$AN$5,SEMANA2[[#This Row],[111]],"SF")+COUNTIFS(SEMANA2[[#This Row],[AAAA]],$AS$5,SEMANA2[[#This Row],[CCCC]],"SF")+COUNTIFS(SEMANA2[[#This Row],[Columna25]],$AX$5,BA57,"SF")+COUNTIFS(SEMANA2[[#This Row],[Columna272]],$BC$5,SEMANA2[[#This Row],[Columna274]],"SF")+COUNTIFS(SEMANA2[[#This Row],[Columna276]],$BH$5,SEMANA2[[#This Row],[Columna278]],"SF")+COUNTIFS(SEMANA2[[#This Row],[Columna280]],$BM$5,SEMANA2[[#This Row],[Columna282]],"SF")</f>
        <v/>
      </c>
      <c r="CR57" s="189">
        <f>IFERROR(IF(SEMANA2[[#This Row],[Columna14]]=0,0,(CQ57/CP57)),0)</f>
        <v/>
      </c>
      <c r="CS57" s="607">
        <f>SUM(SEMANA2[[#This Row],[PTS]],SEMANA2[[#This Row],[Columna3]],SEMANA2[[#This Row],[Columna6]],SEMANA2[[#This Row],[Columna9]],SEMANA2[[#This Row],[Columna12]],SEMANA2[[#This Row],[Columna15]],SEMANA2[[#This Row],[Columna18]],SEMANA2[[#This Row],[Columna21]],SEMANA2[[#This Row],[Columna24]],SEMANA2[[#This Row],[Columna27]],SEMANA2[[#This Row],[Columna275]],SEMANA2[[#This Row],[Columna279]],SEMANA2[[#This Row],[Columna283]],SEMANA2[[#This Row],[Columna28310]],SEMANA2[[#This Row],[Columna2837]],SEMANA2[[#This Row],[Columna2838]])</f>
        <v/>
      </c>
      <c r="CT57" s="95">
        <f>_xlfn.XLOOKUP(SEMANA2[[#This Row],[COD]],BASE01[COD],BASE01[Columna33])</f>
        <v/>
      </c>
      <c r="CU57" s="604">
        <f>SUM(CS57,CT57)</f>
        <v/>
      </c>
      <c r="CV57" s="450">
        <f>IF(SEMANA2[[#This Row],[TIPO]]="PREMIO",$O$3,"0,00")</f>
        <v/>
      </c>
      <c r="CW57" s="576" t="n"/>
      <c r="CY57" s="392">
        <f>IF(CZ57="","",$CZ$25)</f>
        <v/>
      </c>
      <c r="CZ57" s="392" t="n"/>
      <c r="DA57" s="392">
        <f t="array" ref="DA57">IF(CZ57="", "", IF((INDEX(E$8:CE$57, MATCH(CZ57, C$8:C$57, 0), ($CZ$25-1)*5 + 1) &amp; "") = (INDEX(E$5:CE$5, 1, ($CZ$25-1)*5 + 1) &amp; ""), 1, IF((INDEX(E$8:CE$57, MATCH(CZ57, C$8:C$57, 0), ($CZ$25-1)*5 + 2) &amp; "") = (INDEX(E$5:CE$5, 1, ($CZ$25-1)*5 + 1) &amp; ""), 2, IF((INDEX(E$8:CE$57, MATCH(CZ57, C$8:C$57, 0), ($CZ$25-1)*5 + 3) &amp; "") = (INDEX(E$5:CE$5, 1, ($CZ$25-1)*5 + 1) &amp; ""), 3, ""))))</f>
        <v/>
      </c>
      <c r="DB57" s="605">
        <f>SEMANA2[[#This Row],[COD]]</f>
        <v/>
      </c>
      <c r="DC57" s="395">
        <f t="array" ref="DC57">IFERROR(IF(AND(INDEX($E$8:$CE$57, MATCH($C57, $C$8:$C$57, 0), (COLUMNS($DC57:DC57)-1)*5 + 1) = INDEX($E$5:$CE$5, 1, (COLUMNS($DC57:DC57)-1)*5 + 1), INDEX($E$8:$CE$57, MATCH($C57, $C$8:$C$57, 0), (COLUMNS($DC57:DC57)-1)*5 + 4) = "F"), INDEX($CZ$8:$CZ$23, COLUMNS($DC57:DC57)), "0"), "")</f>
        <v/>
      </c>
      <c r="DD57" s="395">
        <f t="array" ref="DD57">IFERROR(IF(AND(INDEX($E$8:$CE$57, MATCH($C57, $C$8:$C$57, 0), (COLUMNS($DC57:DD57)-1)*5 + 1) = INDEX($E$5:$CE$5, 1, (COLUMNS($DC57:DD57)-1)*5 + 1), INDEX($E$8:$CE$57, MATCH($C57, $C$8:$C$57, 0), (COLUMNS($DC57:DD57)-1)*5 + 4) = "F"), INDEX($CZ$8:$CZ$23, COLUMNS($DC57:DD57)), "0"), "")</f>
        <v/>
      </c>
      <c r="DE57" s="395">
        <f t="array" ref="DE57">IFERROR(IF(AND(INDEX($E$8:$CE$57, MATCH($C57, $C$8:$C$57, 0), (COLUMNS($DC57:DE57)-1)*5 + 1) = INDEX($E$5:$CE$5, 1, (COLUMNS($DC57:DE57)-1)*5 + 1), INDEX($E$8:$CE$57, MATCH($C57, $C$8:$C$57, 0), (COLUMNS($DC57:DE57)-1)*5 + 4) = "F"), INDEX($CZ$8:$CZ$23, COLUMNS($DC57:DE57)), "0"), "")</f>
        <v/>
      </c>
      <c r="DF57" s="395">
        <f t="array" ref="DF57">IFERROR(IF(AND(INDEX($E$8:$CE$57, MATCH($C57, $C$8:$C$57, 0), (COLUMNS($DC57:DF57)-1)*5 + 1) = INDEX($E$5:$CE$5, 1, (COLUMNS($DC57:DF57)-1)*5 + 1), INDEX($E$8:$CE$57, MATCH($C57, $C$8:$C$57, 0), (COLUMNS($DC57:DF57)-1)*5 + 4) = "F"), INDEX($CZ$8:$CZ$23, COLUMNS($DC57:DF57)), "0"), "")</f>
        <v/>
      </c>
      <c r="DG57" s="395">
        <f t="array" ref="DG57">IFERROR(IF(AND(INDEX($E$8:$CE$57, MATCH($C57, $C$8:$C$57, 0), (COLUMNS($DC57:DG57)-1)*5 + 1) = INDEX($E$5:$CE$5, 1, (COLUMNS($DC57:DG57)-1)*5 + 1), INDEX($E$8:$CE$57, MATCH($C57, $C$8:$C$57, 0), (COLUMNS($DC57:DG57)-1)*5 + 4) = "F"), INDEX($CZ$8:$CZ$23, COLUMNS($DC57:DG57)), "0"), "")</f>
        <v/>
      </c>
      <c r="DH57" s="395">
        <f t="array" ref="DH57">IFERROR(IF(AND(INDEX($E$8:$CE$57, MATCH($C57, $C$8:$C$57, 0), (COLUMNS($DC57:DH57)-1)*5 + 1) = INDEX($E$5:$CE$5, 1, (COLUMNS($DC57:DH57)-1)*5 + 1), INDEX($E$8:$CE$57, MATCH($C57, $C$8:$C$57, 0), (COLUMNS($DC57:DH57)-1)*5 + 4) = "F"), INDEX($CZ$8:$CZ$23, COLUMNS($DC57:DH57)), "0"), "")</f>
        <v/>
      </c>
      <c r="DI57" s="395">
        <f t="array" ref="DI57">IFERROR(IF(AND(INDEX($E$8:$CE$57, MATCH($C57, $C$8:$C$57, 0), (COLUMNS($DC57:DI57)-1)*5 + 1) = INDEX($E$5:$CE$5, 1, (COLUMNS($DC57:DI57)-1)*5 + 1), INDEX($E$8:$CE$57, MATCH($C57, $C$8:$C$57, 0), (COLUMNS($DC57:DI57)-1)*5 + 4) = "F"), INDEX($CZ$8:$CZ$23, COLUMNS($DC57:DI57)), "0"), "")</f>
        <v/>
      </c>
      <c r="DJ57" s="395">
        <f t="array" ref="DJ57">IFERROR(IF(AND(INDEX($E$8:$CE$57, MATCH($C57, $C$8:$C$57, 0), (COLUMNS($DC57:DJ57)-1)*5 + 1) = INDEX($E$5:$CE$5, 1, (COLUMNS($DC57:DJ57)-1)*5 + 1), INDEX($E$8:$CE$57, MATCH($C57, $C$8:$C$57, 0), (COLUMNS($DC57:DJ57)-1)*5 + 4) = "F"), INDEX($CZ$8:$CZ$23, COLUMNS($DC57:DJ57)), "0"), "")</f>
        <v/>
      </c>
      <c r="DK57" s="395">
        <f t="array" ref="DK57">IFERROR(IF(AND(INDEX($E$8:$CE$57, MATCH($C57, $C$8:$C$57, 0), (COLUMNS($DC57:DK57)-1)*5 + 1) = INDEX($E$5:$CE$5, 1, (COLUMNS($DC57:DK57)-1)*5 + 1), INDEX($E$8:$CE$57, MATCH($C57, $C$8:$C$57, 0), (COLUMNS($DC57:DK57)-1)*5 + 4) = "F"), INDEX($CZ$8:$CZ$23, COLUMNS($DC57:DK57)), "0"), "")</f>
        <v/>
      </c>
      <c r="DL57" s="395">
        <f t="array" ref="DL57">IFERROR(IF(AND(INDEX($E$8:$CE$57, MATCH($C57, $C$8:$C$57, 0), (COLUMNS($DC57:DL57)-1)*5 + 1) = INDEX($E$5:$CE$5, 1, (COLUMNS($DC57:DL57)-1)*5 + 1), INDEX($E$8:$CE$57, MATCH($C57, $C$8:$C$57, 0), (COLUMNS($DC57:DL57)-1)*5 + 4) = "F"), INDEX($CZ$8:$CZ$23, COLUMNS($DC57:DL57)), "0"), "")</f>
        <v/>
      </c>
      <c r="DM57" s="395">
        <f t="array" ref="DM57">IFERROR(IF(AND(INDEX($E$8:$CE$57, MATCH($C57, $C$8:$C$57, 0), (COLUMNS($DC57:DM57)-1)*5 + 1) = INDEX($E$5:$CE$5, 1, (COLUMNS($DC57:DM57)-1)*5 + 1), INDEX($E$8:$CE$57, MATCH($C57, $C$8:$C$57, 0), (COLUMNS($DC57:DM57)-1)*5 + 4) = "F"), INDEX($CZ$8:$CZ$23, COLUMNS($DC57:DM57)), "0"), "")</f>
        <v/>
      </c>
      <c r="DN57" s="395">
        <f t="array" ref="DN57">IFERROR(IF(AND(INDEX($E$8:$CE$57, MATCH($C57, $C$8:$C$57, 0), (COLUMNS($DC57:DN57)-1)*5 + 1) = INDEX($E$5:$CE$5, 1, (COLUMNS($DC57:DN57)-1)*5 + 1), INDEX($E$8:$CE$57, MATCH($C57, $C$8:$C$57, 0), (COLUMNS($DC57:DN57)-1)*5 + 4) = "F"), INDEX($CZ$8:$CZ$23, COLUMNS($DC57:DN57)), "0"), "")</f>
        <v/>
      </c>
      <c r="DO57" s="395">
        <f t="array" ref="DO57">IFERROR(IF(AND(INDEX($E$8:$CE$57, MATCH($C57, $C$8:$C$57, 0), (COLUMNS($DC57:DO57)-1)*5 + 1) = INDEX($E$5:$CE$5, 1, (COLUMNS($DC57:DO57)-1)*5 + 1), INDEX($E$8:$CE$57, MATCH($C57, $C$8:$C$57, 0), (COLUMNS($DC57:DO57)-1)*5 + 4) = "F"), INDEX($CZ$8:$CZ$23, COLUMNS($DC57:DO57)), "0"), "")</f>
        <v/>
      </c>
      <c r="DP57" s="395">
        <f t="array" ref="DP57">IFERROR(IF(AND(INDEX($E$8:$CE$57, MATCH($C57, $C$8:$C$57, 0), (COLUMNS($DC57:DP57)-1)*5 + 1) = INDEX($E$5:$CE$5, 1, (COLUMNS($DC57:DP57)-1)*5 + 1), INDEX($E$8:$CE$57, MATCH($C57, $C$8:$C$57, 0), (COLUMNS($DC57:DP57)-1)*5 + 4) = "F"), INDEX($CZ$8:$CZ$23, COLUMNS($DC57:DP57)), "0"), "")</f>
        <v/>
      </c>
      <c r="DQ57" s="395">
        <f t="array" ref="DQ57">IFERROR(IF(AND(INDEX($E$8:$CE$57, MATCH($C57, $C$8:$C$57, 0), (COLUMNS($DC57:DQ57)-1)*5 + 1) = INDEX($E$5:$CE$5, 1, (COLUMNS($DC57:DQ57)-1)*5 + 1), INDEX($E$8:$CE$57, MATCH($C57, $C$8:$C$57, 0), (COLUMNS($DC57:DQ57)-1)*5 + 4) = "F"), INDEX($CZ$8:$CZ$23, COLUMNS($DC57:DQ57)), "0"), "")</f>
        <v/>
      </c>
      <c r="DR57" s="395">
        <f t="array" ref="DR57">IFERROR(IF(AND(INDEX($E$8:$CE$57, MATCH($C57, $C$8:$C$57, 0), (COLUMNS($DC57:DR57)-1)*5 + 1) = INDEX($E$5:$CE$5, 1, (COLUMNS($DC57:DR57)-1)*5 + 1), INDEX($E$8:$CE$57, MATCH($C57, $C$8:$C$57, 0), (COLUMNS($DC57:DR57)-1)*5 + 4) = "F"), INDEX($CZ$8:$CZ$23, COLUMNS($DC57:DR57)), "0"), "")</f>
        <v/>
      </c>
      <c r="DT57" s="605">
        <f>SEMANA2[[#This Row],[COD]]</f>
        <v/>
      </c>
      <c r="DU57" s="395">
        <f t="array" ref="DU57">IFERROR(IF(AND(INDEX($E$8:$CE$57, MATCH($C57, $C$8:$C$57, 0), (COLUMNS($DU57:DU57)-1)*5 + 1) = INDEX($E$5:$CE$5, 1, (COLUMNS($DU57:DU57)-1)*5 + 1), INDEX($E$8:$CE$57, MATCH($C57, $C$8:$C$57, 0), (COLUMNS($DU57:DU57)-1)*5 + 4) = "SF"), INDEX($CZ$8:$CZ$23, COLUMNS($DU57:DU57)), "0"), "")</f>
        <v/>
      </c>
      <c r="DV57" s="395">
        <f t="array" ref="DV57">IFERROR(IF(AND(INDEX($E$8:$CE$57, MATCH($C57, $C$8:$C$57, 0), (COLUMNS($DU57:DV57)-1)*5 + 1) = INDEX($E$5:$CE$5, 1, (COLUMNS($DU57:DV57)-1)*5 + 1), INDEX($E$8:$CE$57, MATCH($C57, $C$8:$C$57, 0), (COLUMNS($DU57:DV57)-1)*5 + 4) = "SF"), INDEX($CZ$8:$CZ$23, COLUMNS($DU57:DV57)), "0"), "")</f>
        <v/>
      </c>
      <c r="DW57" s="395">
        <f t="array" ref="DW57">IFERROR(IF(AND(INDEX($E$8:$CE$57, MATCH($C57, $C$8:$C$57, 0), (COLUMNS($DU57:DW57)-1)*5 + 1) = INDEX($E$5:$CE$5, 1, (COLUMNS($DU57:DW57)-1)*5 + 1), INDEX($E$8:$CE$57, MATCH($C57, $C$8:$C$57, 0), (COLUMNS($DU57:DW57)-1)*5 + 4) = "SF"), INDEX($CZ$8:$CZ$23, COLUMNS($DU57:DW57)), "0"), "")</f>
        <v/>
      </c>
      <c r="DX57" s="395">
        <f t="array" ref="DX57">IFERROR(IF(AND(INDEX($E$8:$CE$57, MATCH($C57, $C$8:$C$57, 0), (COLUMNS($DU57:DX57)-1)*5 + 1) = INDEX($E$5:$CE$5, 1, (COLUMNS($DU57:DX57)-1)*5 + 1), INDEX($E$8:$CE$57, MATCH($C57, $C$8:$C$57, 0), (COLUMNS($DU57:DX57)-1)*5 + 4) = "SF"), INDEX($CZ$8:$CZ$23, COLUMNS($DU57:DX57)), "0"), "")</f>
        <v/>
      </c>
      <c r="DY57" s="395">
        <f t="array" ref="DY57">IFERROR(IF(AND(INDEX($E$8:$CE$57, MATCH($C57, $C$8:$C$57, 0), (COLUMNS($DU57:DY57)-1)*5 + 1) = INDEX($E$5:$CE$5, 1, (COLUMNS($DU57:DY57)-1)*5 + 1), INDEX($E$8:$CE$57, MATCH($C57, $C$8:$C$57, 0), (COLUMNS($DU57:DY57)-1)*5 + 4) = "SF"), INDEX($CZ$8:$CZ$23, COLUMNS($DU57:DY57)), "0"), "")</f>
        <v/>
      </c>
      <c r="DZ57" s="395">
        <f t="array" ref="DZ57">IFERROR(IF(AND(INDEX($E$8:$CE$57, MATCH($C57, $C$8:$C$57, 0), (COLUMNS($DU57:DZ57)-1)*5 + 1) = INDEX($E$5:$CE$5, 1, (COLUMNS($DU57:DZ57)-1)*5 + 1), INDEX($E$8:$CE$57, MATCH($C57, $C$8:$C$57, 0), (COLUMNS($DU57:DZ57)-1)*5 + 4) = "SF"), INDEX($CZ$8:$CZ$23, COLUMNS($DU57:DZ57)), "0"), "")</f>
        <v/>
      </c>
      <c r="EA57" s="395">
        <f t="array" ref="EA57">IFERROR(IF(AND(INDEX($E$8:$CE$57, MATCH($C57, $C$8:$C$57, 0), (COLUMNS($DU57:EA57)-1)*5 + 1) = INDEX($E$5:$CE$5, 1, (COLUMNS($DU57:EA57)-1)*5 + 1), INDEX($E$8:$CE$57, MATCH($C57, $C$8:$C$57, 0), (COLUMNS($DU57:EA57)-1)*5 + 4) = "SF"), INDEX($CZ$8:$CZ$23, COLUMNS($DU57:EA57)), "0"), "")</f>
        <v/>
      </c>
      <c r="EB57" s="395">
        <f t="array" ref="EB57">IFERROR(IF(AND(INDEX($E$8:$CE$57, MATCH($C57, $C$8:$C$57, 0), (COLUMNS($DU57:EB57)-1)*5 + 1) = INDEX($E$5:$CE$5, 1, (COLUMNS($DU57:EB57)-1)*5 + 1), INDEX($E$8:$CE$57, MATCH($C57, $C$8:$C$57, 0), (COLUMNS($DU57:EB57)-1)*5 + 4) = "SF"), INDEX($CZ$8:$CZ$23, COLUMNS($DU57:EB57)), "0"), "")</f>
        <v/>
      </c>
      <c r="EC57" s="395">
        <f t="array" ref="EC57">IFERROR(IF(AND(INDEX($E$8:$CE$57, MATCH($C57, $C$8:$C$57, 0), (COLUMNS($DU57:EC57)-1)*5 + 1) = INDEX($E$5:$CE$5, 1, (COLUMNS($DU57:EC57)-1)*5 + 1), INDEX($E$8:$CE$57, MATCH($C57, $C$8:$C$57, 0), (COLUMNS($DU57:EC57)-1)*5 + 4) = "SF"), INDEX($CZ$8:$CZ$23, COLUMNS($DU57:EC57)), "0"), "")</f>
        <v/>
      </c>
      <c r="ED57" s="395">
        <f t="array" ref="ED57">IFERROR(IF(AND(INDEX($E$8:$CE$57, MATCH($C57, $C$8:$C$57, 0), (COLUMNS($DU57:ED57)-1)*5 + 1) = INDEX($E$5:$CE$5, 1, (COLUMNS($DU57:ED57)-1)*5 + 1), INDEX($E$8:$CE$57, MATCH($C57, $C$8:$C$57, 0), (COLUMNS($DU57:ED57)-1)*5 + 4) = "SF"), INDEX($CZ$8:$CZ$23, COLUMNS($DU57:ED57)), "0"), "")</f>
        <v/>
      </c>
      <c r="EE57" s="395">
        <f t="array" ref="EE57">IFERROR(IF(AND(INDEX($E$8:$CE$57, MATCH($C57, $C$8:$C$57, 0), (COLUMNS($DU57:EE57)-1)*5 + 1) = INDEX($E$5:$CE$5, 1, (COLUMNS($DU57:EE57)-1)*5 + 1), INDEX($E$8:$CE$57, MATCH($C57, $C$8:$C$57, 0), (COLUMNS($DU57:EE57)-1)*5 + 4) = "SF"), INDEX($CZ$8:$CZ$23, COLUMNS($DU57:EE57)), "0"), "")</f>
        <v/>
      </c>
      <c r="EF57" s="395">
        <f t="array" ref="EF57">IFERROR(IF(AND(INDEX($E$8:$CE$57, MATCH($C57, $C$8:$C$57, 0), (COLUMNS($DU57:EF57)-1)*5 + 1) = INDEX($E$5:$CE$5, 1, (COLUMNS($DU57:EF57)-1)*5 + 1), INDEX($E$8:$CE$57, MATCH($C57, $C$8:$C$57, 0), (COLUMNS($DU57:EF57)-1)*5 + 4) = "SF"), INDEX($CZ$8:$CZ$23, COLUMNS($DU57:EF57)), "0"), "")</f>
        <v/>
      </c>
      <c r="EG57" s="395">
        <f t="array" ref="EG57">IFERROR(IF(AND(INDEX($E$8:$CE$57, MATCH($C57, $C$8:$C$57, 0), (COLUMNS($DU57:EG57)-1)*5 + 1) = INDEX($E$5:$CE$5, 1, (COLUMNS($DU57:EG57)-1)*5 + 1), INDEX($E$8:$CE$57, MATCH($C57, $C$8:$C$57, 0), (COLUMNS($DU57:EG57)-1)*5 + 4) = "SF"), INDEX($CZ$8:$CZ$23, COLUMNS($DU57:EG57)), "0"), "")</f>
        <v/>
      </c>
      <c r="EH57" s="395">
        <f t="array" ref="EH57">IFERROR(IF(AND(INDEX($E$8:$CE$57, MATCH($C57, $C$8:$C$57, 0), (COLUMNS($DU57:EH57)-1)*5 + 1) = INDEX($E$5:$CE$5, 1, (COLUMNS($DU57:EH57)-1)*5 + 1), INDEX($E$8:$CE$57, MATCH($C57, $C$8:$C$57, 0), (COLUMNS($DU57:EH57)-1)*5 + 4) = "SF"), INDEX($CZ$8:$CZ$23, COLUMNS($DU57:EH57)), "0"), "")</f>
        <v/>
      </c>
      <c r="EI57" s="395">
        <f t="array" ref="EI57">IFERROR(IF(AND(INDEX($E$8:$CE$57, MATCH($C57, $C$8:$C$57, 0), (COLUMNS($DU57:EI57)-1)*5 + 1) = INDEX($E$5:$CE$5, 1, (COLUMNS($DU57:EI57)-1)*5 + 1), INDEX($E$8:$CE$57, MATCH($C57, $C$8:$C$57, 0), (COLUMNS($DU57:EI57)-1)*5 + 4) = "SF"), INDEX($CZ$8:$CZ$23, COLUMNS($DU57:EI57)), "0"), "")</f>
        <v/>
      </c>
      <c r="EJ57" s="395">
        <f t="array" ref="EJ57">IFERROR(IF(AND(INDEX($E$8:$CE$57, MATCH($C57, $C$8:$C$57, 0), (COLUMNS($DU57:EJ57)-1)*5 + 1) = INDEX($E$5:$CE$5, 1, (COLUMNS($DU57:EJ57)-1)*5 + 1), INDEX($E$8:$CE$57, MATCH($C57, $C$8:$C$57, 0), (COLUMNS($DU57:EJ57)-1)*5 + 4) = "SF"), INDEX($CZ$8:$CZ$23, COLUMNS($DU57:EJ57)), "0"), "")</f>
        <v/>
      </c>
    </row>
    <row r="58" ht="20.1" customHeight="1" s="568" thickBot="1">
      <c r="A58" s="576" t="n"/>
      <c r="B58" s="451" t="inlineStr">
        <is>
          <t>* PRIMERA MARCA GANADORA</t>
        </is>
      </c>
      <c r="C58" s="452" t="n"/>
      <c r="D58" s="452" t="n"/>
      <c r="E58" s="452" t="n"/>
      <c r="F58" s="452" t="n"/>
      <c r="G58" s="452" t="n"/>
      <c r="H58" s="452" t="n"/>
      <c r="I58" s="452">
        <f>"4 PUNTOS (DIV IGUAL O MENOR A 1/2 "&amp;$D$104&amp;" BS. RESTA 0,5 PUNTOS)"</f>
        <v/>
      </c>
      <c r="J58" s="452" t="n"/>
      <c r="K58" s="4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>
        <f>"*DIVIDENDO MAYOR O IGUAL A 4/1 ("&amp;$D$115&amp;" Bs.) "</f>
        <v/>
      </c>
      <c r="V58" s="452" t="n"/>
      <c r="W58" s="452" t="n"/>
      <c r="X58" s="452" t="n"/>
      <c r="Y58" s="452" t="n"/>
      <c r="Z58" s="452" t="n"/>
      <c r="AA58" s="452" t="n"/>
      <c r="AB58" s="452" t="n"/>
      <c r="AC58" s="452" t="n"/>
      <c r="AD58" s="452" t="n"/>
      <c r="AE58" s="452" t="inlineStr">
        <is>
          <t>1 PUNTO ADICIONAL</t>
        </is>
      </c>
      <c r="AF58" s="452" t="n"/>
      <c r="AG58" s="452" t="n"/>
      <c r="AH58" s="452" t="n"/>
      <c r="AI58" s="452" t="n"/>
      <c r="AJ58" s="452" t="n"/>
      <c r="AK58" s="452" t="n"/>
      <c r="AL58" s="452" t="n"/>
      <c r="AM58" s="452" t="inlineStr">
        <is>
          <t xml:space="preserve">*SUPER FIJO ACERTADO </t>
        </is>
      </c>
      <c r="AN58" s="452" t="n"/>
      <c r="AO58" s="452" t="n"/>
      <c r="AP58" s="452" t="n"/>
      <c r="AQ58" s="452" t="n"/>
      <c r="AR58" s="452" t="n"/>
      <c r="AS58" s="452" t="n"/>
      <c r="AT58" s="452" t="inlineStr">
        <is>
          <t>4 PUNTOS ADICIONALES</t>
        </is>
      </c>
      <c r="AU58" s="452" t="n"/>
      <c r="AV58" s="452" t="n"/>
      <c r="AW58" s="452" t="n"/>
      <c r="AX58" s="453" t="n"/>
      <c r="AY58" s="453" t="n"/>
      <c r="AZ58" s="453" t="n"/>
      <c r="BA58" s="453" t="n"/>
      <c r="BB58" s="453" t="n"/>
      <c r="BC58" s="453" t="n"/>
      <c r="BD58" s="453" t="n"/>
      <c r="BE58" s="452" t="n"/>
      <c r="BF58" s="453" t="n"/>
      <c r="BG58" s="454" t="n"/>
      <c r="BH58" s="453" t="n"/>
      <c r="BI58" s="453" t="n"/>
      <c r="BJ58" s="453" t="n"/>
      <c r="BK58" s="453" t="n"/>
      <c r="BL58" s="454" t="n"/>
      <c r="BM58" s="453" t="n"/>
      <c r="BN58" s="453" t="n"/>
      <c r="BO58" s="454" t="n"/>
      <c r="BP58" s="453" t="n"/>
      <c r="BQ58" s="453" t="n"/>
      <c r="BR58" s="453" t="n"/>
      <c r="BS58" s="453" t="n"/>
      <c r="BT58" s="454" t="n"/>
      <c r="BU58" s="453" t="n"/>
      <c r="BV58" s="453" t="n"/>
      <c r="BW58" s="453" t="n"/>
      <c r="BX58" s="453" t="n"/>
      <c r="BY58" s="454" t="n"/>
      <c r="BZ58" s="453" t="n"/>
      <c r="CA58" s="453" t="n"/>
      <c r="CB58" s="453" t="n"/>
      <c r="CC58" s="453" t="n"/>
      <c r="CD58" s="454" t="n"/>
      <c r="CE58" s="453" t="n"/>
      <c r="CF58" s="453" t="n"/>
      <c r="CG58" s="453" t="n"/>
      <c r="CH58" s="453" t="n"/>
      <c r="CI58" s="191" t="n"/>
      <c r="CJ58" s="192" t="n"/>
      <c r="CK58" s="192" t="n"/>
      <c r="CL58" s="192" t="n"/>
      <c r="CM58" s="192" t="n"/>
      <c r="CN58" s="192" t="n"/>
      <c r="CO58" s="192" t="n"/>
      <c r="CP58" s="192" t="n"/>
      <c r="CQ58" s="193" t="inlineStr">
        <is>
          <t>ACUMULADO PREMIO 1ER LUGAR</t>
        </is>
      </c>
      <c r="CR58" s="212">
        <f>CONTROL!R56</f>
        <v/>
      </c>
      <c r="CS58" s="195" t="n"/>
      <c r="CT58" s="560" t="inlineStr">
        <is>
          <t>TOTAL RECAUDADO</t>
        </is>
      </c>
      <c r="CU58" s="561" t="n"/>
      <c r="CV58" s="466">
        <f>SUM(CV8:CV57)</f>
        <v/>
      </c>
      <c r="CW58" s="576" t="n"/>
      <c r="CY58" s="392">
        <f>IF(CZ58="","",$CZ$25)</f>
        <v/>
      </c>
      <c r="CZ58" s="392" t="n"/>
      <c r="DA58" s="392">
        <f t="array" ref="DA58">IF(CZ58="", "", IF((INDEX(E$8:CE$57, MATCH(CZ58, C$8:C$57, 0), ($CZ$25-1)*5 + 1) &amp; "") = (INDEX(E$5:CE$5, 1, ($CZ$25-1)*5 + 1) &amp; ""), 1, IF((INDEX(E$8:CE$57, MATCH(CZ58, C$8:C$57, 0), ($CZ$25-1)*5 + 2) &amp; "") = (INDEX(E$5:CE$5, 1, ($CZ$25-1)*5 + 1) &amp; ""), 2, IF((INDEX(E$8:CE$57, MATCH(CZ58, C$8:C$57, 0), ($CZ$25-1)*5 + 3) &amp; "") = (INDEX(E$5:CE$5, 1, ($CZ$25-1)*5 + 1) &amp; ""), 3, ""))))</f>
        <v/>
      </c>
      <c r="DP58" s="394" t="inlineStr">
        <is>
          <t>DIV.</t>
        </is>
      </c>
      <c r="DQ58" s="394" t="inlineStr">
        <is>
          <t>CODIGO</t>
        </is>
      </c>
      <c r="DR58" s="394" t="inlineStr">
        <is>
          <t>CARRERA</t>
        </is>
      </c>
      <c r="EH58" s="393" t="inlineStr">
        <is>
          <t>DIV.</t>
        </is>
      </c>
      <c r="EI58" s="393" t="inlineStr">
        <is>
          <t>CODIGO</t>
        </is>
      </c>
      <c r="EJ58" s="393" t="inlineStr">
        <is>
          <t>CARRERA</t>
        </is>
      </c>
    </row>
    <row r="59" ht="20.1" customHeight="1" s="568" thickBot="1">
      <c r="A59" s="576" t="n"/>
      <c r="B59" s="451" t="inlineStr">
        <is>
          <t>* SEGUNDA MARCA GANADORA</t>
        </is>
      </c>
      <c r="C59" s="452" t="n"/>
      <c r="D59" s="452" t="n"/>
      <c r="E59" s="452" t="n"/>
      <c r="F59" s="452" t="n"/>
      <c r="G59" s="452" t="n"/>
      <c r="H59" s="452" t="n"/>
      <c r="I59" s="452">
        <f>"2 PUNTOS (DIV IGUAL O MENOR A 1/2 "&amp;$D$104&amp;" BS. RESTA 0,5 PUNTOS)"</f>
        <v/>
      </c>
      <c r="J59" s="452" t="n"/>
      <c r="K59" s="4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>
        <f>"*DIVIDENDO MAYOR O IGUAL A 19/1 ("&amp;D129&amp;" Bs.) "</f>
        <v/>
      </c>
      <c r="V59" s="452" t="n"/>
      <c r="W59" s="452" t="n"/>
      <c r="X59" s="452" t="n"/>
      <c r="Y59" s="452" t="n"/>
      <c r="Z59" s="452" t="n"/>
      <c r="AA59" s="452" t="n"/>
      <c r="AB59" s="452" t="n"/>
      <c r="AC59" s="452" t="n"/>
      <c r="AD59" s="452" t="n"/>
      <c r="AE59" s="452" t="inlineStr">
        <is>
          <t>1 PUNTO ADICIONAL</t>
        </is>
      </c>
      <c r="AF59" s="452" t="n"/>
      <c r="AG59" s="452" t="n"/>
      <c r="AH59" s="452" t="n"/>
      <c r="AI59" s="452" t="n"/>
      <c r="AJ59" s="452" t="n"/>
      <c r="AK59" s="452" t="n"/>
      <c r="AL59" s="452" t="n"/>
      <c r="AM59" s="452" t="n"/>
      <c r="AN59" s="452" t="n"/>
      <c r="AO59" s="452" t="n"/>
      <c r="AP59" s="452" t="n"/>
      <c r="AQ59" s="452" t="n"/>
      <c r="AR59" s="452" t="n"/>
      <c r="AS59" s="452" t="n"/>
      <c r="AT59" s="452" t="n"/>
      <c r="AU59" s="452" t="n"/>
      <c r="AV59" s="452" t="n"/>
      <c r="AW59" s="452" t="n"/>
      <c r="AX59" s="453" t="n"/>
      <c r="AY59" s="453" t="n"/>
      <c r="AZ59" s="453" t="n"/>
      <c r="BA59" s="453" t="n"/>
      <c r="BB59" s="453" t="n"/>
      <c r="BC59" s="453" t="n"/>
      <c r="BD59" s="453" t="n"/>
      <c r="BE59" s="453" t="n"/>
      <c r="BF59" s="453" t="n"/>
      <c r="BG59" s="454" t="n"/>
      <c r="BH59" s="453" t="n"/>
      <c r="BI59" s="453" t="n"/>
      <c r="BJ59" s="453" t="n"/>
      <c r="BK59" s="453" t="n"/>
      <c r="BL59" s="454" t="n"/>
      <c r="BM59" s="453" t="n"/>
      <c r="BN59" s="453" t="n"/>
      <c r="BO59" s="453" t="n"/>
      <c r="BP59" s="453" t="n"/>
      <c r="BQ59" s="453" t="n"/>
      <c r="BR59" s="453" t="n"/>
      <c r="BS59" s="453" t="n"/>
      <c r="BT59" s="453" t="n"/>
      <c r="BU59" s="453" t="n"/>
      <c r="BV59" s="453" t="n"/>
      <c r="BW59" s="453" t="n"/>
      <c r="BX59" s="453" t="n"/>
      <c r="BY59" s="453" t="n"/>
      <c r="BZ59" s="453" t="n"/>
      <c r="CA59" s="453" t="n"/>
      <c r="CB59" s="453" t="n"/>
      <c r="CC59" s="453" t="n"/>
      <c r="CD59" s="453" t="n"/>
      <c r="CE59" s="453" t="n"/>
      <c r="CF59" s="453" t="n"/>
      <c r="CG59" s="453" t="n"/>
      <c r="CH59" s="453" t="n"/>
      <c r="CI59" s="196" t="n"/>
      <c r="CJ59" s="197" t="n"/>
      <c r="CK59" s="197" t="n"/>
      <c r="CL59" s="197" t="n"/>
      <c r="CM59" s="197" t="n"/>
      <c r="CN59" s="197" t="n"/>
      <c r="CO59" s="197" t="n"/>
      <c r="CP59" s="197" t="n"/>
      <c r="CQ59" s="198" t="inlineStr">
        <is>
          <t>ACUMULADO PREMIO 2DO LUGAR</t>
        </is>
      </c>
      <c r="CR59" s="213">
        <f>CONTROL!S56</f>
        <v/>
      </c>
      <c r="CS59" s="199" t="n"/>
      <c r="CT59" s="571" t="inlineStr">
        <is>
          <t>20% CASA</t>
        </is>
      </c>
      <c r="CU59" s="564" t="n"/>
      <c r="CV59" s="455">
        <f>+CV58*20%</f>
        <v/>
      </c>
      <c r="CW59" s="576" t="n"/>
      <c r="CY59" s="392">
        <f>IF(CZ59="","",$CZ$25)</f>
        <v/>
      </c>
      <c r="CZ59" s="392" t="n"/>
      <c r="DA59" s="392">
        <f t="array" ref="DA59">IF(CZ59="", "", IF((INDEX(E$8:CE$57, MATCH(CZ59, C$8:C$57, 0), ($CZ$25-1)*5 + 1) &amp; "") = (INDEX(E$5:CE$5, 1, ($CZ$25-1)*5 + 1) &amp; ""), 1, IF((INDEX(E$8:CE$57, MATCH(CZ59, C$8:C$57, 0), ($CZ$25-1)*5 + 2) &amp; "") = (INDEX(E$5:CE$5, 1, ($CZ$25-1)*5 + 1) &amp; ""), 2, IF((INDEX(E$8:CE$57, MATCH(CZ59, C$8:C$57, 0), ($CZ$25-1)*5 + 3) &amp; "") = (INDEX(E$5:CE$5, 1, ($CZ$25-1)*5 + 1) &amp; ""), 3, ""))))</f>
        <v/>
      </c>
      <c r="DO59" s="393">
        <f t="array" ref="DO59">INDEX(E5:CB5, 1, ($DR$59-1)*5 + 1)</f>
        <v/>
      </c>
      <c r="DP59" s="354">
        <f t="array" ref="DP59">_xlfn._xlws.FILTER(MAX($DC$8:$DR$57) + ($DB$8:$DB$57 - $DB$8:$DB$57), MMULT(($DC$8:$DR$57 = MAX($DC$8:$DR$57)) * ($DC$8:$DR$57 &gt; 0), _xlfn.SEQUENCE(COLUMNS($DC8:DR8), 1, 1, 0)) &gt; 0, "Esperando")</f>
        <v/>
      </c>
      <c r="DQ59" s="393">
        <f t="array" ref="DQ59">_xlfn._xlws.FILTER($DB$8:$DB$57, MMULT(($DC$8:$DR$57 = MAX($DC$8:$DR$57)) * ($DC$8:$DR$57 &gt; 0), _xlfn.SEQUENCE(COLUMNS($DC8:DR8), 1, 1, 0)) &gt; 0, "Esperando")</f>
        <v/>
      </c>
      <c r="DR59" s="393">
        <f t="array" ref="DR59">_xlfn._xlws.FILTER(INDEX($DC$7:$DR$7, 1, MMULT(--($DC$8:$DR$57 = MAX($DC$8:$DR$57)), _xlfn.SEQUENCE(COLUMNS($DC$8:$DR$8), 1, 1, 1))), MMULT(($DC$8:$DR$57 = MAX($DC$8:$DR$57)) * ($DC$8:$DR$57 &gt; 0), _xlfn.SEQUENCE(COLUMNS($DC$8:$DR$8), 1, 1, 1)) &gt; 0, "Esperando")</f>
        <v/>
      </c>
      <c r="EG59" s="393">
        <f t="array" ref="EG59">INDEX(E5:CB5, 1, ($EJ$59-1)*5 + 1)</f>
        <v/>
      </c>
      <c r="EH59" s="354">
        <f t="array" ref="EH59">_xlfn._xlws.FILTER(MAX($DU$8:$EJ$57) + ($DT$8:$DT$57 - $DT$8:$DT$57), MMULT(($DU$8:$EJ$57 = MAX($DU$8:$EJ$57)) * ($DU$8:$EJ$57 &gt; 0), _xlfn.SEQUENCE(COLUMNS($DU8:EJ8), 1, 1, 0)) &gt; 0, "Esperando")</f>
        <v/>
      </c>
      <c r="EI59" s="393">
        <f t="array" ref="EI59">_xlfn._xlws.FILTER($DT$8:$DT$57, MMULT(($DU$8:$EJ$57 = MAX($DU$8:$EJ$57)) * ($DU$8:$EJ$57 &gt; 0), _xlfn.SEQUENCE(COLUMNS($DU8:EJ8), 1, 1, 0)) &gt; 0, "Esperando")</f>
        <v/>
      </c>
      <c r="EJ59" s="393">
        <f t="array" ref="EJ59">_xlfn._xlws.FILTER(INDEX($DU$7:$EJ$7, 1, MMULT(--($DU$8:$EJ$57 = MAX($DU$8:$EJ$57)), _xlfn.SEQUENCE(COLUMNS($DU$8:$EJ$8), 1, 1, 1))), MMULT(($DU$8:$EJ$57 = MAX($DU$8:$EJ$57)) * ($DU$8:$EJ$57 &gt; 0), _xlfn.SEQUENCE(COLUMNS($DU$8:$EJ$8), 1, 1, 1)) &gt; 0, "Esperando")</f>
        <v/>
      </c>
    </row>
    <row r="60" ht="20.1" customHeight="1" s="568" thickBot="1">
      <c r="A60" s="576" t="n"/>
      <c r="B60" s="451" t="inlineStr">
        <is>
          <t>* TERCERA MARCA GANADORA</t>
        </is>
      </c>
      <c r="C60" s="452" t="n"/>
      <c r="D60" s="452" t="n"/>
      <c r="E60" s="452" t="n"/>
      <c r="F60" s="452" t="n"/>
      <c r="G60" s="452" t="n"/>
      <c r="H60" s="452" t="n"/>
      <c r="I60" s="452">
        <f>"1 PUNTOS (DIV IGUAL O MENOR A 1/2 "&amp;$D$104&amp;" BS. RESTA 0,5 PUNTOS)"</f>
        <v/>
      </c>
      <c r="J60" s="452" t="n"/>
      <c r="K60" s="4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inlineStr">
        <is>
          <t xml:space="preserve">*EXACTA PERFECTA ACERTADA </t>
        </is>
      </c>
      <c r="V60" s="452" t="n"/>
      <c r="W60" s="452" t="n"/>
      <c r="X60" s="452" t="n"/>
      <c r="Y60" s="452" t="n"/>
      <c r="Z60" s="452" t="n"/>
      <c r="AA60" s="452" t="n"/>
      <c r="AB60" s="452" t="n"/>
      <c r="AC60" s="452" t="n"/>
      <c r="AD60" s="452" t="n"/>
      <c r="AE60" s="452" t="inlineStr">
        <is>
          <t>1 PUNTO ADICIONAL</t>
        </is>
      </c>
      <c r="AF60" s="452" t="n"/>
      <c r="AG60" s="452" t="n"/>
      <c r="AH60" s="452" t="n"/>
      <c r="AI60" s="452" t="n"/>
      <c r="AJ60" s="452" t="n"/>
      <c r="AK60" s="452" t="n"/>
      <c r="AL60" s="452" t="n"/>
      <c r="AM60" s="452" t="n"/>
      <c r="AN60" s="567" t="n"/>
      <c r="AX60" s="453" t="n"/>
      <c r="AY60" s="453" t="n"/>
      <c r="AZ60" s="453" t="n"/>
      <c r="BA60" s="453" t="n"/>
      <c r="BB60" s="453" t="n"/>
      <c r="BC60" s="453" t="n"/>
      <c r="BD60" s="453" t="n"/>
      <c r="BE60" s="453" t="n"/>
      <c r="BF60" s="453" t="n"/>
      <c r="BG60" s="454" t="n"/>
      <c r="BH60" s="453" t="n"/>
      <c r="BI60" s="453" t="n"/>
      <c r="BJ60" s="453" t="n"/>
      <c r="BK60" s="453" t="n"/>
      <c r="BL60" s="454" t="n"/>
      <c r="BM60" s="453" t="n"/>
      <c r="BN60" s="453" t="n"/>
      <c r="BO60" s="453" t="n"/>
      <c r="BP60" s="453" t="n"/>
      <c r="BQ60" s="453" t="n"/>
      <c r="BR60" s="453" t="n"/>
      <c r="BS60" s="453" t="n"/>
      <c r="BT60" s="453" t="n"/>
      <c r="BU60" s="453" t="n"/>
      <c r="BV60" s="453" t="n"/>
      <c r="BW60" s="453" t="n"/>
      <c r="BX60" s="453" t="n"/>
      <c r="BY60" s="453" t="n"/>
      <c r="BZ60" s="453" t="n"/>
      <c r="CA60" s="453" t="n"/>
      <c r="CB60" s="453" t="n"/>
      <c r="CC60" s="453" t="n"/>
      <c r="CD60" s="453" t="n"/>
      <c r="CE60" s="453" t="n"/>
      <c r="CF60" s="453" t="n"/>
      <c r="CG60" s="453" t="n"/>
      <c r="CH60" s="453" t="n"/>
      <c r="CI60" s="200" t="n"/>
      <c r="CJ60" s="201" t="n"/>
      <c r="CK60" s="201" t="n"/>
      <c r="CL60" s="201" t="n"/>
      <c r="CM60" s="201" t="n"/>
      <c r="CN60" s="201" t="n"/>
      <c r="CO60" s="201" t="n"/>
      <c r="CP60" s="201" t="n"/>
      <c r="CQ60" s="202" t="inlineStr">
        <is>
          <t>ACUMULADO PREMIO 3ER LUGAR</t>
        </is>
      </c>
      <c r="CR60" s="214">
        <f>CONTROL!T56</f>
        <v/>
      </c>
      <c r="CS60" s="194" t="n"/>
      <c r="CT60" s="562" t="inlineStr">
        <is>
          <t>ACUM. TOTAL ACIERTOS</t>
        </is>
      </c>
      <c r="CU60" s="561" t="n"/>
      <c r="CV60" s="456">
        <f>CONTROL!T54</f>
        <v/>
      </c>
      <c r="CW60" s="576" t="n"/>
      <c r="CY60" s="392">
        <f>IF(CZ60="","",$CZ$25)</f>
        <v/>
      </c>
      <c r="CZ60" s="392" t="n"/>
      <c r="DA60" s="392">
        <f t="array" ref="DA60">IF(CZ60="", "", IF((INDEX(E$8:CE$57, MATCH(CZ60, C$8:C$57, 0), ($CZ$25-1)*5 + 1) &amp; "") = (INDEX(E$5:CE$5, 1, ($CZ$25-1)*5 + 1) &amp; ""), 1, IF((INDEX(E$8:CE$57, MATCH(CZ60, C$8:C$57, 0), ($CZ$25-1)*5 + 2) &amp; "") = (INDEX(E$5:CE$5, 1, ($CZ$25-1)*5 + 1) &amp; ""), 2, IF((INDEX(E$8:CE$57, MATCH(CZ60, C$8:C$57, 0), ($CZ$25-1)*5 + 3) &amp; "") = (INDEX(E$5:CE$5, 1, ($CZ$25-1)*5 + 1) &amp; ""), 3, ""))))</f>
        <v/>
      </c>
      <c r="DP60" s="393" t="n"/>
      <c r="DQ60" s="393" t="n"/>
      <c r="DR60" s="393" t="n"/>
      <c r="EH60" s="393" t="n"/>
      <c r="EI60" s="393" t="n"/>
      <c r="EJ60" s="393" t="n"/>
    </row>
    <row r="61" ht="20.1" customHeight="1" s="568">
      <c r="A61" s="576" t="n"/>
      <c r="B61" s="457" t="inlineStr">
        <is>
          <t>* FIJA ACERTADA</t>
        </is>
      </c>
      <c r="C61" s="458" t="n"/>
      <c r="D61" s="458" t="n"/>
      <c r="E61" s="458" t="n"/>
      <c r="F61" s="458" t="n"/>
      <c r="G61" s="458" t="n"/>
      <c r="H61" s="458" t="n"/>
      <c r="I61" s="458" t="inlineStr">
        <is>
          <t>1 PUNTO ADICIONAL</t>
        </is>
      </c>
      <c r="J61" s="458" t="n"/>
      <c r="K61" s="458" t="n"/>
      <c r="L61" s="458" t="n"/>
      <c r="M61" s="458" t="n"/>
      <c r="N61" s="458" t="n"/>
      <c r="O61" s="458" t="n"/>
      <c r="P61" s="458" t="n"/>
      <c r="Q61" s="458" t="n"/>
      <c r="R61" s="458" t="n"/>
      <c r="S61" s="458" t="n"/>
      <c r="T61" s="458" t="n"/>
      <c r="U61" s="458" t="inlineStr">
        <is>
          <t xml:space="preserve">*TRIFECTA ACERTADA </t>
        </is>
      </c>
      <c r="V61" s="458" t="n"/>
      <c r="W61" s="458" t="n"/>
      <c r="X61" s="458" t="n"/>
      <c r="Y61" s="458" t="n"/>
      <c r="Z61" s="458" t="n"/>
      <c r="AA61" s="458" t="n"/>
      <c r="AB61" s="458" t="n"/>
      <c r="AC61" s="458" t="n"/>
      <c r="AD61" s="458" t="n"/>
      <c r="AE61" s="458" t="inlineStr">
        <is>
          <t>2 PUNTOS ADICIONALES</t>
        </is>
      </c>
      <c r="AF61" s="458" t="n"/>
      <c r="AG61" s="458" t="n"/>
      <c r="AH61" s="458" t="n"/>
      <c r="AI61" s="458" t="n"/>
      <c r="AJ61" s="458" t="n"/>
      <c r="AK61" s="458" t="n"/>
      <c r="AL61" s="458" t="n"/>
      <c r="AM61" s="458" t="n"/>
      <c r="AN61" s="579" t="n"/>
      <c r="AO61" s="555" t="n"/>
      <c r="AP61" s="555" t="n"/>
      <c r="AQ61" s="555" t="n"/>
      <c r="AR61" s="555" t="n"/>
      <c r="AS61" s="555" t="n"/>
      <c r="AT61" s="555" t="n"/>
      <c r="AU61" s="555" t="n"/>
      <c r="AV61" s="555" t="n"/>
      <c r="AW61" s="555" t="n"/>
      <c r="AX61" s="459" t="n"/>
      <c r="AY61" s="459" t="n"/>
      <c r="AZ61" s="459" t="n"/>
      <c r="BA61" s="459" t="n"/>
      <c r="BB61" s="459" t="n"/>
      <c r="BC61" s="459" t="n"/>
      <c r="BD61" s="459" t="n"/>
      <c r="BE61" s="459" t="n"/>
      <c r="BF61" s="459" t="n"/>
      <c r="BG61" s="460" t="n"/>
      <c r="BH61" s="459" t="n"/>
      <c r="BI61" s="459" t="n"/>
      <c r="BJ61" s="459" t="n"/>
      <c r="BK61" s="459" t="n"/>
      <c r="BL61" s="460" t="n"/>
      <c r="BM61" s="459" t="n"/>
      <c r="BN61" s="459" t="n"/>
      <c r="BO61" s="459" t="n"/>
      <c r="BP61" s="459" t="n"/>
      <c r="BQ61" s="459" t="n"/>
      <c r="BR61" s="459" t="n"/>
      <c r="BS61" s="459" t="n"/>
      <c r="BT61" s="459" t="n"/>
      <c r="BU61" s="459" t="n"/>
      <c r="BV61" s="459" t="n"/>
      <c r="BW61" s="459" t="n"/>
      <c r="BX61" s="459" t="n"/>
      <c r="BY61" s="459" t="n"/>
      <c r="BZ61" s="459" t="n"/>
      <c r="CA61" s="459" t="n"/>
      <c r="CB61" s="459" t="n"/>
      <c r="CC61" s="459" t="n"/>
      <c r="CD61" s="459" t="n"/>
      <c r="CE61" s="459" t="n"/>
      <c r="CF61" s="459" t="n"/>
      <c r="CG61" s="459" t="n"/>
      <c r="CH61" s="459" t="n"/>
      <c r="CI61" s="203" t="n"/>
      <c r="CJ61" s="204" t="n"/>
      <c r="CK61" s="204" t="n"/>
      <c r="CL61" s="204" t="n"/>
      <c r="CM61" s="204" t="n"/>
      <c r="CN61" s="204" t="n"/>
      <c r="CO61" s="204" t="n"/>
      <c r="CP61" s="204" t="n"/>
      <c r="CQ61" s="205" t="inlineStr">
        <is>
          <t>ACUMULADO PREMIO FIJAS Y EFECTIVIDAD C/U</t>
        </is>
      </c>
      <c r="CR61" s="215">
        <f>CONTROL!T56</f>
        <v/>
      </c>
      <c r="CS61" s="206" t="n"/>
      <c r="CT61" s="577" t="inlineStr">
        <is>
          <t>SUMA ACUMULADO</t>
        </is>
      </c>
      <c r="CU61" s="578" t="n"/>
      <c r="CV61" s="461">
        <f>(CV58-CV59)/3</f>
        <v/>
      </c>
      <c r="CW61" s="576" t="n"/>
      <c r="CY61" s="392">
        <f>IF(CZ61="","",$CZ$25)</f>
        <v/>
      </c>
      <c r="CZ61" s="392" t="n"/>
      <c r="DA61" s="392">
        <f t="array" ref="DA61">IF(CZ61="", "", IF((INDEX(E$8:CE$57, MATCH(CZ61, C$8:C$57, 0), ($CZ$25-1)*5 + 1) &amp; "") = (INDEX(E$5:CE$5, 1, ($CZ$25-1)*5 + 1) &amp; ""), 1, IF((INDEX(E$8:CE$57, MATCH(CZ61, C$8:C$57, 0), ($CZ$25-1)*5 + 2) &amp; "") = (INDEX(E$5:CE$5, 1, ($CZ$25-1)*5 + 1) &amp; ""), 2, IF((INDEX(E$8:CE$57, MATCH(CZ61, C$8:C$57, 0), ($CZ$25-1)*5 + 3) &amp; "") = (INDEX(E$5:CE$5, 1, ($CZ$25-1)*5 + 1) &amp; ""), 3, ""))))</f>
        <v/>
      </c>
      <c r="DP61" s="393" t="n"/>
      <c r="DQ61" s="393" t="n"/>
      <c r="DR61" s="393" t="n"/>
      <c r="EH61" s="393" t="n"/>
      <c r="EI61" s="393" t="n"/>
      <c r="EJ61" s="393" t="n"/>
    </row>
    <row r="62" ht="16.5" customHeight="1" s="568">
      <c r="A62" s="356" t="n"/>
      <c r="B62" s="97" t="n"/>
      <c r="C62" s="97" t="n"/>
      <c r="D62" s="97" t="n"/>
      <c r="E62" s="97" t="n"/>
      <c r="F62" s="97" t="n"/>
      <c r="G62" s="97" t="n"/>
      <c r="H62" s="97" t="n"/>
      <c r="I62" s="97" t="n"/>
      <c r="J62" s="97" t="n"/>
      <c r="K62" s="97" t="n"/>
      <c r="L62" s="97" t="n"/>
      <c r="M62" s="97" t="n"/>
      <c r="N62" s="97" t="n"/>
      <c r="O62" s="97" t="n"/>
      <c r="P62" s="97" t="n"/>
      <c r="Q62" s="97" t="n"/>
      <c r="R62" s="97" t="n"/>
      <c r="S62" s="97" t="n"/>
      <c r="T62" s="97" t="n"/>
      <c r="U62" s="97" t="n"/>
      <c r="V62" s="97" t="n"/>
      <c r="W62" s="97" t="n"/>
      <c r="X62" s="97" t="n"/>
      <c r="Y62" s="97" t="n"/>
      <c r="Z62" s="97" t="n"/>
      <c r="AA62" s="97" t="n"/>
      <c r="AB62" s="97" t="n"/>
      <c r="AC62" s="97" t="n"/>
      <c r="AD62" s="97" t="n"/>
      <c r="AE62" s="97" t="n"/>
      <c r="AF62" s="97" t="n"/>
      <c r="AG62" s="97" t="n"/>
      <c r="AH62" s="97" t="n"/>
      <c r="AI62" s="97" t="n"/>
      <c r="AJ62" s="97" t="n"/>
      <c r="AK62" s="97" t="n"/>
      <c r="AL62" s="97" t="n"/>
      <c r="AM62" s="97" t="n"/>
      <c r="AN62" s="97" t="n"/>
      <c r="AO62" s="97" t="n"/>
      <c r="AP62" s="97" t="n"/>
      <c r="AQ62" s="97" t="n"/>
      <c r="AR62" s="97" t="n"/>
      <c r="AS62" s="97" t="n"/>
      <c r="AT62" s="97" t="n"/>
      <c r="AU62" s="97" t="n"/>
      <c r="AV62" s="97" t="n"/>
      <c r="AW62" s="97" t="n"/>
      <c r="AX62" s="97" t="n"/>
      <c r="AY62" s="97" t="n"/>
      <c r="AZ62" s="97" t="n"/>
      <c r="BA62" s="97" t="n"/>
      <c r="BB62" s="97" t="n"/>
      <c r="BC62" s="97" t="n"/>
      <c r="BD62" s="97" t="n"/>
      <c r="BE62" s="97" t="n"/>
      <c r="BF62" s="97" t="n"/>
      <c r="BG62" s="10" t="n"/>
      <c r="BH62" s="97" t="n"/>
      <c r="BI62" s="97" t="n"/>
      <c r="BJ62" s="97" t="n"/>
      <c r="BK62" s="97" t="n"/>
      <c r="BL62" s="10" t="n"/>
      <c r="BM62" s="97" t="n"/>
      <c r="BN62" s="97" t="n"/>
      <c r="BO62" s="97" t="n"/>
      <c r="BP62" s="97" t="n"/>
      <c r="BQ62" s="97" t="n"/>
      <c r="BR62" s="97" t="n"/>
      <c r="BS62" s="97" t="n"/>
      <c r="BT62" s="97" t="n"/>
      <c r="BU62" s="97" t="n"/>
      <c r="BV62" s="97" t="n"/>
      <c r="BW62" s="97" t="n"/>
      <c r="BX62" s="97" t="n"/>
      <c r="BY62" s="97" t="n"/>
      <c r="BZ62" s="97" t="n"/>
      <c r="CA62" s="97" t="n"/>
      <c r="CB62" s="97" t="n"/>
      <c r="CC62" s="97" t="n"/>
      <c r="CD62" s="97" t="n"/>
      <c r="CE62" s="97" t="n"/>
      <c r="CF62" s="97" t="n"/>
      <c r="CG62" s="97" t="n"/>
      <c r="CH62" s="97" t="n"/>
      <c r="CI62" s="97" t="n"/>
      <c r="CJ62" s="97" t="n"/>
      <c r="CK62" s="97" t="n"/>
      <c r="CL62" s="97" t="n"/>
      <c r="CM62" s="97" t="n"/>
      <c r="CN62" s="97" t="n"/>
      <c r="CO62" s="97" t="n"/>
      <c r="CP62" s="97" t="n"/>
      <c r="CQ62" s="97" t="n"/>
      <c r="CR62" s="97" t="n"/>
      <c r="CS62" s="97" t="n"/>
      <c r="CT62" s="97" t="n"/>
      <c r="CU62" s="97" t="n"/>
      <c r="CV62" s="97" t="n"/>
      <c r="CW62" s="97" t="n"/>
      <c r="CY62" s="392">
        <f>IF(CZ62="","",$CZ$25)</f>
        <v/>
      </c>
      <c r="CZ62" s="392" t="n"/>
      <c r="DA62" s="392">
        <f t="array" ref="DA62">IF(CZ62="", "", IF((INDEX(E$8:CE$57, MATCH(CZ62, C$8:C$57, 0), ($CZ$25-1)*5 + 1) &amp; "") = (INDEX(E$5:CE$5, 1, ($CZ$25-1)*5 + 1) &amp; ""), 1, IF((INDEX(E$8:CE$57, MATCH(CZ62, C$8:C$57, 0), ($CZ$25-1)*5 + 2) &amp; "") = (INDEX(E$5:CE$5, 1, ($CZ$25-1)*5 + 1) &amp; ""), 2, IF((INDEX(E$8:CE$57, MATCH(CZ62, C$8:C$57, 0), ($CZ$25-1)*5 + 3) &amp; "") = (INDEX(E$5:CE$5, 1, ($CZ$25-1)*5 + 1) &amp; ""), 3, ""))))</f>
        <v/>
      </c>
      <c r="DP62" s="393" t="n"/>
      <c r="DQ62" s="393" t="n"/>
      <c r="DR62" s="393" t="n"/>
      <c r="EH62" s="393" t="n"/>
      <c r="EI62" s="393" t="n"/>
      <c r="EJ62" s="393" t="n"/>
    </row>
    <row r="63" ht="36" customHeight="1" s="568">
      <c r="B63" s="6" t="n"/>
      <c r="E63" s="98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100" t="n"/>
      <c r="P63" s="99" t="n"/>
      <c r="Q63" s="99" t="n"/>
      <c r="R63" s="99" t="n"/>
      <c r="S63" s="99" t="n"/>
      <c r="T63" s="100" t="inlineStr">
        <is>
          <t>FAVORITOS DEL CAMPEONATO DE MARCAS</t>
        </is>
      </c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99" t="n"/>
      <c r="AI63" s="99" t="n"/>
      <c r="AJ63" s="99" t="n"/>
      <c r="AK63" s="99" t="n"/>
      <c r="AL63" s="99" t="n"/>
      <c r="AM63" s="99" t="n"/>
      <c r="AN63" s="99" t="n"/>
      <c r="AO63" s="100" t="n"/>
      <c r="AP63" s="100" t="inlineStr">
        <is>
          <t>DOMINGO</t>
        </is>
      </c>
      <c r="AQ63" s="99" t="n"/>
      <c r="AR63" s="99" t="n"/>
      <c r="AS63" s="100" t="n"/>
      <c r="AT63" s="99" t="n"/>
      <c r="AU63" s="101">
        <f>D3</f>
        <v/>
      </c>
      <c r="AV63" s="99" t="n"/>
      <c r="AW63" s="99" t="n"/>
      <c r="AX63" s="99" t="n"/>
      <c r="AY63" s="99" t="n"/>
      <c r="AZ63" s="99" t="n"/>
      <c r="BA63" s="99" t="n"/>
      <c r="BB63" s="99" t="n"/>
      <c r="BC63" s="99" t="n"/>
      <c r="BD63" s="99" t="n"/>
      <c r="BE63" s="99" t="n"/>
      <c r="BF63" s="99" t="n"/>
      <c r="BG63" s="102" t="n"/>
      <c r="BH63" s="99" t="n"/>
      <c r="BI63" s="99" t="n"/>
      <c r="BJ63" s="99" t="n"/>
      <c r="BK63" s="99" t="n"/>
      <c r="BL63" s="102" t="n"/>
      <c r="BM63" s="99" t="n"/>
      <c r="BN63" s="99" t="n"/>
      <c r="BO63" s="99" t="n"/>
      <c r="BP63" s="99" t="n"/>
      <c r="BQ63" s="103" t="n"/>
      <c r="BR63" s="99" t="n"/>
      <c r="BS63" s="99" t="n"/>
      <c r="BT63" s="99" t="n"/>
      <c r="BU63" s="99" t="n"/>
      <c r="BV63" s="99" t="n"/>
      <c r="BW63" s="99" t="n"/>
      <c r="BX63" s="99" t="n"/>
      <c r="BY63" s="99" t="n"/>
      <c r="BZ63" s="99" t="n"/>
      <c r="CA63" s="99" t="n"/>
      <c r="CB63" s="99" t="n"/>
      <c r="CC63" s="99" t="n"/>
      <c r="CD63" s="99" t="n"/>
      <c r="CE63" s="99" t="n"/>
      <c r="CF63" s="103" t="n"/>
      <c r="CZ63" s="392" t="n"/>
      <c r="DA63" s="392">
        <f t="array" ref="DA63">IF(CZ63="", "", IF((INDEX(E$7:CE$57, MATCH(CZ63, C$7:C$57, 0), ($CZ$25-1)*5 + 1) &amp; "") = (INDEX(E$5:CE$5, 1, ($CZ$25-1)*5 + 1) &amp; ""), 1, IF((INDEX(E$7:CE$57, MATCH(CZ63, C$7:C$57, 0), ($CZ$25-1)*5 + 2) &amp; "") = (INDEX(E$5:CE$5, 1, ($CZ$25-1)*5 + 1) &amp; ""), 2, IF((INDEX(E$7:CE$57, MATCH(CZ63, C$7:C$57, 0), ($CZ$25-1)*5 + 3) &amp; "") = (INDEX(E$5:CE$5, 1, ($CZ$25-1)*5 + 1) &amp; ""), 3, ""))))</f>
        <v/>
      </c>
      <c r="DP63" s="393" t="n"/>
      <c r="DQ63" s="393" t="n"/>
      <c r="DR63" s="393" t="n"/>
      <c r="EH63" s="393" t="n"/>
      <c r="EI63" s="393" t="n"/>
      <c r="EJ63" s="393" t="n"/>
    </row>
    <row r="64" ht="23.25" customHeight="1" s="568">
      <c r="E64" s="608">
        <f>E4</f>
        <v/>
      </c>
      <c r="F64" s="432" t="n"/>
      <c r="G64" s="432" t="n"/>
      <c r="H64" s="432" t="n"/>
      <c r="I64" s="432" t="n"/>
      <c r="J64" s="608">
        <f>J4</f>
        <v/>
      </c>
      <c r="K64" s="432" t="n"/>
      <c r="L64" s="432" t="n"/>
      <c r="M64" s="432" t="n"/>
      <c r="N64" s="432" t="n"/>
      <c r="O64" s="608">
        <f>O4</f>
        <v/>
      </c>
      <c r="P64" s="432" t="n"/>
      <c r="Q64" s="432" t="n"/>
      <c r="R64" s="432" t="n"/>
      <c r="S64" s="432" t="n"/>
      <c r="T64" s="608">
        <f>T4</f>
        <v/>
      </c>
      <c r="U64" s="432" t="n"/>
      <c r="V64" s="432" t="n"/>
      <c r="W64" s="432" t="n"/>
      <c r="X64" s="432" t="n"/>
      <c r="Y64" s="608">
        <f>Y4</f>
        <v/>
      </c>
      <c r="Z64" s="432" t="n"/>
      <c r="AA64" s="432" t="n"/>
      <c r="AB64" s="432" t="n"/>
      <c r="AC64" s="432" t="n"/>
      <c r="AD64" s="608">
        <f>AD4</f>
        <v/>
      </c>
      <c r="AE64" s="432" t="n"/>
      <c r="AF64" s="432" t="n"/>
      <c r="AG64" s="432" t="n"/>
      <c r="AH64" s="432" t="n"/>
      <c r="AI64" s="608">
        <f>AI4</f>
        <v/>
      </c>
      <c r="AJ64" s="432" t="n"/>
      <c r="AK64" s="432" t="n"/>
      <c r="AL64" s="432" t="n"/>
      <c r="AM64" s="432" t="n"/>
      <c r="AN64" s="608">
        <f>AN4</f>
        <v/>
      </c>
      <c r="AO64" s="432" t="n"/>
      <c r="AP64" s="432" t="n"/>
      <c r="AQ64" s="432" t="n"/>
      <c r="AR64" s="432" t="n"/>
      <c r="AS64" s="608">
        <f>AS4</f>
        <v/>
      </c>
      <c r="AT64" s="432" t="n"/>
      <c r="AU64" s="432" t="n"/>
      <c r="AV64" s="432" t="n"/>
      <c r="AW64" s="432" t="n"/>
      <c r="AX64" s="608">
        <f>AX4</f>
        <v/>
      </c>
      <c r="AY64" s="432" t="n"/>
      <c r="AZ64" s="432" t="n"/>
      <c r="BA64" s="432" t="n"/>
      <c r="BB64" s="432" t="n"/>
      <c r="BC64" s="608">
        <f>BC4</f>
        <v/>
      </c>
      <c r="BD64" s="432" t="n"/>
      <c r="BE64" s="432" t="n"/>
      <c r="BF64" s="432" t="n"/>
      <c r="BG64" s="432" t="n"/>
      <c r="BH64" s="608">
        <f>BH4</f>
        <v/>
      </c>
      <c r="BI64" s="432" t="n"/>
      <c r="BJ64" s="432" t="n"/>
      <c r="BK64" s="432" t="n"/>
      <c r="BL64" s="432" t="n"/>
      <c r="BM64" s="608">
        <f>BM4</f>
        <v/>
      </c>
      <c r="BN64" s="432" t="n"/>
      <c r="BO64" s="432" t="n"/>
      <c r="BP64" s="432" t="n"/>
      <c r="BQ64" s="432" t="n"/>
      <c r="BR64" s="608">
        <f>BR4</f>
        <v/>
      </c>
      <c r="BS64" s="432" t="n"/>
      <c r="BT64" s="432" t="n"/>
      <c r="BU64" s="432" t="n"/>
      <c r="BV64" s="432" t="n"/>
      <c r="BW64" s="608">
        <f>BW4</f>
        <v/>
      </c>
      <c r="BX64" s="432" t="n"/>
      <c r="BY64" s="432" t="n"/>
      <c r="BZ64" s="432" t="n"/>
      <c r="CA64" s="432" t="n"/>
      <c r="CB64" s="608">
        <f>CB4</f>
        <v/>
      </c>
      <c r="CC64" s="432" t="n"/>
      <c r="CD64" s="432" t="n"/>
      <c r="CE64" s="432" t="n"/>
      <c r="CF64" s="433" t="n"/>
      <c r="CZ64" s="392" t="n"/>
      <c r="DA64" s="392">
        <f t="array" ref="DA64">IF(CZ64="", "", IF((INDEX(E$7:CE$57, MATCH(CZ64, C$7:C$57, 0), ($CZ$25-1)*5 + 1) &amp; "") = (INDEX(E$5:CE$5, 1, ($CZ$25-1)*5 + 1) &amp; ""), 1, IF((INDEX(E$7:CE$57, MATCH(CZ64, C$7:C$57, 0), ($CZ$25-1)*5 + 2) &amp; "") = (INDEX(E$5:CE$5, 1, ($CZ$25-1)*5 + 1) &amp; ""), 2, IF((INDEX(E$7:CE$57, MATCH(CZ64, C$7:C$57, 0), ($CZ$25-1)*5 + 3) &amp; "") = (INDEX(E$5:CE$5, 1, ($CZ$25-1)*5 + 1) &amp; ""), 3, ""))))</f>
        <v/>
      </c>
      <c r="DP64" s="393" t="n"/>
      <c r="DQ64" s="393" t="n"/>
      <c r="DR64" s="393" t="n"/>
      <c r="EH64" s="393" t="n"/>
      <c r="EI64" s="393" t="n"/>
      <c r="EJ64" s="393" t="n"/>
    </row>
    <row r="65" ht="26.25" customHeight="1" s="568">
      <c r="B65" s="104" t="n"/>
      <c r="C65" s="105" t="n"/>
      <c r="D65" s="105" t="n"/>
      <c r="E65" s="106" t="inlineStr">
        <is>
          <t>N°</t>
        </is>
      </c>
      <c r="F65" s="107" t="inlineStr">
        <is>
          <t>1°</t>
        </is>
      </c>
      <c r="G65" s="107" t="inlineStr">
        <is>
          <t>2°</t>
        </is>
      </c>
      <c r="H65" s="107" t="inlineStr">
        <is>
          <t>3°</t>
        </is>
      </c>
      <c r="I65" s="107" t="inlineStr">
        <is>
          <t>PTS</t>
        </is>
      </c>
      <c r="J65" s="107" t="inlineStr">
        <is>
          <t>N°</t>
        </is>
      </c>
      <c r="K65" s="107" t="inlineStr">
        <is>
          <t>1°</t>
        </is>
      </c>
      <c r="L65" s="107" t="inlineStr">
        <is>
          <t>2°</t>
        </is>
      </c>
      <c r="M65" s="107" t="inlineStr">
        <is>
          <t>3°</t>
        </is>
      </c>
      <c r="N65" s="107" t="inlineStr">
        <is>
          <t>PTS</t>
        </is>
      </c>
      <c r="O65" s="107" t="inlineStr">
        <is>
          <t>N°</t>
        </is>
      </c>
      <c r="P65" s="107" t="inlineStr">
        <is>
          <t>1°</t>
        </is>
      </c>
      <c r="Q65" s="107" t="inlineStr">
        <is>
          <t>2°</t>
        </is>
      </c>
      <c r="R65" s="107" t="inlineStr">
        <is>
          <t>3°</t>
        </is>
      </c>
      <c r="S65" s="107" t="inlineStr">
        <is>
          <t>PTS</t>
        </is>
      </c>
      <c r="T65" s="107" t="inlineStr">
        <is>
          <t>N°</t>
        </is>
      </c>
      <c r="U65" s="107" t="inlineStr">
        <is>
          <t>1°</t>
        </is>
      </c>
      <c r="V65" s="107" t="inlineStr">
        <is>
          <t>2°</t>
        </is>
      </c>
      <c r="W65" s="107" t="inlineStr">
        <is>
          <t>3°</t>
        </is>
      </c>
      <c r="X65" s="107" t="inlineStr">
        <is>
          <t>PTS</t>
        </is>
      </c>
      <c r="Y65" s="107" t="inlineStr">
        <is>
          <t>N°</t>
        </is>
      </c>
      <c r="Z65" s="107" t="inlineStr">
        <is>
          <t>1°</t>
        </is>
      </c>
      <c r="AA65" s="107" t="inlineStr">
        <is>
          <t>2°</t>
        </is>
      </c>
      <c r="AB65" s="107" t="inlineStr">
        <is>
          <t>3°</t>
        </is>
      </c>
      <c r="AC65" s="107" t="inlineStr">
        <is>
          <t>PTS</t>
        </is>
      </c>
      <c r="AD65" s="107" t="inlineStr">
        <is>
          <t>N°</t>
        </is>
      </c>
      <c r="AE65" s="107" t="inlineStr">
        <is>
          <t>1°</t>
        </is>
      </c>
      <c r="AF65" s="107" t="inlineStr">
        <is>
          <t>2°</t>
        </is>
      </c>
      <c r="AG65" s="107" t="inlineStr">
        <is>
          <t>3°</t>
        </is>
      </c>
      <c r="AH65" s="107" t="inlineStr">
        <is>
          <t>PTS</t>
        </is>
      </c>
      <c r="AI65" s="107" t="inlineStr">
        <is>
          <t>N°</t>
        </is>
      </c>
      <c r="AJ65" s="107" t="inlineStr">
        <is>
          <t>1°</t>
        </is>
      </c>
      <c r="AK65" s="107" t="inlineStr">
        <is>
          <t>2°</t>
        </is>
      </c>
      <c r="AL65" s="107" t="inlineStr">
        <is>
          <t>3°</t>
        </is>
      </c>
      <c r="AM65" s="107" t="inlineStr">
        <is>
          <t>PTS</t>
        </is>
      </c>
      <c r="AN65" s="107" t="inlineStr">
        <is>
          <t>N°</t>
        </is>
      </c>
      <c r="AO65" s="107" t="inlineStr">
        <is>
          <t>1°</t>
        </is>
      </c>
      <c r="AP65" s="107" t="inlineStr">
        <is>
          <t>2°</t>
        </is>
      </c>
      <c r="AQ65" s="107" t="inlineStr">
        <is>
          <t>3°</t>
        </is>
      </c>
      <c r="AR65" s="107" t="inlineStr">
        <is>
          <t>PTS</t>
        </is>
      </c>
      <c r="AS65" s="107" t="inlineStr">
        <is>
          <t>N°</t>
        </is>
      </c>
      <c r="AT65" s="107" t="inlineStr">
        <is>
          <t>1°</t>
        </is>
      </c>
      <c r="AU65" s="107" t="inlineStr">
        <is>
          <t>2°</t>
        </is>
      </c>
      <c r="AV65" s="107" t="inlineStr">
        <is>
          <t>3°</t>
        </is>
      </c>
      <c r="AW65" s="107" t="inlineStr">
        <is>
          <t>PTS</t>
        </is>
      </c>
      <c r="AX65" s="107" t="inlineStr">
        <is>
          <t>N°</t>
        </is>
      </c>
      <c r="AY65" s="107" t="inlineStr">
        <is>
          <t>1°</t>
        </is>
      </c>
      <c r="AZ65" s="107" t="inlineStr">
        <is>
          <t>2°</t>
        </is>
      </c>
      <c r="BA65" s="107" t="inlineStr">
        <is>
          <t>3°</t>
        </is>
      </c>
      <c r="BB65" s="107" t="inlineStr">
        <is>
          <t>PTS</t>
        </is>
      </c>
      <c r="BC65" s="107" t="inlineStr">
        <is>
          <t>N°</t>
        </is>
      </c>
      <c r="BD65" s="107" t="inlineStr">
        <is>
          <t>1°</t>
        </is>
      </c>
      <c r="BE65" s="107" t="inlineStr">
        <is>
          <t>2°</t>
        </is>
      </c>
      <c r="BF65" s="107" t="inlineStr">
        <is>
          <t>3°</t>
        </is>
      </c>
      <c r="BG65" s="107" t="inlineStr">
        <is>
          <t>PTS</t>
        </is>
      </c>
      <c r="BH65" s="107" t="inlineStr">
        <is>
          <t>N°</t>
        </is>
      </c>
      <c r="BI65" s="107" t="inlineStr">
        <is>
          <t>1°</t>
        </is>
      </c>
      <c r="BJ65" s="107" t="inlineStr">
        <is>
          <t>2°</t>
        </is>
      </c>
      <c r="BK65" s="107" t="inlineStr">
        <is>
          <t>3°</t>
        </is>
      </c>
      <c r="BL65" s="107" t="inlineStr">
        <is>
          <t>PTS</t>
        </is>
      </c>
      <c r="BM65" s="107" t="inlineStr">
        <is>
          <t>N°</t>
        </is>
      </c>
      <c r="BN65" s="107" t="inlineStr">
        <is>
          <t>1°</t>
        </is>
      </c>
      <c r="BO65" s="107" t="inlineStr">
        <is>
          <t>2°</t>
        </is>
      </c>
      <c r="BP65" s="107" t="inlineStr">
        <is>
          <t>3°</t>
        </is>
      </c>
      <c r="BQ65" s="108" t="inlineStr">
        <is>
          <t>PTS</t>
        </is>
      </c>
      <c r="BR65" s="107" t="inlineStr">
        <is>
          <t>N°</t>
        </is>
      </c>
      <c r="BS65" s="425" t="inlineStr">
        <is>
          <t>1°</t>
        </is>
      </c>
      <c r="BT65" s="425" t="inlineStr">
        <is>
          <t>2°</t>
        </is>
      </c>
      <c r="BU65" s="425" t="inlineStr">
        <is>
          <t>3°</t>
        </is>
      </c>
      <c r="BV65" s="108" t="inlineStr">
        <is>
          <t>PTS</t>
        </is>
      </c>
      <c r="BW65" s="107" t="inlineStr">
        <is>
          <t>N°</t>
        </is>
      </c>
      <c r="BX65" s="425" t="inlineStr">
        <is>
          <t>1°</t>
        </is>
      </c>
      <c r="BY65" s="425" t="inlineStr">
        <is>
          <t>2°</t>
        </is>
      </c>
      <c r="BZ65" s="425" t="inlineStr">
        <is>
          <t>3°</t>
        </is>
      </c>
      <c r="CA65" s="108" t="inlineStr">
        <is>
          <t>PTS</t>
        </is>
      </c>
      <c r="CB65" s="107" t="inlineStr">
        <is>
          <t>N°</t>
        </is>
      </c>
      <c r="CC65" s="425" t="inlineStr">
        <is>
          <t>1°</t>
        </is>
      </c>
      <c r="CD65" s="425" t="inlineStr">
        <is>
          <t>2°</t>
        </is>
      </c>
      <c r="CE65" s="425" t="inlineStr">
        <is>
          <t>3°</t>
        </is>
      </c>
      <c r="CF65" s="108" t="inlineStr">
        <is>
          <t>PTS</t>
        </is>
      </c>
      <c r="CG65" s="105" t="n"/>
      <c r="CH65" s="105" t="n"/>
      <c r="CZ65" s="392" t="n"/>
      <c r="DA65" s="392">
        <f t="array" ref="DA65">IF(CZ65="", "", IF((INDEX(E$7:CE$57, MATCH(CZ65, C$7:C$57, 0), ($CZ$25-1)*5 + 1) &amp; "") = (INDEX(E$5:CE$5, 1, ($CZ$25-1)*5 + 1) &amp; ""), 1, IF((INDEX(E$7:CE$57, MATCH(CZ65, C$7:C$57, 0), ($CZ$25-1)*5 + 2) &amp; "") = (INDEX(E$5:CE$5, 1, ($CZ$25-1)*5 + 1) &amp; ""), 2, IF((INDEX(E$7:CE$57, MATCH(CZ65, C$7:C$57, 0), ($CZ$25-1)*5 + 3) &amp; "") = (INDEX(E$5:CE$5, 1, ($CZ$25-1)*5 + 1) &amp; ""), 3, ""))))</f>
        <v/>
      </c>
      <c r="DP65" s="393" t="n"/>
      <c r="DQ65" s="393" t="n"/>
      <c r="DR65" s="393" t="n"/>
      <c r="EH65" s="393" t="n"/>
      <c r="EI65" s="393" t="n"/>
      <c r="EJ65" s="393" t="n"/>
    </row>
    <row r="66" ht="27.95" customHeight="1" s="568">
      <c r="B66" s="104" t="n"/>
      <c r="C66" s="105" t="n"/>
      <c r="D66" s="105" t="n"/>
      <c r="E66" s="173" t="n">
        <v>9</v>
      </c>
      <c r="F66" s="426">
        <f>(COUNTIF(SEMANA2[1],E66)*3)</f>
        <v/>
      </c>
      <c r="G66" s="170">
        <f>(COUNTIF(SEMANA2[2],E66)*2)</f>
        <v/>
      </c>
      <c r="H66" s="170">
        <f>COUNTIF(SEMANA2[22],E66)</f>
        <v/>
      </c>
      <c r="I66" s="430">
        <f>SUM(F66,G66,H66)</f>
        <v/>
      </c>
      <c r="J66" s="172" t="n">
        <v>1</v>
      </c>
      <c r="K66" s="170">
        <f>(COUNTIF(SEMANA2[12],J66)*3)</f>
        <v/>
      </c>
      <c r="L66" s="170">
        <f>(COUNTIF(SEMANA2[Columna2],J66)*2)</f>
        <v/>
      </c>
      <c r="M66" s="170">
        <f>COUNTIF(SEMANA2[Columna23],J66)</f>
        <v/>
      </c>
      <c r="N66" s="430">
        <f>SUM(K66,L66,M66)</f>
        <v/>
      </c>
      <c r="O66" s="172" t="n">
        <v>5</v>
      </c>
      <c r="P66" s="170">
        <f>(COUNTIF(SEMANA2[Columna4],O66)*3)</f>
        <v/>
      </c>
      <c r="Q66" s="170">
        <f>(COUNTIF(SEMANA2[Columna5],O66)*2)</f>
        <v/>
      </c>
      <c r="R66" s="170">
        <f>COUNTIF(SEMANA2[Columna53],O66)</f>
        <v/>
      </c>
      <c r="S66" s="430">
        <f>SUM(P66,Q66,R66)</f>
        <v/>
      </c>
      <c r="T66" s="172" t="n">
        <v>3</v>
      </c>
      <c r="U66" s="170">
        <f>(COUNTIF(SEMANA2[Columna7],T66)*3)</f>
        <v/>
      </c>
      <c r="V66" s="170">
        <f>(COUNTIF(SEMANA2[Columna8],T66)*2)</f>
        <v/>
      </c>
      <c r="W66" s="170">
        <f>COUNTIF(SEMANA2[Columna83],T66)</f>
        <v/>
      </c>
      <c r="X66" s="430">
        <f>SUM(U66,V66,W66)</f>
        <v/>
      </c>
      <c r="Y66" s="172" t="n">
        <v>2</v>
      </c>
      <c r="Z66" s="170">
        <f>(COUNTIF(SEMANA2[Columna10],Y66)*3)</f>
        <v/>
      </c>
      <c r="AA66" s="170">
        <f>(COUNTIF(SEMANA2[Columna11],Y66)*2)</f>
        <v/>
      </c>
      <c r="AB66" s="170">
        <f>COUNTIF(SEMANA2[Columna113],Y66)</f>
        <v/>
      </c>
      <c r="AC66" s="430">
        <f>SUM(Z66,AA66,AB66)</f>
        <v/>
      </c>
      <c r="AD66" s="172" t="n">
        <v>5</v>
      </c>
      <c r="AE66" s="170">
        <f>(COUNTIF(SEMANA2[1RA],AD66)*3)</f>
        <v/>
      </c>
      <c r="AF66" s="170">
        <f>(COUNTIF(SEMANA2[2DA],AD66)*2)</f>
        <v/>
      </c>
      <c r="AG66" s="170">
        <f>COUNTIF(SEMANA2[2DA2],AD66)</f>
        <v/>
      </c>
      <c r="AH66" s="430">
        <f>SUM(AE66,AF66,AG66)</f>
        <v/>
      </c>
      <c r="AI66" s="172" t="n">
        <v>7</v>
      </c>
      <c r="AJ66" s="170">
        <f>(COUNTIF(SEMANA2[Columna16],AI66)*3)</f>
        <v/>
      </c>
      <c r="AK66" s="170">
        <f>(COUNTIF(SEMANA2[Columna17],AI66)*2)</f>
        <v/>
      </c>
      <c r="AL66" s="170">
        <f>COUNTIF(SEMANA2[Columna173],AI66)</f>
        <v/>
      </c>
      <c r="AM66" s="430">
        <f>SUM(AJ66,AK66,AL66)</f>
        <v/>
      </c>
      <c r="AN66" s="172" t="n">
        <v>8</v>
      </c>
      <c r="AO66" s="170">
        <f>(COUNTIF(SEMANA2[123],AN66)*3)</f>
        <v/>
      </c>
      <c r="AP66" s="170">
        <f>(COUNTIF(SEMANA2[555],AN66)*2)</f>
        <v/>
      </c>
      <c r="AQ66" s="170">
        <f>COUNTIF(SEMANA2[556],AN66)</f>
        <v/>
      </c>
      <c r="AR66" s="430">
        <f>SUM(AO66,AP66,AQ66)</f>
        <v/>
      </c>
      <c r="AS66" s="172" t="n">
        <v>2</v>
      </c>
      <c r="AT66" s="170">
        <f>(COUNTIF(SEMANA2[AAAA],AS66)*3)</f>
        <v/>
      </c>
      <c r="AU66" s="170">
        <f>(COUNTIF(SEMANA2[BBBB],AS66)*2)</f>
        <v/>
      </c>
      <c r="AV66" s="170">
        <f>COUNTIF(SEMANA2[Columna13],AS66)</f>
        <v/>
      </c>
      <c r="AW66" s="430">
        <f>SUM(AT66,AU66,AV66)</f>
        <v/>
      </c>
      <c r="AX66" s="172" t="n">
        <v>1</v>
      </c>
      <c r="AY66" s="170">
        <f>(COUNTIF(SEMANA2[Columna25],AX66)*3)</f>
        <v/>
      </c>
      <c r="AZ66" s="170">
        <f>(COUNTIF(SEMANA2[Columna26],AX66)*2)</f>
        <v/>
      </c>
      <c r="BA66" s="170">
        <f>COUNTIF(SEMANA2[Columna263],AX66)</f>
        <v/>
      </c>
      <c r="BB66" s="430">
        <f>SUM(AY66,AZ66,BA66)</f>
        <v/>
      </c>
      <c r="BC66" s="172" t="n">
        <v>7</v>
      </c>
      <c r="BD66" s="170">
        <f>(COUNTIF(SEMANA2[Columna272],BC66)*3)</f>
        <v/>
      </c>
      <c r="BE66" s="170">
        <f>(COUNTIF(SEMANA2[Columna273],BC66)*2)</f>
        <v/>
      </c>
      <c r="BF66" s="170">
        <f>COUNTIF(SEMANA2[Columna2732],BC66)</f>
        <v/>
      </c>
      <c r="BG66" s="430">
        <f>SUM(BD66,BE66,BF66)</f>
        <v/>
      </c>
      <c r="BH66" s="172" t="n">
        <v>6</v>
      </c>
      <c r="BI66" s="170">
        <f>(COUNTIF(SEMANA2[Columna276],BH66)*3)</f>
        <v/>
      </c>
      <c r="BJ66" s="170">
        <f>(COUNTIF(SEMANA2[Columna277],BH66)*2)</f>
        <v/>
      </c>
      <c r="BK66" s="170">
        <f>COUNTIF(SEMANA2[Columna2772],BH66)</f>
        <v/>
      </c>
      <c r="BL66" s="430">
        <f>SUM(BI66,BJ66,BK66)</f>
        <v/>
      </c>
      <c r="BM66" s="172" t="n">
        <v>4</v>
      </c>
      <c r="BN66" s="170">
        <f>(COUNTIF(SEMANA2[Columna280],BM66)*3)</f>
        <v/>
      </c>
      <c r="BO66" s="170">
        <f>(COUNTIF(SEMANA2[Columna281],BM66)*2)</f>
        <v/>
      </c>
      <c r="BP66" s="170">
        <f>COUNTIF(SEMANA2[Columna2812],BM66)</f>
        <v/>
      </c>
      <c r="BQ66" s="171">
        <f>SUM(BN66,BO66,BP66)</f>
        <v/>
      </c>
      <c r="BR66" s="169" t="n">
        <v>11</v>
      </c>
      <c r="BS66" s="426">
        <f>(COUNTIF(SEMANA2[Columna2802],BR66)*3)</f>
        <v/>
      </c>
      <c r="BT66" s="170">
        <f>(COUNTIF(SEMANA2[Columna2813],BR66)*2)</f>
        <v/>
      </c>
      <c r="BU66" s="427">
        <f>COUNTIF(SEMANA2[Columna28124],BR66)</f>
        <v/>
      </c>
      <c r="BV66" s="171">
        <f>SUM(BS66,BT66,BU66)</f>
        <v/>
      </c>
      <c r="BW66" s="172" t="n">
        <v>1</v>
      </c>
      <c r="BX66" s="426">
        <f>(COUNTIF(SEMANA2[Columna2803],BW66)*3)</f>
        <v/>
      </c>
      <c r="BY66" s="170">
        <f>(COUNTIF(SEMANA2[Columna2814],BW66)*2)</f>
        <v/>
      </c>
      <c r="BZ66" s="427">
        <f>COUNTIF(SEMANA2[Columna28125],BW66)</f>
        <v/>
      </c>
      <c r="CA66" s="171">
        <f>SUM(BX66,BY66,BZ66)</f>
        <v/>
      </c>
      <c r="CB66" s="172" t="n">
        <v>1</v>
      </c>
      <c r="CC66" s="426">
        <f>(COUNTIF(SEMANA2[Columna2804],CB66)*3)</f>
        <v/>
      </c>
      <c r="CD66" s="170">
        <f>(COUNTIF(SEMANA2[Columna2815],CB66)*2)</f>
        <v/>
      </c>
      <c r="CE66" s="427">
        <f>COUNTIF(SEMANA2[Columna28126],CB66)</f>
        <v/>
      </c>
      <c r="CF66" s="171">
        <f>SUM(CC66,CD66,CE66)</f>
        <v/>
      </c>
      <c r="CG66" s="105" t="n"/>
      <c r="CH66" s="105" t="n"/>
      <c r="DP66" s="393" t="n"/>
      <c r="DQ66" s="393" t="n"/>
      <c r="DR66" s="393" t="n"/>
      <c r="EH66" s="393" t="n"/>
      <c r="EI66" s="393" t="n"/>
      <c r="EJ66" s="393" t="n"/>
    </row>
    <row r="67" ht="27.95" customHeight="1" s="568">
      <c r="B67" s="104" t="n"/>
      <c r="C67" s="105" t="n"/>
      <c r="D67" s="105" t="n"/>
      <c r="E67" s="173" t="n">
        <v>2</v>
      </c>
      <c r="F67" s="110">
        <f>(COUNTIF(SEMANA2[1],E67)*3)</f>
        <v/>
      </c>
      <c r="G67" s="174">
        <f>(COUNTIF(SEMANA2[2],E67)*2)</f>
        <v/>
      </c>
      <c r="H67" s="174">
        <f>COUNTIF(SEMANA2[22],E67)</f>
        <v/>
      </c>
      <c r="I67" s="431">
        <f>SUM(F67,G67,H67)</f>
        <v/>
      </c>
      <c r="J67" s="175" t="n">
        <v>7</v>
      </c>
      <c r="K67" s="174">
        <f>(COUNTIF(SEMANA2[12],J67)*3)</f>
        <v/>
      </c>
      <c r="L67" s="174">
        <f>(COUNTIF(SEMANA2[Columna2],J67)*2)</f>
        <v/>
      </c>
      <c r="M67" s="174">
        <f>COUNTIF(SEMANA2[Columna23],J67)</f>
        <v/>
      </c>
      <c r="N67" s="431">
        <f>SUM(K67,L67,M67)</f>
        <v/>
      </c>
      <c r="O67" s="175" t="n">
        <v>1</v>
      </c>
      <c r="P67" s="174">
        <f>(COUNTIF(SEMANA2[Columna4],O67)*3)</f>
        <v/>
      </c>
      <c r="Q67" s="174">
        <f>(COUNTIF(SEMANA2[Columna5],O67)*2)</f>
        <v/>
      </c>
      <c r="R67" s="174">
        <f>COUNTIF(SEMANA2[Columna53],O67)</f>
        <v/>
      </c>
      <c r="S67" s="431">
        <f>SUM(P67,Q67,R67)</f>
        <v/>
      </c>
      <c r="T67" s="175" t="n">
        <v>5</v>
      </c>
      <c r="U67" s="174">
        <f>(COUNTIF(SEMANA2[Columna7],T67)*3)</f>
        <v/>
      </c>
      <c r="V67" s="174">
        <f>(COUNTIF(SEMANA2[Columna8],T67)*2)</f>
        <v/>
      </c>
      <c r="W67" s="174">
        <f>COUNTIF(SEMANA2[Columna83],T67)</f>
        <v/>
      </c>
      <c r="X67" s="431">
        <f>SUM(U67,V67,W67)</f>
        <v/>
      </c>
      <c r="Y67" s="175" t="n">
        <v>1</v>
      </c>
      <c r="Z67" s="174">
        <f>(COUNTIF(SEMANA2[Columna10],Y67)*3)</f>
        <v/>
      </c>
      <c r="AA67" s="174">
        <f>(COUNTIF(SEMANA2[Columna11],Y67)*2)</f>
        <v/>
      </c>
      <c r="AB67" s="174">
        <f>COUNTIF(SEMANA2[Columna113],Y67)</f>
        <v/>
      </c>
      <c r="AC67" s="431">
        <f>SUM(Z67,AA67,AB67)</f>
        <v/>
      </c>
      <c r="AD67" s="175" t="n">
        <v>4</v>
      </c>
      <c r="AE67" s="174">
        <f>(COUNTIF(SEMANA2[1RA],AD67)*3)</f>
        <v/>
      </c>
      <c r="AF67" s="174">
        <f>(COUNTIF(SEMANA2[2DA],AD67)*2)</f>
        <v/>
      </c>
      <c r="AG67" s="174">
        <f>COUNTIF(SEMANA2[2DA2],AD67)</f>
        <v/>
      </c>
      <c r="AH67" s="431">
        <f>SUM(AE67,AF67,AG67)</f>
        <v/>
      </c>
      <c r="AI67" s="175" t="n">
        <v>6</v>
      </c>
      <c r="AJ67" s="174">
        <f>(COUNTIF(SEMANA2[Columna16],AI67)*3)</f>
        <v/>
      </c>
      <c r="AK67" s="174">
        <f>(COUNTIF(SEMANA2[Columna17],AI67)*2)</f>
        <v/>
      </c>
      <c r="AL67" s="174">
        <f>COUNTIF(SEMANA2[Columna173],AI67)</f>
        <v/>
      </c>
      <c r="AM67" s="431">
        <f>SUM(AJ67,AK67,AL67)</f>
        <v/>
      </c>
      <c r="AN67" s="175" t="n">
        <v>1</v>
      </c>
      <c r="AO67" s="174">
        <f>(COUNTIF(SEMANA2[123],AN67)*3)</f>
        <v/>
      </c>
      <c r="AP67" s="174">
        <f>(COUNTIF(SEMANA2[555],AN67)*2)</f>
        <v/>
      </c>
      <c r="AQ67" s="174">
        <f>COUNTIF(SEMANA2[556],AN67)</f>
        <v/>
      </c>
      <c r="AR67" s="431">
        <f>SUM(AO67,AP67,AQ67)</f>
        <v/>
      </c>
      <c r="AS67" s="175" t="n">
        <v>10</v>
      </c>
      <c r="AT67" s="174">
        <f>(COUNTIF(SEMANA2[AAAA],AS67)*3)</f>
        <v/>
      </c>
      <c r="AU67" s="174">
        <f>(COUNTIF(SEMANA2[BBBB],AS67)*2)</f>
        <v/>
      </c>
      <c r="AV67" s="174">
        <f>COUNTIF(SEMANA2[Columna13],AS67)</f>
        <v/>
      </c>
      <c r="AW67" s="431">
        <f>SUM(AT67,AU67,AV67)</f>
        <v/>
      </c>
      <c r="AX67" s="175" t="n">
        <v>10</v>
      </c>
      <c r="AY67" s="174">
        <f>(COUNTIF(SEMANA2[Columna25],AX67)*3)</f>
        <v/>
      </c>
      <c r="AZ67" s="174">
        <f>(COUNTIF(SEMANA2[Columna26],AX67)*2)</f>
        <v/>
      </c>
      <c r="BA67" s="174">
        <f>COUNTIF(SEMANA2[Columna263],AX67)</f>
        <v/>
      </c>
      <c r="BB67" s="431">
        <f>SUM(AY67,AZ67,BA67)</f>
        <v/>
      </c>
      <c r="BC67" s="175" t="n">
        <v>5</v>
      </c>
      <c r="BD67" s="174">
        <f>(COUNTIF(SEMANA2[Columna272],BC67)*3)</f>
        <v/>
      </c>
      <c r="BE67" s="174">
        <f>(COUNTIF(SEMANA2[Columna273],BC67)*2)</f>
        <v/>
      </c>
      <c r="BF67" s="174">
        <f>COUNTIF(SEMANA2[Columna2732],BC67)</f>
        <v/>
      </c>
      <c r="BG67" s="431">
        <f>SUM(BD67,BE67,BF67)</f>
        <v/>
      </c>
      <c r="BH67" s="175" t="n">
        <v>1</v>
      </c>
      <c r="BI67" s="174">
        <f>(COUNTIF(SEMANA2[Columna276],BH67)*3)</f>
        <v/>
      </c>
      <c r="BJ67" s="174">
        <f>(COUNTIF(SEMANA2[Columna277],BH67)*2)</f>
        <v/>
      </c>
      <c r="BK67" s="174">
        <f>COUNTIF(SEMANA2[Columna2772],BH67)</f>
        <v/>
      </c>
      <c r="BL67" s="431">
        <f>SUM(BI67,BJ67,BK67)</f>
        <v/>
      </c>
      <c r="BM67" s="175" t="n">
        <v>1</v>
      </c>
      <c r="BN67" s="174">
        <f>(COUNTIF(SEMANA2[Columna280],BM67)*3)</f>
        <v/>
      </c>
      <c r="BO67" s="174">
        <f>(COUNTIF(SEMANA2[Columna281],BM67)*2)</f>
        <v/>
      </c>
      <c r="BP67" s="174">
        <f>COUNTIF(SEMANA2[Columna2812],BM67)</f>
        <v/>
      </c>
      <c r="BQ67" s="111">
        <f>SUM(BN67,BO67,BP67)</f>
        <v/>
      </c>
      <c r="BR67" s="173" t="n">
        <v>5</v>
      </c>
      <c r="BS67" s="110">
        <f>(COUNTIF(SEMANA2[Columna2802],BR67)*3)</f>
        <v/>
      </c>
      <c r="BT67" s="174">
        <f>(COUNTIF(SEMANA2[Columna2813],BR67)*2)</f>
        <v/>
      </c>
      <c r="BU67" s="428">
        <f>COUNTIF(SEMANA2[Columna28124],BR67)</f>
        <v/>
      </c>
      <c r="BV67" s="111">
        <f>SUM(BS67,BT67,BU67)</f>
        <v/>
      </c>
      <c r="BW67" s="175" t="n">
        <v>3</v>
      </c>
      <c r="BX67" s="110">
        <f>(COUNTIF(SEMANA2[Columna2803],BW67)*3)</f>
        <v/>
      </c>
      <c r="BY67" s="174">
        <f>(COUNTIF(SEMANA2[Columna2814],BW67)*2)</f>
        <v/>
      </c>
      <c r="BZ67" s="428">
        <f>COUNTIF(SEMANA2[Columna28125],BW67)</f>
        <v/>
      </c>
      <c r="CA67" s="111">
        <f>SUM(BX67,BY67,BZ67)</f>
        <v/>
      </c>
      <c r="CB67" s="175" t="n">
        <v>3</v>
      </c>
      <c r="CC67" s="110">
        <f>(COUNTIF(SEMANA2[Columna2804],CB67)*3)</f>
        <v/>
      </c>
      <c r="CD67" s="174">
        <f>(COUNTIF(SEMANA2[Columna2815],CB67)*2)</f>
        <v/>
      </c>
      <c r="CE67" s="428">
        <f>COUNTIF(SEMANA2[Columna28126],CB67)</f>
        <v/>
      </c>
      <c r="CF67" s="111">
        <f>SUM(CC67,CD67,CE67)</f>
        <v/>
      </c>
      <c r="CG67" s="105" t="n"/>
      <c r="CH67" s="105" t="n"/>
      <c r="DP67" s="393" t="n"/>
      <c r="DQ67" s="393" t="n"/>
      <c r="DR67" s="393" t="n"/>
      <c r="EH67" s="393" t="n"/>
      <c r="EI67" s="393" t="n"/>
      <c r="EJ67" s="393" t="n"/>
    </row>
    <row r="68" ht="27.95" customHeight="1" s="568">
      <c r="B68" s="104" t="n"/>
      <c r="C68" s="105" t="n"/>
      <c r="D68" s="105" t="n"/>
      <c r="E68" s="173" t="n">
        <v>6</v>
      </c>
      <c r="F68" s="110">
        <f>(COUNTIF(SEMANA2[1],E68)*3)</f>
        <v/>
      </c>
      <c r="G68" s="174">
        <f>(COUNTIF(SEMANA2[2],E68)*2)</f>
        <v/>
      </c>
      <c r="H68" s="174">
        <f>COUNTIF(SEMANA2[22],E68)</f>
        <v/>
      </c>
      <c r="I68" s="431">
        <f>SUM(F68,G68,H68)</f>
        <v/>
      </c>
      <c r="J68" s="175" t="n">
        <v>2</v>
      </c>
      <c r="K68" s="174">
        <f>(COUNTIF(SEMANA2[12],J68)*3)</f>
        <v/>
      </c>
      <c r="L68" s="174">
        <f>(COUNTIF(SEMANA2[Columna2],J68)*2)</f>
        <v/>
      </c>
      <c r="M68" s="174">
        <f>COUNTIF(SEMANA2[Columna23],J68)</f>
        <v/>
      </c>
      <c r="N68" s="431">
        <f>SUM(K68,L68,M68)</f>
        <v/>
      </c>
      <c r="O68" s="175" t="n">
        <v>3</v>
      </c>
      <c r="P68" s="174">
        <f>(COUNTIF(SEMANA2[Columna4],O68)*3)</f>
        <v/>
      </c>
      <c r="Q68" s="174">
        <f>(COUNTIF(SEMANA2[Columna5],O68)*2)</f>
        <v/>
      </c>
      <c r="R68" s="174">
        <f>COUNTIF(SEMANA2[Columna53],O68)</f>
        <v/>
      </c>
      <c r="S68" s="431">
        <f>SUM(P68,Q68,R68)</f>
        <v/>
      </c>
      <c r="T68" s="175" t="n">
        <v>7</v>
      </c>
      <c r="U68" s="174">
        <f>(COUNTIF(SEMANA2[Columna7],T68)*3)</f>
        <v/>
      </c>
      <c r="V68" s="174">
        <f>(COUNTIF(SEMANA2[Columna8],T68)*2)</f>
        <v/>
      </c>
      <c r="W68" s="174">
        <f>COUNTIF(SEMANA2[Columna83],T68)</f>
        <v/>
      </c>
      <c r="X68" s="431">
        <f>SUM(U68,V68,W68)</f>
        <v/>
      </c>
      <c r="Y68" s="175" t="n">
        <v>7</v>
      </c>
      <c r="Z68" s="174">
        <f>(COUNTIF(SEMANA2[Columna10],Y68)*3)</f>
        <v/>
      </c>
      <c r="AA68" s="174">
        <f>(COUNTIF(SEMANA2[Columna11],Y68)*2)</f>
        <v/>
      </c>
      <c r="AB68" s="174">
        <f>COUNTIF(SEMANA2[Columna113],Y68)</f>
        <v/>
      </c>
      <c r="AC68" s="431">
        <f>SUM(Z68,AA68,AB68)</f>
        <v/>
      </c>
      <c r="AD68" s="175" t="n">
        <v>10</v>
      </c>
      <c r="AE68" s="174">
        <f>(COUNTIF(SEMANA2[1RA],AD68)*3)</f>
        <v/>
      </c>
      <c r="AF68" s="174">
        <f>(COUNTIF(SEMANA2[2DA],AD68)*2)</f>
        <v/>
      </c>
      <c r="AG68" s="174">
        <f>COUNTIF(SEMANA2[2DA2],AD68)</f>
        <v/>
      </c>
      <c r="AH68" s="431">
        <f>SUM(AE68,AF68,AG68)</f>
        <v/>
      </c>
      <c r="AI68" s="175" t="n">
        <v>8</v>
      </c>
      <c r="AJ68" s="174">
        <f>(COUNTIF(SEMANA2[Columna16],AI68)*3)</f>
        <v/>
      </c>
      <c r="AK68" s="174">
        <f>(COUNTIF(SEMANA2[Columna17],AI68)*2)</f>
        <v/>
      </c>
      <c r="AL68" s="174">
        <f>COUNTIF(SEMANA2[Columna173],AI68)</f>
        <v/>
      </c>
      <c r="AM68" s="431">
        <f>SUM(AJ68,AK68,AL68)</f>
        <v/>
      </c>
      <c r="AN68" s="175" t="n">
        <v>2</v>
      </c>
      <c r="AO68" s="174">
        <f>(COUNTIF(SEMANA2[123],AN68)*3)</f>
        <v/>
      </c>
      <c r="AP68" s="174">
        <f>(COUNTIF(SEMANA2[555],AN68)*2)</f>
        <v/>
      </c>
      <c r="AQ68" s="174">
        <f>COUNTIF(SEMANA2[556],AN68)</f>
        <v/>
      </c>
      <c r="AR68" s="431">
        <f>SUM(AO68,AP68,AQ68)</f>
        <v/>
      </c>
      <c r="AS68" s="175" t="n">
        <v>1</v>
      </c>
      <c r="AT68" s="174">
        <f>(COUNTIF(SEMANA2[AAAA],AS68)*3)</f>
        <v/>
      </c>
      <c r="AU68" s="174">
        <f>(COUNTIF(SEMANA2[BBBB],AS68)*2)</f>
        <v/>
      </c>
      <c r="AV68" s="174">
        <f>COUNTIF(SEMANA2[Columna13],AS68)</f>
        <v/>
      </c>
      <c r="AW68" s="431">
        <f>SUM(AT68,AU68,AV68)</f>
        <v/>
      </c>
      <c r="AX68" s="175" t="n">
        <v>6</v>
      </c>
      <c r="AY68" s="174">
        <f>(COUNTIF(SEMANA2[Columna25],AX68)*3)</f>
        <v/>
      </c>
      <c r="AZ68" s="174">
        <f>(COUNTIF(SEMANA2[Columna26],AX68)*2)</f>
        <v/>
      </c>
      <c r="BA68" s="174">
        <f>COUNTIF(SEMANA2[Columna263],AX68)</f>
        <v/>
      </c>
      <c r="BB68" s="431">
        <f>SUM(AY68,AZ68,BA68)</f>
        <v/>
      </c>
      <c r="BC68" s="175" t="n">
        <v>6</v>
      </c>
      <c r="BD68" s="174">
        <f>(COUNTIF(SEMANA2[Columna272],BC68)*3)</f>
        <v/>
      </c>
      <c r="BE68" s="174">
        <f>(COUNTIF(SEMANA2[Columna273],BC68)*2)</f>
        <v/>
      </c>
      <c r="BF68" s="174">
        <f>COUNTIF(SEMANA2[Columna2732],BC68)</f>
        <v/>
      </c>
      <c r="BG68" s="431">
        <f>SUM(BD68,BE68,BF68)</f>
        <v/>
      </c>
      <c r="BH68" s="175" t="n">
        <v>2</v>
      </c>
      <c r="BI68" s="174">
        <f>(COUNTIF(SEMANA2[Columna276],BH68)*3)</f>
        <v/>
      </c>
      <c r="BJ68" s="174">
        <f>(COUNTIF(SEMANA2[Columna277],BH68)*2)</f>
        <v/>
      </c>
      <c r="BK68" s="174">
        <f>COUNTIF(SEMANA2[Columna2772],BH68)</f>
        <v/>
      </c>
      <c r="BL68" s="431">
        <f>SUM(BI68,BJ68,BK68)</f>
        <v/>
      </c>
      <c r="BM68" s="175" t="n">
        <v>9</v>
      </c>
      <c r="BN68" s="174">
        <f>(COUNTIF(SEMANA2[Columna280],BM68)*3)</f>
        <v/>
      </c>
      <c r="BO68" s="174">
        <f>(COUNTIF(SEMANA2[Columna281],BM68)*2)</f>
        <v/>
      </c>
      <c r="BP68" s="174">
        <f>COUNTIF(SEMANA2[Columna2812],BM68)</f>
        <v/>
      </c>
      <c r="BQ68" s="111">
        <f>SUM(BN68,BO68,BP68)</f>
        <v/>
      </c>
      <c r="BR68" s="173" t="n">
        <v>1</v>
      </c>
      <c r="BS68" s="110">
        <f>(COUNTIF(SEMANA2[Columna2802],BR68)*3)</f>
        <v/>
      </c>
      <c r="BT68" s="174">
        <f>(COUNTIF(SEMANA2[Columna2813],BR68)*2)</f>
        <v/>
      </c>
      <c r="BU68" s="428">
        <f>COUNTIF(SEMANA2[Columna28124],BR68)</f>
        <v/>
      </c>
      <c r="BV68" s="111">
        <f>SUM(BS68,BT68,BU68)</f>
        <v/>
      </c>
      <c r="BW68" s="175" t="n">
        <v>12</v>
      </c>
      <c r="BX68" s="110">
        <f>(COUNTIF(SEMANA2[Columna2803],BW68)*3)</f>
        <v/>
      </c>
      <c r="BY68" s="174">
        <f>(COUNTIF(SEMANA2[Columna2814],BW68)*2)</f>
        <v/>
      </c>
      <c r="BZ68" s="428">
        <f>COUNTIF(SEMANA2[Columna28125],BW68)</f>
        <v/>
      </c>
      <c r="CA68" s="111">
        <f>SUM(BX68,BY68,BZ68)</f>
        <v/>
      </c>
      <c r="CB68" s="175" t="n">
        <v>12</v>
      </c>
      <c r="CC68" s="110">
        <f>(COUNTIF(SEMANA2[Columna2804],CB68)*3)</f>
        <v/>
      </c>
      <c r="CD68" s="174">
        <f>(COUNTIF(SEMANA2[Columna2815],CB68)*2)</f>
        <v/>
      </c>
      <c r="CE68" s="428">
        <f>COUNTIF(SEMANA2[Columna28126],CB68)</f>
        <v/>
      </c>
      <c r="CF68" s="111">
        <f>SUM(CC68,CD68,CE68)</f>
        <v/>
      </c>
      <c r="CG68" s="105" t="n"/>
      <c r="CH68" s="105" t="n"/>
      <c r="DP68" s="393" t="n"/>
      <c r="DQ68" s="393" t="n"/>
      <c r="DR68" s="393" t="n"/>
      <c r="EH68" s="393" t="n"/>
      <c r="EI68" s="393" t="n"/>
      <c r="EJ68" s="393" t="n"/>
    </row>
    <row r="69" ht="27.95" customHeight="1" s="568">
      <c r="B69" s="104" t="n"/>
      <c r="C69" s="105" t="n"/>
      <c r="D69" s="105" t="n"/>
      <c r="E69" s="173" t="n">
        <v>4</v>
      </c>
      <c r="F69" s="110">
        <f>(COUNTIF(SEMANA2[1],E69)*3)</f>
        <v/>
      </c>
      <c r="G69" s="174">
        <f>(COUNTIF(SEMANA2[2],E69)*2)</f>
        <v/>
      </c>
      <c r="H69" s="174">
        <f>COUNTIF(SEMANA2[22],E69)</f>
        <v/>
      </c>
      <c r="I69" s="431">
        <f>SUM(F69,G69,H69)</f>
        <v/>
      </c>
      <c r="J69" s="175" t="n">
        <v>4</v>
      </c>
      <c r="K69" s="174">
        <f>(COUNTIF(SEMANA2[12],J69)*3)</f>
        <v/>
      </c>
      <c r="L69" s="174">
        <f>(COUNTIF(SEMANA2[Columna2],J69)*2)</f>
        <v/>
      </c>
      <c r="M69" s="174">
        <f>COUNTIF(SEMANA2[Columna23],J69)</f>
        <v/>
      </c>
      <c r="N69" s="431">
        <f>SUM(K69,L69,M69)</f>
        <v/>
      </c>
      <c r="O69" s="175" t="n">
        <v>7</v>
      </c>
      <c r="P69" s="174">
        <f>(COUNTIF(SEMANA2[Columna4],O69)*3)</f>
        <v/>
      </c>
      <c r="Q69" s="174">
        <f>(COUNTIF(SEMANA2[Columna5],O69)*2)</f>
        <v/>
      </c>
      <c r="R69" s="174">
        <f>COUNTIF(SEMANA2[Columna53],O69)</f>
        <v/>
      </c>
      <c r="S69" s="431">
        <f>SUM(P69,Q69,R69)</f>
        <v/>
      </c>
      <c r="T69" s="175" t="n">
        <v>4</v>
      </c>
      <c r="U69" s="174">
        <f>(COUNTIF(SEMANA2[Columna7],T69)*3)</f>
        <v/>
      </c>
      <c r="V69" s="174">
        <f>(COUNTIF(SEMANA2[Columna8],T69)*2)</f>
        <v/>
      </c>
      <c r="W69" s="174">
        <f>COUNTIF(SEMANA2[Columna83],T69)</f>
        <v/>
      </c>
      <c r="X69" s="431">
        <f>SUM(U69,V69,W69)</f>
        <v/>
      </c>
      <c r="Y69" s="175" t="n">
        <v>4</v>
      </c>
      <c r="Z69" s="174">
        <f>(COUNTIF(SEMANA2[Columna10],Y69)*3)</f>
        <v/>
      </c>
      <c r="AA69" s="174">
        <f>(COUNTIF(SEMANA2[Columna11],Y69)*2)</f>
        <v/>
      </c>
      <c r="AB69" s="174">
        <f>COUNTIF(SEMANA2[Columna113],Y69)</f>
        <v/>
      </c>
      <c r="AC69" s="431">
        <f>SUM(Z69,AA69,AB69)</f>
        <v/>
      </c>
      <c r="AD69" s="175" t="n">
        <v>3</v>
      </c>
      <c r="AE69" s="174">
        <f>(COUNTIF(SEMANA2[1RA],AD69)*3)</f>
        <v/>
      </c>
      <c r="AF69" s="174">
        <f>(COUNTIF(SEMANA2[2DA],AD69)*2)</f>
        <v/>
      </c>
      <c r="AG69" s="174">
        <f>COUNTIF(SEMANA2[2DA2],AD69)</f>
        <v/>
      </c>
      <c r="AH69" s="431">
        <f>SUM(AE69,AF69,AG69)</f>
        <v/>
      </c>
      <c r="AI69" s="175" t="n">
        <v>2</v>
      </c>
      <c r="AJ69" s="174">
        <f>(COUNTIF(SEMANA2[Columna16],AI69)*3)</f>
        <v/>
      </c>
      <c r="AK69" s="174">
        <f>(COUNTIF(SEMANA2[Columna17],AI69)*2)</f>
        <v/>
      </c>
      <c r="AL69" s="174">
        <f>COUNTIF(SEMANA2[Columna173],AI69)</f>
        <v/>
      </c>
      <c r="AM69" s="431">
        <f>SUM(AJ69,AK69,AL69)</f>
        <v/>
      </c>
      <c r="AN69" s="175" t="n">
        <v>6</v>
      </c>
      <c r="AO69" s="174">
        <f>(COUNTIF(SEMANA2[123],AN69)*3)</f>
        <v/>
      </c>
      <c r="AP69" s="174">
        <f>(COUNTIF(SEMANA2[555],AN69)*2)</f>
        <v/>
      </c>
      <c r="AQ69" s="174">
        <f>COUNTIF(SEMANA2[556],AN69)</f>
        <v/>
      </c>
      <c r="AR69" s="431">
        <f>SUM(AO69,AP69,AQ69)</f>
        <v/>
      </c>
      <c r="AS69" s="175" t="n">
        <v>9</v>
      </c>
      <c r="AT69" s="174">
        <f>(COUNTIF(SEMANA2[AAAA],AS69)*3)</f>
        <v/>
      </c>
      <c r="AU69" s="174">
        <f>(COUNTIF(SEMANA2[BBBB],AS69)*2)</f>
        <v/>
      </c>
      <c r="AV69" s="174">
        <f>COUNTIF(SEMANA2[Columna13],AS69)</f>
        <v/>
      </c>
      <c r="AW69" s="431">
        <f>SUM(AT69,AU69,AV69)</f>
        <v/>
      </c>
      <c r="AX69" s="175" t="n">
        <v>2</v>
      </c>
      <c r="AY69" s="174">
        <f>(COUNTIF(SEMANA2[Columna25],AX69)*3)</f>
        <v/>
      </c>
      <c r="AZ69" s="174">
        <f>(COUNTIF(SEMANA2[Columna26],AX69)*2)</f>
        <v/>
      </c>
      <c r="BA69" s="174">
        <f>COUNTIF(SEMANA2[Columna263],AX69)</f>
        <v/>
      </c>
      <c r="BB69" s="431">
        <f>SUM(AY69,AZ69,BA69)</f>
        <v/>
      </c>
      <c r="BC69" s="175" t="n">
        <v>3</v>
      </c>
      <c r="BD69" s="174">
        <f>(COUNTIF(SEMANA2[Columna272],BC69)*3)</f>
        <v/>
      </c>
      <c r="BE69" s="174">
        <f>(COUNTIF(SEMANA2[Columna273],BC69)*2)</f>
        <v/>
      </c>
      <c r="BF69" s="174">
        <f>COUNTIF(SEMANA2[Columna2732],BC69)</f>
        <v/>
      </c>
      <c r="BG69" s="431">
        <f>SUM(BD69,BE69,BF69)</f>
        <v/>
      </c>
      <c r="BH69" s="175" t="n">
        <v>5</v>
      </c>
      <c r="BI69" s="174">
        <f>(COUNTIF(SEMANA2[Columna276],BH69)*3)</f>
        <v/>
      </c>
      <c r="BJ69" s="174">
        <f>(COUNTIF(SEMANA2[Columna277],BH69)*2)</f>
        <v/>
      </c>
      <c r="BK69" s="174">
        <f>COUNTIF(SEMANA2[Columna2772],BH69)</f>
        <v/>
      </c>
      <c r="BL69" s="431">
        <f>SUM(BI69,BJ69,BK69)</f>
        <v/>
      </c>
      <c r="BM69" s="175" t="n">
        <v>3</v>
      </c>
      <c r="BN69" s="174">
        <f>(COUNTIF(SEMANA2[Columna280],BM69)*3)</f>
        <v/>
      </c>
      <c r="BO69" s="174">
        <f>(COUNTIF(SEMANA2[Columna281],BM69)*2)</f>
        <v/>
      </c>
      <c r="BP69" s="174">
        <f>COUNTIF(SEMANA2[Columna2812],BM69)</f>
        <v/>
      </c>
      <c r="BQ69" s="111">
        <f>SUM(BN69,BO69,BP69)</f>
        <v/>
      </c>
      <c r="BR69" s="173" t="n">
        <v>2</v>
      </c>
      <c r="BS69" s="110">
        <f>(COUNTIF(SEMANA2[Columna2802],BR69)*3)</f>
        <v/>
      </c>
      <c r="BT69" s="174">
        <f>(COUNTIF(SEMANA2[Columna2813],BR69)*2)</f>
        <v/>
      </c>
      <c r="BU69" s="428">
        <f>COUNTIF(SEMANA2[Columna28124],BR69)</f>
        <v/>
      </c>
      <c r="BV69" s="111">
        <f>SUM(BS69,BT69,BU69)</f>
        <v/>
      </c>
      <c r="BW69" s="175" t="n">
        <v>2</v>
      </c>
      <c r="BX69" s="110">
        <f>(COUNTIF(SEMANA2[Columna2803],BW69)*3)</f>
        <v/>
      </c>
      <c r="BY69" s="174">
        <f>(COUNTIF(SEMANA2[Columna2814],BW69)*2)</f>
        <v/>
      </c>
      <c r="BZ69" s="428">
        <f>COUNTIF(SEMANA2[Columna28125],BW69)</f>
        <v/>
      </c>
      <c r="CA69" s="111">
        <f>SUM(BX69,BY69,BZ69)</f>
        <v/>
      </c>
      <c r="CB69" s="175" t="n">
        <v>2</v>
      </c>
      <c r="CC69" s="110">
        <f>(COUNTIF(SEMANA2[Columna2804],CB69)*3)</f>
        <v/>
      </c>
      <c r="CD69" s="174">
        <f>(COUNTIF(SEMANA2[Columna2815],CB69)*2)</f>
        <v/>
      </c>
      <c r="CE69" s="428">
        <f>COUNTIF(SEMANA2[Columna28126],CB69)</f>
        <v/>
      </c>
      <c r="CF69" s="111">
        <f>SUM(CC69,CD69,CE69)</f>
        <v/>
      </c>
      <c r="CG69" s="105" t="n"/>
      <c r="CH69" s="105" t="n"/>
      <c r="DP69" s="393" t="n"/>
      <c r="DQ69" s="393" t="n"/>
      <c r="DR69" s="393" t="n"/>
      <c r="EH69" s="393" t="n"/>
      <c r="EI69" s="393" t="n"/>
      <c r="EJ69" s="393" t="n"/>
    </row>
    <row r="70" ht="27.95" customHeight="1" s="568">
      <c r="B70" s="104" t="n"/>
      <c r="C70" s="105" t="n"/>
      <c r="D70" s="105" t="n"/>
      <c r="E70" s="173" t="n">
        <v>3</v>
      </c>
      <c r="F70" s="110">
        <f>(COUNTIF(SEMANA2[1],E70)*3)</f>
        <v/>
      </c>
      <c r="G70" s="174">
        <f>(COUNTIF(SEMANA2[2],E70)*2)</f>
        <v/>
      </c>
      <c r="H70" s="174">
        <f>COUNTIF(SEMANA2[22],E70)</f>
        <v/>
      </c>
      <c r="I70" s="431">
        <f>SUM(F70,G70,H70)</f>
        <v/>
      </c>
      <c r="J70" s="175" t="n">
        <v>6</v>
      </c>
      <c r="K70" s="174">
        <f>(COUNTIF(SEMANA2[12],J70)*3)</f>
        <v/>
      </c>
      <c r="L70" s="174">
        <f>(COUNTIF(SEMANA2[Columna2],J70)*2)</f>
        <v/>
      </c>
      <c r="M70" s="174">
        <f>COUNTIF(SEMANA2[Columna23],J70)</f>
        <v/>
      </c>
      <c r="N70" s="431">
        <f>SUM(K70,L70,M70)</f>
        <v/>
      </c>
      <c r="O70" s="175" t="n">
        <v>8</v>
      </c>
      <c r="P70" s="174">
        <f>(COUNTIF(SEMANA2[Columna4],O70)*3)</f>
        <v/>
      </c>
      <c r="Q70" s="174">
        <f>(COUNTIF(SEMANA2[Columna5],O70)*2)</f>
        <v/>
      </c>
      <c r="R70" s="174">
        <f>COUNTIF(SEMANA2[Columna53],O70)</f>
        <v/>
      </c>
      <c r="S70" s="431">
        <f>SUM(P70,Q70,R70)</f>
        <v/>
      </c>
      <c r="T70" s="175" t="n">
        <v>1</v>
      </c>
      <c r="U70" s="174">
        <f>(COUNTIF(SEMANA2[Columna7],T70)*3)</f>
        <v/>
      </c>
      <c r="V70" s="174">
        <f>(COUNTIF(SEMANA2[Columna8],T70)*2)</f>
        <v/>
      </c>
      <c r="W70" s="174">
        <f>COUNTIF(SEMANA2[Columna83],T70)</f>
        <v/>
      </c>
      <c r="X70" s="431">
        <f>SUM(U70,V70,W70)</f>
        <v/>
      </c>
      <c r="Y70" s="175" t="n">
        <v>5</v>
      </c>
      <c r="Z70" s="174">
        <f>(COUNTIF(SEMANA2[Columna10],Y70)*3)</f>
        <v/>
      </c>
      <c r="AA70" s="174">
        <f>(COUNTIF(SEMANA2[Columna11],Y70)*2)</f>
        <v/>
      </c>
      <c r="AB70" s="174">
        <f>COUNTIF(SEMANA2[Columna113],Y70)</f>
        <v/>
      </c>
      <c r="AC70" s="431">
        <f>SUM(Z70,AA70,AB70)</f>
        <v/>
      </c>
      <c r="AD70" s="175" t="n">
        <v>7</v>
      </c>
      <c r="AE70" s="174">
        <f>(COUNTIF(SEMANA2[1RA],AD70)*3)</f>
        <v/>
      </c>
      <c r="AF70" s="174">
        <f>(COUNTIF(SEMANA2[2DA],AD70)*2)</f>
        <v/>
      </c>
      <c r="AG70" s="174">
        <f>COUNTIF(SEMANA2[2DA2],AD70)</f>
        <v/>
      </c>
      <c r="AH70" s="431">
        <f>SUM(AE70,AF70,AG70)</f>
        <v/>
      </c>
      <c r="AI70" s="175" t="n">
        <v>9</v>
      </c>
      <c r="AJ70" s="174">
        <f>(COUNTIF(SEMANA2[Columna16],AI70)*3)</f>
        <v/>
      </c>
      <c r="AK70" s="174">
        <f>(COUNTIF(SEMANA2[Columna17],AI70)*2)</f>
        <v/>
      </c>
      <c r="AL70" s="174">
        <f>COUNTIF(SEMANA2[Columna173],AI70)</f>
        <v/>
      </c>
      <c r="AM70" s="431">
        <f>SUM(AJ70,AK70,AL70)</f>
        <v/>
      </c>
      <c r="AN70" s="175" t="n">
        <v>4</v>
      </c>
      <c r="AO70" s="174">
        <f>(COUNTIF(SEMANA2[123],AN70)*3)</f>
        <v/>
      </c>
      <c r="AP70" s="174">
        <f>(COUNTIF(SEMANA2[555],AN70)*2)</f>
        <v/>
      </c>
      <c r="AQ70" s="174">
        <f>COUNTIF(SEMANA2[556],AN70)</f>
        <v/>
      </c>
      <c r="AR70" s="431">
        <f>SUM(AO70,AP70,AQ70)</f>
        <v/>
      </c>
      <c r="AS70" s="175" t="n">
        <v>11</v>
      </c>
      <c r="AT70" s="174">
        <f>(COUNTIF(SEMANA2[AAAA],AS70)*3)</f>
        <v/>
      </c>
      <c r="AU70" s="174">
        <f>(COUNTIF(SEMANA2[BBBB],AS70)*2)</f>
        <v/>
      </c>
      <c r="AV70" s="174">
        <f>COUNTIF(SEMANA2[Columna13],AS70)</f>
        <v/>
      </c>
      <c r="AW70" s="431">
        <f>SUM(AT70,AU70,AV70)</f>
        <v/>
      </c>
      <c r="AX70" s="175" t="n">
        <v>5</v>
      </c>
      <c r="AY70" s="174">
        <f>(COUNTIF(SEMANA2[Columna25],AX70)*3)</f>
        <v/>
      </c>
      <c r="AZ70" s="174">
        <f>(COUNTIF(SEMANA2[Columna26],AX70)*2)</f>
        <v/>
      </c>
      <c r="BA70" s="174">
        <f>COUNTIF(SEMANA2[Columna263],AX70)</f>
        <v/>
      </c>
      <c r="BB70" s="431">
        <f>SUM(AY70,AZ70,BA70)</f>
        <v/>
      </c>
      <c r="BC70" s="175" t="n">
        <v>2</v>
      </c>
      <c r="BD70" s="174">
        <f>(COUNTIF(SEMANA2[Columna272],BC70)*3)</f>
        <v/>
      </c>
      <c r="BE70" s="174">
        <f>(COUNTIF(SEMANA2[Columna273],BC70)*2)</f>
        <v/>
      </c>
      <c r="BF70" s="174">
        <f>COUNTIF(SEMANA2[Columna2732],BC70)</f>
        <v/>
      </c>
      <c r="BG70" s="431">
        <f>SUM(BD70,BE70,BF70)</f>
        <v/>
      </c>
      <c r="BH70" s="175" t="n">
        <v>8</v>
      </c>
      <c r="BI70" s="174">
        <f>(COUNTIF(SEMANA2[Columna276],BH70)*3)</f>
        <v/>
      </c>
      <c r="BJ70" s="174">
        <f>(COUNTIF(SEMANA2[Columna277],BH70)*2)</f>
        <v/>
      </c>
      <c r="BK70" s="174">
        <f>COUNTIF(SEMANA2[Columna2772],BH70)</f>
        <v/>
      </c>
      <c r="BL70" s="431">
        <f>SUM(BI70,BJ70,BK70)</f>
        <v/>
      </c>
      <c r="BM70" s="175" t="n">
        <v>5</v>
      </c>
      <c r="BN70" s="174">
        <f>(COUNTIF(SEMANA2[Columna280],BM70)*3)</f>
        <v/>
      </c>
      <c r="BO70" s="174">
        <f>(COUNTIF(SEMANA2[Columna281],BM70)*2)</f>
        <v/>
      </c>
      <c r="BP70" s="174">
        <f>COUNTIF(SEMANA2[Columna2812],BM70)</f>
        <v/>
      </c>
      <c r="BQ70" s="111">
        <f>SUM(BN70,BO70,BP70)</f>
        <v/>
      </c>
      <c r="BR70" s="173" t="n">
        <v>9</v>
      </c>
      <c r="BS70" s="110">
        <f>(COUNTIF(SEMANA2[Columna2802],BR70)*3)</f>
        <v/>
      </c>
      <c r="BT70" s="174">
        <f>(COUNTIF(SEMANA2[Columna2813],BR70)*2)</f>
        <v/>
      </c>
      <c r="BU70" s="428">
        <f>COUNTIF(SEMANA2[Columna28124],BR70)</f>
        <v/>
      </c>
      <c r="BV70" s="111">
        <f>SUM(BS70,BT70,BU70)</f>
        <v/>
      </c>
      <c r="BW70" s="175" t="n">
        <v>9</v>
      </c>
      <c r="BX70" s="110">
        <f>(COUNTIF(SEMANA2[Columna2803],BW70)*3)</f>
        <v/>
      </c>
      <c r="BY70" s="174">
        <f>(COUNTIF(SEMANA2[Columna2814],BW70)*2)</f>
        <v/>
      </c>
      <c r="BZ70" s="428">
        <f>COUNTIF(SEMANA2[Columna28125],BW70)</f>
        <v/>
      </c>
      <c r="CA70" s="111">
        <f>SUM(BX70,BY70,BZ70)</f>
        <v/>
      </c>
      <c r="CB70" s="175" t="n">
        <v>9</v>
      </c>
      <c r="CC70" s="110">
        <f>(COUNTIF(SEMANA2[Columna2804],CB70)*3)</f>
        <v/>
      </c>
      <c r="CD70" s="174">
        <f>(COUNTIF(SEMANA2[Columna2815],CB70)*2)</f>
        <v/>
      </c>
      <c r="CE70" s="428">
        <f>COUNTIF(SEMANA2[Columna28126],CB70)</f>
        <v/>
      </c>
      <c r="CF70" s="111">
        <f>SUM(CC70,CD70,CE70)</f>
        <v/>
      </c>
      <c r="CG70" s="105" t="n"/>
      <c r="CH70" s="105" t="n"/>
      <c r="DP70" s="393" t="n"/>
      <c r="DQ70" s="393" t="n"/>
      <c r="DR70" s="393" t="n"/>
      <c r="EH70" s="393" t="n"/>
      <c r="EI70" s="393" t="n"/>
      <c r="EJ70" s="393" t="n"/>
    </row>
    <row r="71" ht="27.95" customHeight="1" s="568">
      <c r="B71" s="104" t="n"/>
      <c r="C71" s="105" t="n"/>
      <c r="D71" s="105" t="n"/>
      <c r="E71" s="173" t="n">
        <v>5</v>
      </c>
      <c r="F71" s="110">
        <f>(COUNTIF(SEMANA2[1],E71)*3)</f>
        <v/>
      </c>
      <c r="G71" s="174">
        <f>(COUNTIF(SEMANA2[2],E71)*2)</f>
        <v/>
      </c>
      <c r="H71" s="174">
        <f>COUNTIF(SEMANA2[22],E71)</f>
        <v/>
      </c>
      <c r="I71" s="431">
        <f>SUM(F71,G71,H71)</f>
        <v/>
      </c>
      <c r="J71" s="175" t="n">
        <v>10</v>
      </c>
      <c r="K71" s="174">
        <f>(COUNTIF(SEMANA2[12],J71)*3)</f>
        <v/>
      </c>
      <c r="L71" s="174">
        <f>(COUNTIF(SEMANA2[Columna2],J71)*2)</f>
        <v/>
      </c>
      <c r="M71" s="174">
        <f>COUNTIF(SEMANA2[Columna23],J71)</f>
        <v/>
      </c>
      <c r="N71" s="431">
        <f>SUM(K71,L71,M71)</f>
        <v/>
      </c>
      <c r="O71" s="175" t="n">
        <v>4</v>
      </c>
      <c r="P71" s="174">
        <f>(COUNTIF(SEMANA2[Columna4],O71)*3)</f>
        <v/>
      </c>
      <c r="Q71" s="174">
        <f>(COUNTIF(SEMANA2[Columna5],O71)*2)</f>
        <v/>
      </c>
      <c r="R71" s="174">
        <f>COUNTIF(SEMANA2[Columna53],O71)</f>
        <v/>
      </c>
      <c r="S71" s="431">
        <f>SUM(P71,Q71,R71)</f>
        <v/>
      </c>
      <c r="T71" s="175" t="n">
        <v>2</v>
      </c>
      <c r="U71" s="174">
        <f>(COUNTIF(SEMANA2[Columna7],T71)*3)</f>
        <v/>
      </c>
      <c r="V71" s="174">
        <f>(COUNTIF(SEMANA2[Columna8],T71)*2)</f>
        <v/>
      </c>
      <c r="W71" s="174">
        <f>COUNTIF(SEMANA2[Columna83],T71)</f>
        <v/>
      </c>
      <c r="X71" s="431">
        <f>SUM(U71,V71,W71)</f>
        <v/>
      </c>
      <c r="Y71" s="175" t="n">
        <v>6</v>
      </c>
      <c r="Z71" s="174">
        <f>(COUNTIF(SEMANA2[Columna10],Y71)*3)</f>
        <v/>
      </c>
      <c r="AA71" s="174">
        <f>(COUNTIF(SEMANA2[Columna11],Y71)*2)</f>
        <v/>
      </c>
      <c r="AB71" s="174">
        <f>COUNTIF(SEMANA2[Columna113],Y71)</f>
        <v/>
      </c>
      <c r="AC71" s="431">
        <f>SUM(Z71,AA71,AB71)</f>
        <v/>
      </c>
      <c r="AD71" s="175" t="n">
        <v>2</v>
      </c>
      <c r="AE71" s="174">
        <f>(COUNTIF(SEMANA2[1RA],AD71)*3)</f>
        <v/>
      </c>
      <c r="AF71" s="174">
        <f>(COUNTIF(SEMANA2[2DA],AD71)*2)</f>
        <v/>
      </c>
      <c r="AG71" s="174">
        <f>COUNTIF(SEMANA2[2DA2],AD71)</f>
        <v/>
      </c>
      <c r="AH71" s="431">
        <f>SUM(AE71,AF71,AG71)</f>
        <v/>
      </c>
      <c r="AI71" s="175" t="n">
        <v>3</v>
      </c>
      <c r="AJ71" s="174">
        <f>(COUNTIF(SEMANA2[Columna16],AI71)*3)</f>
        <v/>
      </c>
      <c r="AK71" s="174">
        <f>(COUNTIF(SEMANA2[Columna17],AI71)*2)</f>
        <v/>
      </c>
      <c r="AL71" s="174">
        <f>COUNTIF(SEMANA2[Columna173],AI71)</f>
        <v/>
      </c>
      <c r="AM71" s="431">
        <f>SUM(AJ71,AK71,AL71)</f>
        <v/>
      </c>
      <c r="AN71" s="175" t="n">
        <v>7</v>
      </c>
      <c r="AO71" s="174">
        <f>(COUNTIF(SEMANA2[123],AN71)*3)</f>
        <v/>
      </c>
      <c r="AP71" s="174">
        <f>(COUNTIF(SEMANA2[555],AN71)*2)</f>
        <v/>
      </c>
      <c r="AQ71" s="174">
        <f>COUNTIF(SEMANA2[556],AN71)</f>
        <v/>
      </c>
      <c r="AR71" s="431">
        <f>SUM(AO71,AP71,AQ71)</f>
        <v/>
      </c>
      <c r="AS71" s="175" t="n">
        <v>5</v>
      </c>
      <c r="AT71" s="174">
        <f>(COUNTIF(SEMANA2[AAAA],AS71)*3)</f>
        <v/>
      </c>
      <c r="AU71" s="174">
        <f>(COUNTIF(SEMANA2[BBBB],AS71)*2)</f>
        <v/>
      </c>
      <c r="AV71" s="174">
        <f>COUNTIF(SEMANA2[Columna13],AS71)</f>
        <v/>
      </c>
      <c r="AW71" s="431">
        <f>SUM(AT71,AU71,AV71)</f>
        <v/>
      </c>
      <c r="AX71" s="175" t="n">
        <v>7</v>
      </c>
      <c r="AY71" s="174">
        <f>(COUNTIF(SEMANA2[Columna25],AX71)*3)</f>
        <v/>
      </c>
      <c r="AZ71" s="174">
        <f>(COUNTIF(SEMANA2[Columna26],AX71)*2)</f>
        <v/>
      </c>
      <c r="BA71" s="174">
        <f>COUNTIF(SEMANA2[Columna263],AX71)</f>
        <v/>
      </c>
      <c r="BB71" s="431">
        <f>SUM(AY71,AZ71,BA71)</f>
        <v/>
      </c>
      <c r="BC71" s="175" t="n">
        <v>4</v>
      </c>
      <c r="BD71" s="174">
        <f>(COUNTIF(SEMANA2[Columna272],BC71)*3)</f>
        <v/>
      </c>
      <c r="BE71" s="174">
        <f>(COUNTIF(SEMANA2[Columna273],BC71)*2)</f>
        <v/>
      </c>
      <c r="BF71" s="174">
        <f>COUNTIF(SEMANA2[Columna2732],BC71)</f>
        <v/>
      </c>
      <c r="BG71" s="431">
        <f>SUM(BD71,BE71,BF71)</f>
        <v/>
      </c>
      <c r="BH71" s="175" t="n">
        <v>4</v>
      </c>
      <c r="BI71" s="174">
        <f>(COUNTIF(SEMANA2[Columna276],BH71)*3)</f>
        <v/>
      </c>
      <c r="BJ71" s="174">
        <f>(COUNTIF(SEMANA2[Columna277],BH71)*2)</f>
        <v/>
      </c>
      <c r="BK71" s="174">
        <f>COUNTIF(SEMANA2[Columna2772],BH71)</f>
        <v/>
      </c>
      <c r="BL71" s="431">
        <f>SUM(BI71,BJ71,BK71)</f>
        <v/>
      </c>
      <c r="BM71" s="175" t="n">
        <v>2</v>
      </c>
      <c r="BN71" s="174">
        <f>(COUNTIF(SEMANA2[Columna280],BM71)*3)</f>
        <v/>
      </c>
      <c r="BO71" s="174">
        <f>(COUNTIF(SEMANA2[Columna281],BM71)*2)</f>
        <v/>
      </c>
      <c r="BP71" s="174">
        <f>COUNTIF(SEMANA2[Columna2812],BM71)</f>
        <v/>
      </c>
      <c r="BQ71" s="111">
        <f>SUM(BN71,BO71,BP71)</f>
        <v/>
      </c>
      <c r="BR71" s="173" t="n">
        <v>7</v>
      </c>
      <c r="BS71" s="110">
        <f>(COUNTIF(SEMANA2[Columna2802],BR71)*3)</f>
        <v/>
      </c>
      <c r="BT71" s="174">
        <f>(COUNTIF(SEMANA2[Columna2813],BR71)*2)</f>
        <v/>
      </c>
      <c r="BU71" s="428">
        <f>COUNTIF(SEMANA2[Columna28124],BR71)</f>
        <v/>
      </c>
      <c r="BV71" s="111">
        <f>SUM(BS71,BT71,BU71)</f>
        <v/>
      </c>
      <c r="BW71" s="175" t="n">
        <v>10</v>
      </c>
      <c r="BX71" s="110">
        <f>(COUNTIF(SEMANA2[Columna2803],BW71)*3)</f>
        <v/>
      </c>
      <c r="BY71" s="174">
        <f>(COUNTIF(SEMANA2[Columna2814],BW71)*2)</f>
        <v/>
      </c>
      <c r="BZ71" s="428">
        <f>COUNTIF(SEMANA2[Columna28125],BW71)</f>
        <v/>
      </c>
      <c r="CA71" s="111">
        <f>SUM(BX71,BY71,BZ71)</f>
        <v/>
      </c>
      <c r="CB71" s="175" t="n">
        <v>10</v>
      </c>
      <c r="CC71" s="110">
        <f>(COUNTIF(SEMANA2[Columna2804],CB71)*3)</f>
        <v/>
      </c>
      <c r="CD71" s="174">
        <f>(COUNTIF(SEMANA2[Columna2815],CB71)*2)</f>
        <v/>
      </c>
      <c r="CE71" s="428">
        <f>COUNTIF(SEMANA2[Columna28126],CB71)</f>
        <v/>
      </c>
      <c r="CF71" s="111">
        <f>SUM(CC71,CD71,CE71)</f>
        <v/>
      </c>
      <c r="CG71" s="105" t="n"/>
      <c r="CH71" s="105" t="n"/>
      <c r="DP71" s="393" t="n"/>
      <c r="DQ71" s="393" t="n"/>
      <c r="DR71" s="393" t="n"/>
      <c r="EH71" s="393" t="n"/>
      <c r="EI71" s="393" t="n"/>
      <c r="EJ71" s="393" t="n"/>
    </row>
    <row r="72" ht="27.95" customHeight="1" s="568">
      <c r="B72" s="104" t="n"/>
      <c r="C72" s="105" t="n"/>
      <c r="D72" s="105" t="n"/>
      <c r="E72" s="173" t="n">
        <v>8</v>
      </c>
      <c r="F72" s="110">
        <f>(COUNTIF(SEMANA2[1],E72)*3)</f>
        <v/>
      </c>
      <c r="G72" s="174">
        <f>(COUNTIF(SEMANA2[2],E72)*2)</f>
        <v/>
      </c>
      <c r="H72" s="174">
        <f>COUNTIF(SEMANA2[22],E72)</f>
        <v/>
      </c>
      <c r="I72" s="431">
        <f>SUM(F72,G72,H72)</f>
        <v/>
      </c>
      <c r="J72" s="175" t="n">
        <v>5</v>
      </c>
      <c r="K72" s="174">
        <f>(COUNTIF(SEMANA2[12],J72)*3)</f>
        <v/>
      </c>
      <c r="L72" s="174">
        <f>(COUNTIF(SEMANA2[Columna2],J72)*2)</f>
        <v/>
      </c>
      <c r="M72" s="174">
        <f>COUNTIF(SEMANA2[Columna23],J72)</f>
        <v/>
      </c>
      <c r="N72" s="431">
        <f>SUM(K72,L72,M72)</f>
        <v/>
      </c>
      <c r="O72" s="175" t="n">
        <v>9</v>
      </c>
      <c r="P72" s="174">
        <f>(COUNTIF(SEMANA2[Columna4],O72)*3)</f>
        <v/>
      </c>
      <c r="Q72" s="174">
        <f>(COUNTIF(SEMANA2[Columna5],O72)*2)</f>
        <v/>
      </c>
      <c r="R72" s="174">
        <f>COUNTIF(SEMANA2[Columna53],O72)</f>
        <v/>
      </c>
      <c r="S72" s="431">
        <f>SUM(P72,Q72,R72)</f>
        <v/>
      </c>
      <c r="T72" s="175" t="n">
        <v>6</v>
      </c>
      <c r="U72" s="174">
        <f>(COUNTIF(SEMANA2[Columna7],T72)*3)</f>
        <v/>
      </c>
      <c r="V72" s="174">
        <f>(COUNTIF(SEMANA2[Columna8],T72)*2)</f>
        <v/>
      </c>
      <c r="W72" s="174">
        <f>COUNTIF(SEMANA2[Columna83],T72)</f>
        <v/>
      </c>
      <c r="X72" s="431">
        <f>SUM(U72,V72,W72)</f>
        <v/>
      </c>
      <c r="Y72" s="175" t="n">
        <v>3</v>
      </c>
      <c r="Z72" s="174">
        <f>(COUNTIF(SEMANA2[Columna10],Y72)*3)</f>
        <v/>
      </c>
      <c r="AA72" s="174">
        <f>(COUNTIF(SEMANA2[Columna11],Y72)*2)</f>
        <v/>
      </c>
      <c r="AB72" s="174">
        <f>COUNTIF(SEMANA2[Columna113],Y72)</f>
        <v/>
      </c>
      <c r="AC72" s="431">
        <f>SUM(Z72,AA72,AB72)</f>
        <v/>
      </c>
      <c r="AD72" s="175" t="n">
        <v>6</v>
      </c>
      <c r="AE72" s="174">
        <f>(COUNTIF(SEMANA2[1RA],AD72)*3)</f>
        <v/>
      </c>
      <c r="AF72" s="174">
        <f>(COUNTIF(SEMANA2[2DA],AD72)*2)</f>
        <v/>
      </c>
      <c r="AG72" s="174">
        <f>COUNTIF(SEMANA2[2DA2],AD72)</f>
        <v/>
      </c>
      <c r="AH72" s="431">
        <f>SUM(AE72,AF72,AG72)</f>
        <v/>
      </c>
      <c r="AI72" s="175" t="n">
        <v>1</v>
      </c>
      <c r="AJ72" s="174">
        <f>(COUNTIF(SEMANA2[Columna16],AI72)*3)</f>
        <v/>
      </c>
      <c r="AK72" s="174">
        <f>(COUNTIF(SEMANA2[Columna17],AI72)*2)</f>
        <v/>
      </c>
      <c r="AL72" s="174">
        <f>COUNTIF(SEMANA2[Columna173],AI72)</f>
        <v/>
      </c>
      <c r="AM72" s="431">
        <f>SUM(AJ72,AK72,AL72)</f>
        <v/>
      </c>
      <c r="AN72" s="175" t="n">
        <v>3</v>
      </c>
      <c r="AO72" s="174">
        <f>(COUNTIF(SEMANA2[123],AN72)*3)</f>
        <v/>
      </c>
      <c r="AP72" s="174">
        <f>(COUNTIF(SEMANA2[555],AN72)*2)</f>
        <v/>
      </c>
      <c r="AQ72" s="174">
        <f>COUNTIF(SEMANA2[556],AN72)</f>
        <v/>
      </c>
      <c r="AR72" s="431">
        <f>SUM(AO72,AP72,AQ72)</f>
        <v/>
      </c>
      <c r="AS72" s="175" t="n">
        <v>6</v>
      </c>
      <c r="AT72" s="174">
        <f>(COUNTIF(SEMANA2[AAAA],AS72)*3)</f>
        <v/>
      </c>
      <c r="AU72" s="174">
        <f>(COUNTIF(SEMANA2[BBBB],AS72)*2)</f>
        <v/>
      </c>
      <c r="AV72" s="174">
        <f>COUNTIF(SEMANA2[Columna13],AS72)</f>
        <v/>
      </c>
      <c r="AW72" s="431">
        <f>SUM(AT72,AU72,AV72)</f>
        <v/>
      </c>
      <c r="AX72" s="175" t="n">
        <v>4</v>
      </c>
      <c r="AY72" s="174">
        <f>(COUNTIF(SEMANA2[Columna25],AX72)*3)</f>
        <v/>
      </c>
      <c r="AZ72" s="174">
        <f>(COUNTIF(SEMANA2[Columna26],AX72)*2)</f>
        <v/>
      </c>
      <c r="BA72" s="174">
        <f>COUNTIF(SEMANA2[Columna263],AX72)</f>
        <v/>
      </c>
      <c r="BB72" s="431">
        <f>SUM(AY72,AZ72,BA72)</f>
        <v/>
      </c>
      <c r="BC72" s="175" t="n">
        <v>1</v>
      </c>
      <c r="BD72" s="174">
        <f>(COUNTIF(SEMANA2[Columna272],BC72)*3)</f>
        <v/>
      </c>
      <c r="BE72" s="174">
        <f>(COUNTIF(SEMANA2[Columna273],BC72)*2)</f>
        <v/>
      </c>
      <c r="BF72" s="174">
        <f>COUNTIF(SEMANA2[Columna2732],BC72)</f>
        <v/>
      </c>
      <c r="BG72" s="431">
        <f>SUM(BD72,BE72,BF72)</f>
        <v/>
      </c>
      <c r="BH72" s="175" t="n">
        <v>7</v>
      </c>
      <c r="BI72" s="174">
        <f>(COUNTIF(SEMANA2[Columna276],BH72)*3)</f>
        <v/>
      </c>
      <c r="BJ72" s="174">
        <f>(COUNTIF(SEMANA2[Columna277],BH72)*2)</f>
        <v/>
      </c>
      <c r="BK72" s="174">
        <f>COUNTIF(SEMANA2[Columna2772],BH72)</f>
        <v/>
      </c>
      <c r="BL72" s="431">
        <f>SUM(BI72,BJ72,BK72)</f>
        <v/>
      </c>
      <c r="BM72" s="175" t="n">
        <v>8</v>
      </c>
      <c r="BN72" s="174">
        <f>(COUNTIF(SEMANA2[Columna280],BM72)*3)</f>
        <v/>
      </c>
      <c r="BO72" s="174">
        <f>(COUNTIF(SEMANA2[Columna281],BM72)*2)</f>
        <v/>
      </c>
      <c r="BP72" s="174">
        <f>COUNTIF(SEMANA2[Columna2812],BM72)</f>
        <v/>
      </c>
      <c r="BQ72" s="111">
        <f>SUM(BN72,BO72,BP72)</f>
        <v/>
      </c>
      <c r="BR72" s="173" t="n">
        <v>10</v>
      </c>
      <c r="BS72" s="110">
        <f>(COUNTIF(SEMANA2[Columna2802],BR72)*3)</f>
        <v/>
      </c>
      <c r="BT72" s="174">
        <f>(COUNTIF(SEMANA2[Columna2813],BR72)*2)</f>
        <v/>
      </c>
      <c r="BU72" s="428">
        <f>COUNTIF(SEMANA2[Columna28124],BR72)</f>
        <v/>
      </c>
      <c r="BV72" s="111">
        <f>SUM(BS72,BT72,BU72)</f>
        <v/>
      </c>
      <c r="BW72" s="175" t="n">
        <v>5</v>
      </c>
      <c r="BX72" s="110">
        <f>(COUNTIF(SEMANA2[Columna2803],BW72)*3)</f>
        <v/>
      </c>
      <c r="BY72" s="174">
        <f>(COUNTIF(SEMANA2[Columna2814],BW72)*2)</f>
        <v/>
      </c>
      <c r="BZ72" s="428">
        <f>COUNTIF(SEMANA2[Columna28125],BW72)</f>
        <v/>
      </c>
      <c r="CA72" s="111">
        <f>SUM(BX72,BY72,BZ72)</f>
        <v/>
      </c>
      <c r="CB72" s="175" t="n">
        <v>5</v>
      </c>
      <c r="CC72" s="110">
        <f>(COUNTIF(SEMANA2[Columna2804],CB72)*3)</f>
        <v/>
      </c>
      <c r="CD72" s="174">
        <f>(COUNTIF(SEMANA2[Columna2815],CB72)*2)</f>
        <v/>
      </c>
      <c r="CE72" s="428">
        <f>COUNTIF(SEMANA2[Columna28126],CB72)</f>
        <v/>
      </c>
      <c r="CF72" s="111">
        <f>SUM(CC72,CD72,CE72)</f>
        <v/>
      </c>
      <c r="CG72" s="105" t="n"/>
      <c r="CH72" s="105" t="n"/>
      <c r="DP72" s="393" t="n"/>
      <c r="DQ72" s="393" t="n"/>
      <c r="DR72" s="393" t="n"/>
      <c r="EH72" s="393" t="n"/>
      <c r="EI72" s="393" t="n"/>
      <c r="EJ72" s="393" t="n"/>
    </row>
    <row r="73" ht="27.95" customHeight="1" s="568">
      <c r="B73" s="104" t="n"/>
      <c r="C73" s="105" t="n"/>
      <c r="D73" s="105" t="n"/>
      <c r="E73" s="173" t="n">
        <v>1</v>
      </c>
      <c r="F73" s="110">
        <f>(COUNTIF(SEMANA2[1],E73)*3)</f>
        <v/>
      </c>
      <c r="G73" s="174">
        <f>(COUNTIF(SEMANA2[2],E73)*2)</f>
        <v/>
      </c>
      <c r="H73" s="174">
        <f>COUNTIF(SEMANA2[22],E73)</f>
        <v/>
      </c>
      <c r="I73" s="431">
        <f>SUM(F73,G73,H73)</f>
        <v/>
      </c>
      <c r="J73" s="175" t="n">
        <v>9</v>
      </c>
      <c r="K73" s="174">
        <f>(COUNTIF(SEMANA2[12],J73)*3)</f>
        <v/>
      </c>
      <c r="L73" s="174">
        <f>(COUNTIF(SEMANA2[Columna2],J73)*2)</f>
        <v/>
      </c>
      <c r="M73" s="174">
        <f>COUNTIF(SEMANA2[Columna23],J73)</f>
        <v/>
      </c>
      <c r="N73" s="431">
        <f>SUM(K73,L73,M73)</f>
        <v/>
      </c>
      <c r="O73" s="175" t="n">
        <v>10</v>
      </c>
      <c r="P73" s="174">
        <f>(COUNTIF(SEMANA2[Columna4],O73)*3)</f>
        <v/>
      </c>
      <c r="Q73" s="174">
        <f>(COUNTIF(SEMANA2[Columna5],O73)*2)</f>
        <v/>
      </c>
      <c r="R73" s="174">
        <f>COUNTIF(SEMANA2[Columna53],O73)</f>
        <v/>
      </c>
      <c r="S73" s="431">
        <f>SUM(P73,Q73,R73)</f>
        <v/>
      </c>
      <c r="T73" s="175" t="n">
        <v>8</v>
      </c>
      <c r="U73" s="174">
        <f>(COUNTIF(SEMANA2[Columna7],T73)*3)</f>
        <v/>
      </c>
      <c r="V73" s="174">
        <f>(COUNTIF(SEMANA2[Columna8],T73)*2)</f>
        <v/>
      </c>
      <c r="W73" s="174">
        <f>COUNTIF(SEMANA2[Columna83],T73)</f>
        <v/>
      </c>
      <c r="X73" s="431">
        <f>SUM(U73,V73,W73)</f>
        <v/>
      </c>
      <c r="Y73" s="175" t="n">
        <v>10</v>
      </c>
      <c r="Z73" s="174">
        <f>(COUNTIF(SEMANA2[Columna10],Y73)*3)</f>
        <v/>
      </c>
      <c r="AA73" s="174">
        <f>(COUNTIF(SEMANA2[Columna11],Y73)*2)</f>
        <v/>
      </c>
      <c r="AB73" s="174">
        <f>COUNTIF(SEMANA2[Columna113],Y73)</f>
        <v/>
      </c>
      <c r="AC73" s="431">
        <f>SUM(Z73,AA73,AB73)</f>
        <v/>
      </c>
      <c r="AD73" s="175" t="n">
        <v>8</v>
      </c>
      <c r="AE73" s="174">
        <f>(COUNTIF(SEMANA2[1RA],AD73)*3)</f>
        <v/>
      </c>
      <c r="AF73" s="174">
        <f>(COUNTIF(SEMANA2[2DA],AD73)*2)</f>
        <v/>
      </c>
      <c r="AG73" s="174">
        <f>COUNTIF(SEMANA2[2DA2],AD73)</f>
        <v/>
      </c>
      <c r="AH73" s="431">
        <f>SUM(AE73,AF73,AG73)</f>
        <v/>
      </c>
      <c r="AI73" s="175" t="n">
        <v>4</v>
      </c>
      <c r="AJ73" s="174">
        <f>(COUNTIF(SEMANA2[Columna16],AI73)*3)</f>
        <v/>
      </c>
      <c r="AK73" s="174">
        <f>(COUNTIF(SEMANA2[Columna17],AI73)*2)</f>
        <v/>
      </c>
      <c r="AL73" s="174">
        <f>COUNTIF(SEMANA2[Columna173],AI73)</f>
        <v/>
      </c>
      <c r="AM73" s="431">
        <f>SUM(AJ73,AK73,AL73)</f>
        <v/>
      </c>
      <c r="AN73" s="175" t="n">
        <v>9</v>
      </c>
      <c r="AO73" s="174">
        <f>(COUNTIF(SEMANA2[123],AN73)*3)</f>
        <v/>
      </c>
      <c r="AP73" s="174">
        <f>(COUNTIF(SEMANA2[555],AN73)*2)</f>
        <v/>
      </c>
      <c r="AQ73" s="174">
        <f>COUNTIF(SEMANA2[556],AN73)</f>
        <v/>
      </c>
      <c r="AR73" s="431">
        <f>SUM(AO73,AP73,AQ73)</f>
        <v/>
      </c>
      <c r="AS73" s="175" t="n">
        <v>8</v>
      </c>
      <c r="AT73" s="174">
        <f>(COUNTIF(SEMANA2[AAAA],AS73)*3)</f>
        <v/>
      </c>
      <c r="AU73" s="174">
        <f>(COUNTIF(SEMANA2[BBBB],AS73)*2)</f>
        <v/>
      </c>
      <c r="AV73" s="174">
        <f>COUNTIF(SEMANA2[Columna13],AS73)</f>
        <v/>
      </c>
      <c r="AW73" s="431">
        <f>SUM(AT73,AU73,AV73)</f>
        <v/>
      </c>
      <c r="AX73" s="175" t="n">
        <v>9</v>
      </c>
      <c r="AY73" s="174">
        <f>(COUNTIF(SEMANA2[Columna25],AX73)*3)</f>
        <v/>
      </c>
      <c r="AZ73" s="174">
        <f>(COUNTIF(SEMANA2[Columna26],AX73)*2)</f>
        <v/>
      </c>
      <c r="BA73" s="174">
        <f>COUNTIF(SEMANA2[Columna263],AX73)</f>
        <v/>
      </c>
      <c r="BB73" s="431">
        <f>SUM(AY73,AZ73,BA73)</f>
        <v/>
      </c>
      <c r="BC73" s="175" t="n">
        <v>8</v>
      </c>
      <c r="BD73" s="174">
        <f>(COUNTIF(SEMANA2[Columna272],BC73)*3)</f>
        <v/>
      </c>
      <c r="BE73" s="174">
        <f>(COUNTIF(SEMANA2[Columna273],BC73)*2)</f>
        <v/>
      </c>
      <c r="BF73" s="174">
        <f>COUNTIF(SEMANA2[Columna2732],BC73)</f>
        <v/>
      </c>
      <c r="BG73" s="431">
        <f>SUM(BD73,BE73,BF73)</f>
        <v/>
      </c>
      <c r="BH73" s="175" t="n">
        <v>9</v>
      </c>
      <c r="BI73" s="174">
        <f>(COUNTIF(SEMANA2[Columna276],BH73)*3)</f>
        <v/>
      </c>
      <c r="BJ73" s="174">
        <f>(COUNTIF(SEMANA2[Columna277],BH73)*2)</f>
        <v/>
      </c>
      <c r="BK73" s="174">
        <f>COUNTIF(SEMANA2[Columna2772],BH73)</f>
        <v/>
      </c>
      <c r="BL73" s="431">
        <f>SUM(BI73,BJ73,BK73)</f>
        <v/>
      </c>
      <c r="BM73" s="175" t="n">
        <v>6</v>
      </c>
      <c r="BN73" s="174">
        <f>(COUNTIF(SEMANA2[Columna280],BM73)*3)</f>
        <v/>
      </c>
      <c r="BO73" s="174">
        <f>(COUNTIF(SEMANA2[Columna281],BM73)*2)</f>
        <v/>
      </c>
      <c r="BP73" s="174">
        <f>COUNTIF(SEMANA2[Columna2812],BM73)</f>
        <v/>
      </c>
      <c r="BQ73" s="111">
        <f>SUM(BN73,BO73,BP73)</f>
        <v/>
      </c>
      <c r="BR73" s="173" t="n">
        <v>3</v>
      </c>
      <c r="BS73" s="110">
        <f>(COUNTIF(SEMANA2[Columna2802],BR73)*3)</f>
        <v/>
      </c>
      <c r="BT73" s="174">
        <f>(COUNTIF(SEMANA2[Columna2813],BR73)*2)</f>
        <v/>
      </c>
      <c r="BU73" s="428">
        <f>COUNTIF(SEMANA2[Columna28124],BR73)</f>
        <v/>
      </c>
      <c r="BV73" s="111">
        <f>SUM(BS73,BT73,BU73)</f>
        <v/>
      </c>
      <c r="BW73" s="175" t="n">
        <v>13</v>
      </c>
      <c r="BX73" s="110">
        <f>(COUNTIF(SEMANA2[Columna2803],BW73)*3)</f>
        <v/>
      </c>
      <c r="BY73" s="174">
        <f>(COUNTIF(SEMANA2[Columna2814],BW73)*2)</f>
        <v/>
      </c>
      <c r="BZ73" s="428">
        <f>COUNTIF(SEMANA2[Columna28125],BW73)</f>
        <v/>
      </c>
      <c r="CA73" s="111">
        <f>SUM(BX73,BY73,BZ73)</f>
        <v/>
      </c>
      <c r="CB73" s="175" t="n">
        <v>13</v>
      </c>
      <c r="CC73" s="110">
        <f>(COUNTIF(SEMANA2[Columna2804],CB73)*3)</f>
        <v/>
      </c>
      <c r="CD73" s="174">
        <f>(COUNTIF(SEMANA2[Columna2815],CB73)*2)</f>
        <v/>
      </c>
      <c r="CE73" s="428">
        <f>COUNTIF(SEMANA2[Columna28126],CB73)</f>
        <v/>
      </c>
      <c r="CF73" s="111">
        <f>SUM(CC73,CD73,CE73)</f>
        <v/>
      </c>
      <c r="CG73" s="105" t="n"/>
      <c r="CH73" s="105" t="n"/>
      <c r="DP73" s="393" t="n"/>
      <c r="DQ73" s="393" t="n"/>
      <c r="DR73" s="393" t="n"/>
      <c r="EH73" s="393" t="n"/>
      <c r="EI73" s="393" t="n"/>
      <c r="EJ73" s="393" t="n"/>
    </row>
    <row r="74" ht="27.95" customHeight="1" s="568">
      <c r="B74" s="104" t="n"/>
      <c r="C74" s="105" t="n"/>
      <c r="D74" s="105" t="n"/>
      <c r="E74" s="173" t="n">
        <v>7</v>
      </c>
      <c r="F74" s="110">
        <f>(COUNTIF(SEMANA2[1],E74)*3)</f>
        <v/>
      </c>
      <c r="G74" s="174">
        <f>(COUNTIF(SEMANA2[2],E74)*2)</f>
        <v/>
      </c>
      <c r="H74" s="174">
        <f>COUNTIF(SEMANA2[22],E74)</f>
        <v/>
      </c>
      <c r="I74" s="431">
        <f>SUM(F74,G74,H74)</f>
        <v/>
      </c>
      <c r="J74" s="175" t="n">
        <v>8</v>
      </c>
      <c r="K74" s="174">
        <f>(COUNTIF(SEMANA2[12],J74)*3)</f>
        <v/>
      </c>
      <c r="L74" s="174">
        <f>(COUNTIF(SEMANA2[Columna2],J74)*2)</f>
        <v/>
      </c>
      <c r="M74" s="174">
        <f>COUNTIF(SEMANA2[Columna23],J74)</f>
        <v/>
      </c>
      <c r="N74" s="431">
        <f>SUM(K74,L74,M74)</f>
        <v/>
      </c>
      <c r="O74" s="175" t="n">
        <v>6</v>
      </c>
      <c r="P74" s="174">
        <f>(COUNTIF(SEMANA2[Columna4],O74)*3)</f>
        <v/>
      </c>
      <c r="Q74" s="174">
        <f>(COUNTIF(SEMANA2[Columna5],O74)*2)</f>
        <v/>
      </c>
      <c r="R74" s="174">
        <f>COUNTIF(SEMANA2[Columna53],O74)</f>
        <v/>
      </c>
      <c r="S74" s="431">
        <f>SUM(P74,Q74,R74)</f>
        <v/>
      </c>
      <c r="T74" s="175" t="n">
        <v>9</v>
      </c>
      <c r="U74" s="174">
        <f>(COUNTIF(SEMANA2[Columna7],T74)*3)</f>
        <v/>
      </c>
      <c r="V74" s="174">
        <f>(COUNTIF(SEMANA2[Columna8],T74)*2)</f>
        <v/>
      </c>
      <c r="W74" s="174">
        <f>COUNTIF(SEMANA2[Columna83],T74)</f>
        <v/>
      </c>
      <c r="X74" s="431">
        <f>SUM(U74,V74,W74)</f>
        <v/>
      </c>
      <c r="Y74" s="175" t="n">
        <v>8</v>
      </c>
      <c r="Z74" s="174">
        <f>(COUNTIF(SEMANA2[Columna10],Y74)*3)</f>
        <v/>
      </c>
      <c r="AA74" s="174">
        <f>(COUNTIF(SEMANA2[Columna11],Y74)*2)</f>
        <v/>
      </c>
      <c r="AB74" s="174">
        <f>COUNTIF(SEMANA2[Columna113],Y74)</f>
        <v/>
      </c>
      <c r="AC74" s="431">
        <f>SUM(Z74,AA74,AB74)</f>
        <v/>
      </c>
      <c r="AD74" s="175" t="n">
        <v>9</v>
      </c>
      <c r="AE74" s="174">
        <f>(COUNTIF(SEMANA2[1RA],AD74)*3)</f>
        <v/>
      </c>
      <c r="AF74" s="174">
        <f>(COUNTIF(SEMANA2[2DA],AD74)*2)</f>
        <v/>
      </c>
      <c r="AG74" s="174">
        <f>COUNTIF(SEMANA2[2DA2],AD74)</f>
        <v/>
      </c>
      <c r="AH74" s="431">
        <f>SUM(AE74,AF74,AG74)</f>
        <v/>
      </c>
      <c r="AI74" s="175" t="n">
        <v>10</v>
      </c>
      <c r="AJ74" s="174">
        <f>(COUNTIF(SEMANA2[Columna16],AI74)*3)</f>
        <v/>
      </c>
      <c r="AK74" s="174">
        <f>(COUNTIF(SEMANA2[Columna17],AI74)*2)</f>
        <v/>
      </c>
      <c r="AL74" s="174">
        <f>COUNTIF(SEMANA2[Columna173],AI74)</f>
        <v/>
      </c>
      <c r="AM74" s="431">
        <f>SUM(AJ74,AK74,AL74)</f>
        <v/>
      </c>
      <c r="AN74" s="175" t="n">
        <v>11</v>
      </c>
      <c r="AO74" s="174">
        <f>(COUNTIF(SEMANA2[123],AN74)*3)</f>
        <v/>
      </c>
      <c r="AP74" s="174">
        <f>(COUNTIF(SEMANA2[555],AN74)*2)</f>
        <v/>
      </c>
      <c r="AQ74" s="174">
        <f>COUNTIF(SEMANA2[556],AN74)</f>
        <v/>
      </c>
      <c r="AR74" s="431">
        <f>SUM(AO74,AP74,AQ74)</f>
        <v/>
      </c>
      <c r="AS74" s="175" t="n">
        <v>7</v>
      </c>
      <c r="AT74" s="174">
        <f>(COUNTIF(SEMANA2[AAAA],AS74)*3)</f>
        <v/>
      </c>
      <c r="AU74" s="174">
        <f>(COUNTIF(SEMANA2[BBBB],AS74)*2)</f>
        <v/>
      </c>
      <c r="AV74" s="174">
        <f>COUNTIF(SEMANA2[Columna13],AS74)</f>
        <v/>
      </c>
      <c r="AW74" s="431">
        <f>SUM(AT74,AU74,AV74)</f>
        <v/>
      </c>
      <c r="AX74" s="175" t="n">
        <v>3</v>
      </c>
      <c r="AY74" s="174">
        <f>(COUNTIF(SEMANA2[Columna25],AX74)*3)</f>
        <v/>
      </c>
      <c r="AZ74" s="174">
        <f>(COUNTIF(SEMANA2[Columna26],AX74)*2)</f>
        <v/>
      </c>
      <c r="BA74" s="174">
        <f>COUNTIF(SEMANA2[Columna263],AX74)</f>
        <v/>
      </c>
      <c r="BB74" s="431">
        <f>SUM(AY74,AZ74,BA74)</f>
        <v/>
      </c>
      <c r="BC74" s="175" t="n">
        <v>11</v>
      </c>
      <c r="BD74" s="174">
        <f>(COUNTIF(SEMANA2[Columna272],BC74)*3)</f>
        <v/>
      </c>
      <c r="BE74" s="174">
        <f>(COUNTIF(SEMANA2[Columna273],BC74)*2)</f>
        <v/>
      </c>
      <c r="BF74" s="174">
        <f>COUNTIF(SEMANA2[Columna2732],BC74)</f>
        <v/>
      </c>
      <c r="BG74" s="431">
        <f>SUM(BD74,BE74,BF74)</f>
        <v/>
      </c>
      <c r="BH74" s="175" t="n">
        <v>3</v>
      </c>
      <c r="BI74" s="174">
        <f>(COUNTIF(SEMANA2[Columna276],BH74)*3)</f>
        <v/>
      </c>
      <c r="BJ74" s="174">
        <f>(COUNTIF(SEMANA2[Columna277],BH74)*2)</f>
        <v/>
      </c>
      <c r="BK74" s="174">
        <f>COUNTIF(SEMANA2[Columna2772],BH74)</f>
        <v/>
      </c>
      <c r="BL74" s="431">
        <f>SUM(BI74,BJ74,BK74)</f>
        <v/>
      </c>
      <c r="BM74" s="175" t="n">
        <v>12</v>
      </c>
      <c r="BN74" s="174">
        <f>(COUNTIF(SEMANA2[Columna280],BM74)*3)</f>
        <v/>
      </c>
      <c r="BO74" s="174">
        <f>(COUNTIF(SEMANA2[Columna281],BM74)*2)</f>
        <v/>
      </c>
      <c r="BP74" s="174">
        <f>COUNTIF(SEMANA2[Columna2812],BM74)</f>
        <v/>
      </c>
      <c r="BQ74" s="111">
        <f>SUM(BN74,BO74,BP74)</f>
        <v/>
      </c>
      <c r="BR74" s="173" t="n">
        <v>12</v>
      </c>
      <c r="BS74" s="110">
        <f>(COUNTIF(SEMANA2[Columna2802],BR74)*3)</f>
        <v/>
      </c>
      <c r="BT74" s="174">
        <f>(COUNTIF(SEMANA2[Columna2813],BR74)*2)</f>
        <v/>
      </c>
      <c r="BU74" s="428">
        <f>COUNTIF(SEMANA2[Columna28124],BR74)</f>
        <v/>
      </c>
      <c r="BV74" s="111">
        <f>SUM(BS74,BT74,BU74)</f>
        <v/>
      </c>
      <c r="BW74" s="175" t="n">
        <v>4</v>
      </c>
      <c r="BX74" s="110">
        <f>(COUNTIF(SEMANA2[Columna2803],BW74)*3)</f>
        <v/>
      </c>
      <c r="BY74" s="174">
        <f>(COUNTIF(SEMANA2[Columna2814],BW74)*2)</f>
        <v/>
      </c>
      <c r="BZ74" s="428">
        <f>COUNTIF(SEMANA2[Columna28125],BW74)</f>
        <v/>
      </c>
      <c r="CA74" s="111">
        <f>SUM(BX74,BY74,BZ74)</f>
        <v/>
      </c>
      <c r="CB74" s="175" t="n">
        <v>4</v>
      </c>
      <c r="CC74" s="110">
        <f>(COUNTIF(SEMANA2[Columna2804],CB74)*3)</f>
        <v/>
      </c>
      <c r="CD74" s="174">
        <f>(COUNTIF(SEMANA2[Columna2815],CB74)*2)</f>
        <v/>
      </c>
      <c r="CE74" s="428">
        <f>COUNTIF(SEMANA2[Columna28126],CB74)</f>
        <v/>
      </c>
      <c r="CF74" s="111">
        <f>SUM(CC74,CD74,CE74)</f>
        <v/>
      </c>
      <c r="CG74" s="105" t="n"/>
      <c r="CH74" s="105" t="n"/>
      <c r="CY74" s="112" t="n"/>
      <c r="DB74" s="112" t="n"/>
      <c r="DC74" s="112" t="n"/>
      <c r="DD74" s="112" t="n"/>
      <c r="DE74" s="112" t="n"/>
      <c r="DF74" s="112" t="n"/>
      <c r="DG74" s="112" t="n"/>
      <c r="DH74" s="112" t="n"/>
      <c r="DI74" s="112" t="n"/>
      <c r="DJ74" s="112" t="n"/>
      <c r="DK74" s="112" t="n"/>
      <c r="DL74" s="112" t="n"/>
      <c r="DM74" s="112" t="n"/>
      <c r="DN74" s="112" t="n"/>
      <c r="DO74" s="112" t="n"/>
      <c r="DP74" s="396" t="n"/>
      <c r="DQ74" s="396" t="n"/>
      <c r="DR74" s="396" t="n"/>
      <c r="EH74" s="393" t="n"/>
      <c r="EI74" s="393" t="n"/>
      <c r="EJ74" s="393" t="n"/>
    </row>
    <row r="75" ht="27.95" customFormat="1" customHeight="1" s="112">
      <c r="B75" s="104" t="n"/>
      <c r="C75" s="105" t="n"/>
      <c r="D75" s="105" t="n"/>
      <c r="E75" s="173" t="n">
        <v>10</v>
      </c>
      <c r="F75" s="110">
        <f>(COUNTIF(SEMANA2[1],E75)*3)</f>
        <v/>
      </c>
      <c r="G75" s="174">
        <f>(COUNTIF(SEMANA2[2],E75)*2)</f>
        <v/>
      </c>
      <c r="H75" s="174">
        <f>COUNTIF(SEMANA2[22],E75)</f>
        <v/>
      </c>
      <c r="I75" s="431">
        <f>SUM(F75,G75,H75)</f>
        <v/>
      </c>
      <c r="J75" s="175" t="n">
        <v>3</v>
      </c>
      <c r="K75" s="174">
        <f>(COUNTIF(SEMANA2[12],J75)*3)</f>
        <v/>
      </c>
      <c r="L75" s="174">
        <f>(COUNTIF(SEMANA2[Columna2],J75)*2)</f>
        <v/>
      </c>
      <c r="M75" s="174">
        <f>COUNTIF(SEMANA2[Columna23],J75)</f>
        <v/>
      </c>
      <c r="N75" s="431">
        <f>SUM(K75,L75,M75)</f>
        <v/>
      </c>
      <c r="O75" s="175" t="n">
        <v>2</v>
      </c>
      <c r="P75" s="174">
        <f>(COUNTIF(SEMANA2[Columna4],O75)*3)</f>
        <v/>
      </c>
      <c r="Q75" s="174">
        <f>(COUNTIF(SEMANA2[Columna5],O75)*2)</f>
        <v/>
      </c>
      <c r="R75" s="174">
        <f>COUNTIF(SEMANA2[Columna53],O75)</f>
        <v/>
      </c>
      <c r="S75" s="431">
        <f>SUM(P75,Q75,R75)</f>
        <v/>
      </c>
      <c r="T75" s="175" t="n">
        <v>10</v>
      </c>
      <c r="U75" s="174">
        <f>(COUNTIF(SEMANA2[Columna7],T75)*3)</f>
        <v/>
      </c>
      <c r="V75" s="174">
        <f>(COUNTIF(SEMANA2[Columna8],T75)*2)</f>
        <v/>
      </c>
      <c r="W75" s="174">
        <f>COUNTIF(SEMANA2[Columna83],T75)</f>
        <v/>
      </c>
      <c r="X75" s="431">
        <f>SUM(U75,V75,W75)</f>
        <v/>
      </c>
      <c r="Y75" s="175" t="n">
        <v>9</v>
      </c>
      <c r="Z75" s="174">
        <f>(COUNTIF(SEMANA2[Columna10],Y75)*3)</f>
        <v/>
      </c>
      <c r="AA75" s="174">
        <f>(COUNTIF(SEMANA2[Columna11],Y75)*2)</f>
        <v/>
      </c>
      <c r="AB75" s="174">
        <f>COUNTIF(SEMANA2[Columna113],Y75)</f>
        <v/>
      </c>
      <c r="AC75" s="431">
        <f>SUM(Z75,AA75,AB75)</f>
        <v/>
      </c>
      <c r="AD75" s="175" t="n">
        <v>1</v>
      </c>
      <c r="AE75" s="174">
        <f>(COUNTIF(SEMANA2[1RA],AD75)*3)</f>
        <v/>
      </c>
      <c r="AF75" s="174">
        <f>(COUNTIF(SEMANA2[2DA],AD75)*2)</f>
        <v/>
      </c>
      <c r="AG75" s="174">
        <f>COUNTIF(SEMANA2[2DA2],AD75)</f>
        <v/>
      </c>
      <c r="AH75" s="431">
        <f>SUM(AE75,AF75,AG75)</f>
        <v/>
      </c>
      <c r="AI75" s="175" t="n">
        <v>5</v>
      </c>
      <c r="AJ75" s="174">
        <f>(COUNTIF(SEMANA2[Columna16],AI75)*3)</f>
        <v/>
      </c>
      <c r="AK75" s="174">
        <f>(COUNTIF(SEMANA2[Columna17],AI75)*2)</f>
        <v/>
      </c>
      <c r="AL75" s="174">
        <f>COUNTIF(SEMANA2[Columna173],AI75)</f>
        <v/>
      </c>
      <c r="AM75" s="431">
        <f>SUM(AJ75,AK75,AL75)</f>
        <v/>
      </c>
      <c r="AN75" s="175" t="n">
        <v>5</v>
      </c>
      <c r="AO75" s="174">
        <f>(COUNTIF(SEMANA2[123],AN75)*3)</f>
        <v/>
      </c>
      <c r="AP75" s="174">
        <f>(COUNTIF(SEMANA2[555],AN75)*2)</f>
        <v/>
      </c>
      <c r="AQ75" s="174">
        <f>COUNTIF(SEMANA2[556],AN75)</f>
        <v/>
      </c>
      <c r="AR75" s="431">
        <f>SUM(AO75,AP75,AQ75)</f>
        <v/>
      </c>
      <c r="AS75" s="175" t="n">
        <v>3</v>
      </c>
      <c r="AT75" s="174">
        <f>(COUNTIF(SEMANA2[AAAA],AS75)*3)</f>
        <v/>
      </c>
      <c r="AU75" s="174">
        <f>(COUNTIF(SEMANA2[BBBB],AS75)*2)</f>
        <v/>
      </c>
      <c r="AV75" s="174">
        <f>COUNTIF(SEMANA2[Columna13],AS75)</f>
        <v/>
      </c>
      <c r="AW75" s="431">
        <f>SUM(AT75,AU75,AV75)</f>
        <v/>
      </c>
      <c r="AX75" s="175" t="n">
        <v>11</v>
      </c>
      <c r="AY75" s="174">
        <f>(COUNTIF(SEMANA2[Columna25],AX75)*3)</f>
        <v/>
      </c>
      <c r="AZ75" s="174">
        <f>(COUNTIF(SEMANA2[Columna26],AX75)*2)</f>
        <v/>
      </c>
      <c r="BA75" s="174">
        <f>COUNTIF(SEMANA2[Columna263],AX75)</f>
        <v/>
      </c>
      <c r="BB75" s="431">
        <f>SUM(AY75,AZ75,BA75)</f>
        <v/>
      </c>
      <c r="BC75" s="175" t="n">
        <v>12</v>
      </c>
      <c r="BD75" s="174">
        <f>(COUNTIF(SEMANA2[Columna272],BC75)*3)</f>
        <v/>
      </c>
      <c r="BE75" s="174">
        <f>(COUNTIF(SEMANA2[Columna273],BC75)*2)</f>
        <v/>
      </c>
      <c r="BF75" s="174">
        <f>COUNTIF(SEMANA2[Columna2732],BC75)</f>
        <v/>
      </c>
      <c r="BG75" s="431">
        <f>SUM(BD75,BE75,BF75)</f>
        <v/>
      </c>
      <c r="BH75" s="175" t="n">
        <v>10</v>
      </c>
      <c r="BI75" s="174">
        <f>(COUNTIF(SEMANA2[Columna276],BH75)*3)</f>
        <v/>
      </c>
      <c r="BJ75" s="174">
        <f>(COUNTIF(SEMANA2[Columna277],BH75)*2)</f>
        <v/>
      </c>
      <c r="BK75" s="174">
        <f>COUNTIF(SEMANA2[Columna2772],BH75)</f>
        <v/>
      </c>
      <c r="BL75" s="431">
        <f>SUM(BI75,BJ75,BK75)</f>
        <v/>
      </c>
      <c r="BM75" s="175" t="n">
        <v>10</v>
      </c>
      <c r="BN75" s="174">
        <f>(COUNTIF(SEMANA2[Columna280],BM75)*3)</f>
        <v/>
      </c>
      <c r="BO75" s="174">
        <f>(COUNTIF(SEMANA2[Columna281],BM75)*2)</f>
        <v/>
      </c>
      <c r="BP75" s="174">
        <f>COUNTIF(SEMANA2[Columna2812],BM75)</f>
        <v/>
      </c>
      <c r="BQ75" s="111">
        <f>SUM(BN75,BO75,BP75)</f>
        <v/>
      </c>
      <c r="BR75" s="173" t="n">
        <v>13</v>
      </c>
      <c r="BS75" s="110">
        <f>(COUNTIF(SEMANA2[Columna2802],BR75)*3)</f>
        <v/>
      </c>
      <c r="BT75" s="174">
        <f>(COUNTIF(SEMANA2[Columna2813],BR75)*2)</f>
        <v/>
      </c>
      <c r="BU75" s="428">
        <f>COUNTIF(SEMANA2[Columna28124],BR75)</f>
        <v/>
      </c>
      <c r="BV75" s="111">
        <f>SUM(BS75,BT75,BU75)</f>
        <v/>
      </c>
      <c r="BW75" s="175" t="n">
        <v>8</v>
      </c>
      <c r="BX75" s="110">
        <f>(COUNTIF(SEMANA2[Columna2803],BW75)*3)</f>
        <v/>
      </c>
      <c r="BY75" s="174">
        <f>(COUNTIF(SEMANA2[Columna2814],BW75)*2)</f>
        <v/>
      </c>
      <c r="BZ75" s="428">
        <f>COUNTIF(SEMANA2[Columna28125],BW75)</f>
        <v/>
      </c>
      <c r="CA75" s="111">
        <f>SUM(BX75,BY75,BZ75)</f>
        <v/>
      </c>
      <c r="CB75" s="175" t="n">
        <v>8</v>
      </c>
      <c r="CC75" s="110">
        <f>(COUNTIF(SEMANA2[Columna2804],CB75)*3)</f>
        <v/>
      </c>
      <c r="CD75" s="174">
        <f>(COUNTIF(SEMANA2[Columna2815],CB75)*2)</f>
        <v/>
      </c>
      <c r="CE75" s="428">
        <f>COUNTIF(SEMANA2[Columna28126],CB75)</f>
        <v/>
      </c>
      <c r="CF75" s="111">
        <f>SUM(CC75,CD75,CE75)</f>
        <v/>
      </c>
      <c r="CG75" s="105" t="n"/>
      <c r="CH75" s="105" t="n"/>
      <c r="DP75" s="396" t="n"/>
      <c r="DQ75" s="396" t="n"/>
      <c r="DR75" s="396" t="n"/>
      <c r="EH75" s="396" t="n"/>
      <c r="EI75" s="396" t="n"/>
      <c r="EJ75" s="396" t="n"/>
    </row>
    <row r="76" ht="27.95" customFormat="1" customHeight="1" s="112">
      <c r="B76" s="104" t="n"/>
      <c r="C76" s="105" t="n"/>
      <c r="D76" s="105" t="n"/>
      <c r="E76" s="173" t="n">
        <v>11</v>
      </c>
      <c r="F76" s="110">
        <f>(COUNTIF(SEMANA2[1],E76)*3)</f>
        <v/>
      </c>
      <c r="G76" s="174">
        <f>(COUNTIF(SEMANA2[2],E76)*2)</f>
        <v/>
      </c>
      <c r="H76" s="174">
        <f>COUNTIF(SEMANA2[22],E76)</f>
        <v/>
      </c>
      <c r="I76" s="431">
        <f>SUM(F76,G76,H76)</f>
        <v/>
      </c>
      <c r="J76" s="175" t="n">
        <v>11</v>
      </c>
      <c r="K76" s="174">
        <f>(COUNTIF(SEMANA2[12],J76)*3)</f>
        <v/>
      </c>
      <c r="L76" s="174">
        <f>(COUNTIF(SEMANA2[Columna2],J76)*2)</f>
        <v/>
      </c>
      <c r="M76" s="174">
        <f>COUNTIF(SEMANA2[Columna23],J76)</f>
        <v/>
      </c>
      <c r="N76" s="431">
        <f>SUM(K76,L76,M76)</f>
        <v/>
      </c>
      <c r="O76" s="175" t="n">
        <v>11</v>
      </c>
      <c r="P76" s="174">
        <f>(COUNTIF(SEMANA2[Columna4],O76)*3)</f>
        <v/>
      </c>
      <c r="Q76" s="174">
        <f>(COUNTIF(SEMANA2[Columna5],O76)*2)</f>
        <v/>
      </c>
      <c r="R76" s="174">
        <f>COUNTIF(SEMANA2[Columna53],O76)</f>
        <v/>
      </c>
      <c r="S76" s="431">
        <f>SUM(P76,Q76,R76)</f>
        <v/>
      </c>
      <c r="T76" s="175" t="n">
        <v>11</v>
      </c>
      <c r="U76" s="174">
        <f>(COUNTIF(SEMANA2[Columna7],T76)*3)</f>
        <v/>
      </c>
      <c r="V76" s="174">
        <f>(COUNTIF(SEMANA2[Columna8],T76)*2)</f>
        <v/>
      </c>
      <c r="W76" s="174">
        <f>COUNTIF(SEMANA2[Columna83],T76)</f>
        <v/>
      </c>
      <c r="X76" s="431">
        <f>SUM(U76,V76,W76)</f>
        <v/>
      </c>
      <c r="Y76" s="175" t="n">
        <v>11</v>
      </c>
      <c r="Z76" s="174">
        <f>(COUNTIF(SEMANA2[Columna10],Y76)*3)</f>
        <v/>
      </c>
      <c r="AA76" s="174">
        <f>(COUNTIF(SEMANA2[Columna11],Y76)*2)</f>
        <v/>
      </c>
      <c r="AB76" s="174">
        <f>COUNTIF(SEMANA2[Columna113],Y76)</f>
        <v/>
      </c>
      <c r="AC76" s="431">
        <f>SUM(Z76,AA76,AB76)</f>
        <v/>
      </c>
      <c r="AD76" s="175" t="n">
        <v>11</v>
      </c>
      <c r="AE76" s="174">
        <f>(COUNTIF(SEMANA2[1RA],AD76)*3)</f>
        <v/>
      </c>
      <c r="AF76" s="174">
        <f>(COUNTIF(SEMANA2[2DA],AD76)*2)</f>
        <v/>
      </c>
      <c r="AG76" s="174">
        <f>COUNTIF(SEMANA2[2DA2],AD76)</f>
        <v/>
      </c>
      <c r="AH76" s="431">
        <f>SUM(AE76,AF76,AG76)</f>
        <v/>
      </c>
      <c r="AI76" s="175" t="n">
        <v>11</v>
      </c>
      <c r="AJ76" s="174">
        <f>(COUNTIF(SEMANA2[Columna16],AI76)*3)</f>
        <v/>
      </c>
      <c r="AK76" s="174">
        <f>(COUNTIF(SEMANA2[Columna17],AI76)*2)</f>
        <v/>
      </c>
      <c r="AL76" s="174">
        <f>COUNTIF(SEMANA2[Columna173],AI76)</f>
        <v/>
      </c>
      <c r="AM76" s="431">
        <f>SUM(AJ76,AK76,AL76)</f>
        <v/>
      </c>
      <c r="AN76" s="175" t="n">
        <v>12</v>
      </c>
      <c r="AO76" s="174">
        <f>(COUNTIF(SEMANA2[123],AN76)*3)</f>
        <v/>
      </c>
      <c r="AP76" s="174">
        <f>(COUNTIF(SEMANA2[555],AN76)*2)</f>
        <v/>
      </c>
      <c r="AQ76" s="174">
        <f>COUNTIF(SEMANA2[556],AN76)</f>
        <v/>
      </c>
      <c r="AR76" s="431">
        <f>SUM(AO76,AP76,AQ76)</f>
        <v/>
      </c>
      <c r="AS76" s="175" t="n">
        <v>4</v>
      </c>
      <c r="AT76" s="174">
        <f>(COUNTIF(SEMANA2[AAAA],AS76)*3)</f>
        <v/>
      </c>
      <c r="AU76" s="174">
        <f>(COUNTIF(SEMANA2[BBBB],AS76)*2)</f>
        <v/>
      </c>
      <c r="AV76" s="174">
        <f>COUNTIF(SEMANA2[Columna13],AS76)</f>
        <v/>
      </c>
      <c r="AW76" s="431">
        <f>SUM(AT76,AU76,AV76)</f>
        <v/>
      </c>
      <c r="AX76" s="175" t="n">
        <v>8</v>
      </c>
      <c r="AY76" s="174">
        <f>(COUNTIF(SEMANA2[Columna25],AX76)*3)</f>
        <v/>
      </c>
      <c r="AZ76" s="174">
        <f>(COUNTIF(SEMANA2[Columna26],AX76)*2)</f>
        <v/>
      </c>
      <c r="BA76" s="174">
        <f>COUNTIF(SEMANA2[Columna263],AX76)</f>
        <v/>
      </c>
      <c r="BB76" s="431">
        <f>SUM(AY76,AZ76,BA76)</f>
        <v/>
      </c>
      <c r="BC76" s="175" t="n">
        <v>9</v>
      </c>
      <c r="BD76" s="174">
        <f>(COUNTIF(SEMANA2[Columna272],BC76)*3)</f>
        <v/>
      </c>
      <c r="BE76" s="174">
        <f>(COUNTIF(SEMANA2[Columna273],BC76)*2)</f>
        <v/>
      </c>
      <c r="BF76" s="174">
        <f>COUNTIF(SEMANA2[Columna2732],BC76)</f>
        <v/>
      </c>
      <c r="BG76" s="431">
        <f>SUM(BD76,BE76,BF76)</f>
        <v/>
      </c>
      <c r="BH76" s="175" t="n">
        <v>11</v>
      </c>
      <c r="BI76" s="174">
        <f>(COUNTIF(SEMANA2[Columna276],BH76)*3)</f>
        <v/>
      </c>
      <c r="BJ76" s="174">
        <f>(COUNTIF(SEMANA2[Columna277],BH76)*2)</f>
        <v/>
      </c>
      <c r="BK76" s="174">
        <f>COUNTIF(SEMANA2[Columna2772],BH76)</f>
        <v/>
      </c>
      <c r="BL76" s="431">
        <f>SUM(BI76,BJ76,BK76)</f>
        <v/>
      </c>
      <c r="BM76" s="175" t="n">
        <v>13</v>
      </c>
      <c r="BN76" s="174">
        <f>(COUNTIF(SEMANA2[Columna280],BM76)*3)</f>
        <v/>
      </c>
      <c r="BO76" s="174">
        <f>(COUNTIF(SEMANA2[Columna281],BM76)*2)</f>
        <v/>
      </c>
      <c r="BP76" s="174">
        <f>COUNTIF(SEMANA2[Columna2812],BM76)</f>
        <v/>
      </c>
      <c r="BQ76" s="111">
        <f>SUM(BN76,BO76,BP76)</f>
        <v/>
      </c>
      <c r="BR76" s="173" t="n">
        <v>4</v>
      </c>
      <c r="BS76" s="110">
        <f>(COUNTIF(SEMANA2[Columna2802],BR76)*3)</f>
        <v/>
      </c>
      <c r="BT76" s="174">
        <f>(COUNTIF(SEMANA2[Columna2813],BR76)*2)</f>
        <v/>
      </c>
      <c r="BU76" s="428">
        <f>COUNTIF(SEMANA2[Columna28124],BR76)</f>
        <v/>
      </c>
      <c r="BV76" s="111">
        <f>SUM(BS76,BT76,BU76)</f>
        <v/>
      </c>
      <c r="BW76" s="175" t="n">
        <v>6</v>
      </c>
      <c r="BX76" s="110">
        <f>(COUNTIF(SEMANA2[Columna2803],BW76)*3)</f>
        <v/>
      </c>
      <c r="BY76" s="174">
        <f>(COUNTIF(SEMANA2[Columna2814],BW76)*2)</f>
        <v/>
      </c>
      <c r="BZ76" s="428">
        <f>COUNTIF(SEMANA2[Columna28125],BW76)</f>
        <v/>
      </c>
      <c r="CA76" s="111">
        <f>SUM(BX76,BY76,BZ76)</f>
        <v/>
      </c>
      <c r="CB76" s="175" t="n">
        <v>6</v>
      </c>
      <c r="CC76" s="110">
        <f>(COUNTIF(SEMANA2[Columna2804],CB76)*3)</f>
        <v/>
      </c>
      <c r="CD76" s="174">
        <f>(COUNTIF(SEMANA2[Columna2815],CB76)*2)</f>
        <v/>
      </c>
      <c r="CE76" s="428">
        <f>COUNTIF(SEMANA2[Columna28126],CB76)</f>
        <v/>
      </c>
      <c r="CF76" s="111">
        <f>SUM(CC76,CD76,CE76)</f>
        <v/>
      </c>
      <c r="CG76" s="105" t="n"/>
      <c r="CH76" s="105" t="n"/>
      <c r="DP76" s="396" t="n"/>
      <c r="DQ76" s="396" t="n"/>
      <c r="DR76" s="396" t="n"/>
      <c r="EH76" s="396" t="n"/>
      <c r="EI76" s="396" t="n"/>
      <c r="EJ76" s="396" t="n"/>
    </row>
    <row r="77" ht="27.95" customFormat="1" customHeight="1" s="112">
      <c r="B77" s="104" t="n"/>
      <c r="C77" s="105" t="n"/>
      <c r="D77" s="105" t="n"/>
      <c r="E77" s="173" t="n">
        <v>12</v>
      </c>
      <c r="F77" s="110">
        <f>(COUNTIF(SEMANA2[1],E77)*3)</f>
        <v/>
      </c>
      <c r="G77" s="174">
        <f>(COUNTIF(SEMANA2[2],E77)*2)</f>
        <v/>
      </c>
      <c r="H77" s="174">
        <f>COUNTIF(SEMANA2[22],E77)</f>
        <v/>
      </c>
      <c r="I77" s="431">
        <f>SUM(F77,G77,H77)</f>
        <v/>
      </c>
      <c r="J77" s="175" t="n">
        <v>12</v>
      </c>
      <c r="K77" s="174">
        <f>(COUNTIF(SEMANA2[12],J77)*3)</f>
        <v/>
      </c>
      <c r="L77" s="174">
        <f>(COUNTIF(SEMANA2[Columna2],J77)*2)</f>
        <v/>
      </c>
      <c r="M77" s="174">
        <f>COUNTIF(SEMANA2[Columna23],J77)</f>
        <v/>
      </c>
      <c r="N77" s="431">
        <f>SUM(K77,L77,M77)</f>
        <v/>
      </c>
      <c r="O77" s="175" t="n">
        <v>12</v>
      </c>
      <c r="P77" s="174">
        <f>(COUNTIF(SEMANA2[Columna4],O77)*3)</f>
        <v/>
      </c>
      <c r="Q77" s="174">
        <f>(COUNTIF(SEMANA2[Columna5],O77)*2)</f>
        <v/>
      </c>
      <c r="R77" s="174">
        <f>COUNTIF(SEMANA2[Columna53],O77)</f>
        <v/>
      </c>
      <c r="S77" s="431">
        <f>SUM(P77,Q77,R77)</f>
        <v/>
      </c>
      <c r="T77" s="175" t="n">
        <v>12</v>
      </c>
      <c r="U77" s="174">
        <f>(COUNTIF(SEMANA2[Columna7],T77)*3)</f>
        <v/>
      </c>
      <c r="V77" s="174">
        <f>(COUNTIF(SEMANA2[Columna8],T77)*2)</f>
        <v/>
      </c>
      <c r="W77" s="174">
        <f>COUNTIF(SEMANA2[Columna83],T77)</f>
        <v/>
      </c>
      <c r="X77" s="431">
        <f>SUM(U77,V77,W77)</f>
        <v/>
      </c>
      <c r="Y77" s="175" t="n">
        <v>12</v>
      </c>
      <c r="Z77" s="174">
        <f>(COUNTIF(SEMANA2[Columna10],Y77)*3)</f>
        <v/>
      </c>
      <c r="AA77" s="174">
        <f>(COUNTIF(SEMANA2[Columna11],Y77)*2)</f>
        <v/>
      </c>
      <c r="AB77" s="174">
        <f>COUNTIF(SEMANA2[Columna113],Y77)</f>
        <v/>
      </c>
      <c r="AC77" s="431">
        <f>SUM(Z77,AA77,AB77)</f>
        <v/>
      </c>
      <c r="AD77" s="175" t="n">
        <v>12</v>
      </c>
      <c r="AE77" s="174">
        <f>(COUNTIF(SEMANA2[1RA],AD77)*3)</f>
        <v/>
      </c>
      <c r="AF77" s="174">
        <f>(COUNTIF(SEMANA2[2DA],AD77)*2)</f>
        <v/>
      </c>
      <c r="AG77" s="174">
        <f>COUNTIF(SEMANA2[2DA2],AD77)</f>
        <v/>
      </c>
      <c r="AH77" s="431">
        <f>SUM(AE77,AF77,AG77)</f>
        <v/>
      </c>
      <c r="AI77" s="175" t="n">
        <v>12</v>
      </c>
      <c r="AJ77" s="174">
        <f>(COUNTIF(SEMANA2[Columna16],AI77)*3)</f>
        <v/>
      </c>
      <c r="AK77" s="174">
        <f>(COUNTIF(SEMANA2[Columna17],AI77)*2)</f>
        <v/>
      </c>
      <c r="AL77" s="174">
        <f>COUNTIF(SEMANA2[Columna173],AI77)</f>
        <v/>
      </c>
      <c r="AM77" s="431">
        <f>SUM(AJ77,AK77,AL77)</f>
        <v/>
      </c>
      <c r="AN77" s="175" t="n">
        <v>10</v>
      </c>
      <c r="AO77" s="174">
        <f>(COUNTIF(SEMANA2[123],AN77)*3)</f>
        <v/>
      </c>
      <c r="AP77" s="174">
        <f>(COUNTIF(SEMANA2[555],AN77)*2)</f>
        <v/>
      </c>
      <c r="AQ77" s="174">
        <f>COUNTIF(SEMANA2[556],AN77)</f>
        <v/>
      </c>
      <c r="AR77" s="431">
        <f>SUM(AO77,AP77,AQ77)</f>
        <v/>
      </c>
      <c r="AS77" s="175" t="n">
        <v>12</v>
      </c>
      <c r="AT77" s="174">
        <f>(COUNTIF(SEMANA2[AAAA],AS77)*3)</f>
        <v/>
      </c>
      <c r="AU77" s="174">
        <f>(COUNTIF(SEMANA2[BBBB],AS77)*2)</f>
        <v/>
      </c>
      <c r="AV77" s="174">
        <f>COUNTIF(SEMANA2[Columna13],AS77)</f>
        <v/>
      </c>
      <c r="AW77" s="431">
        <f>SUM(AT77,AU77,AV77)</f>
        <v/>
      </c>
      <c r="AX77" s="175" t="n">
        <v>12</v>
      </c>
      <c r="AY77" s="174">
        <f>(COUNTIF(SEMANA2[Columna25],AX77)*3)</f>
        <v/>
      </c>
      <c r="AZ77" s="174">
        <f>(COUNTIF(SEMANA2[Columna26],AX77)*2)</f>
        <v/>
      </c>
      <c r="BA77" s="174">
        <f>COUNTIF(SEMANA2[Columna263],AX77)</f>
        <v/>
      </c>
      <c r="BB77" s="431">
        <f>SUM(AY77,AZ77,BA77)</f>
        <v/>
      </c>
      <c r="BC77" s="175" t="n">
        <v>10</v>
      </c>
      <c r="BD77" s="174">
        <f>(COUNTIF(SEMANA2[Columna272],BC77)*3)</f>
        <v/>
      </c>
      <c r="BE77" s="174">
        <f>(COUNTIF(SEMANA2[Columna273],BC77)*2)</f>
        <v/>
      </c>
      <c r="BF77" s="174">
        <f>COUNTIF(SEMANA2[Columna2732],BC77)</f>
        <v/>
      </c>
      <c r="BG77" s="431">
        <f>SUM(BD77,BE77,BF77)</f>
        <v/>
      </c>
      <c r="BH77" s="175" t="n">
        <v>12</v>
      </c>
      <c r="BI77" s="174">
        <f>(COUNTIF(SEMANA2[Columna276],BH77)*3)</f>
        <v/>
      </c>
      <c r="BJ77" s="174">
        <f>(COUNTIF(SEMANA2[Columna277],BH77)*2)</f>
        <v/>
      </c>
      <c r="BK77" s="174">
        <f>COUNTIF(SEMANA2[Columna2772],BH77)</f>
        <v/>
      </c>
      <c r="BL77" s="431">
        <f>SUM(BI77,BJ77,BK77)</f>
        <v/>
      </c>
      <c r="BM77" s="175" t="n">
        <v>7</v>
      </c>
      <c r="BN77" s="174">
        <f>(COUNTIF(SEMANA2[Columna280],BM77)*3)</f>
        <v/>
      </c>
      <c r="BO77" s="174">
        <f>(COUNTIF(SEMANA2[Columna281],BM77)*2)</f>
        <v/>
      </c>
      <c r="BP77" s="174">
        <f>COUNTIF(SEMANA2[Columna2812],BM77)</f>
        <v/>
      </c>
      <c r="BQ77" s="111">
        <f>SUM(BN77,BO77,BP77)</f>
        <v/>
      </c>
      <c r="BR77" s="173" t="n">
        <v>8</v>
      </c>
      <c r="BS77" s="110">
        <f>(COUNTIF(SEMANA2[Columna2802],BR77)*3)</f>
        <v/>
      </c>
      <c r="BT77" s="174">
        <f>(COUNTIF(SEMANA2[Columna2813],BR77)*2)</f>
        <v/>
      </c>
      <c r="BU77" s="428">
        <f>COUNTIF(SEMANA2[Columna28124],BR77)</f>
        <v/>
      </c>
      <c r="BV77" s="111">
        <f>SUM(BS77,BT77,BU77)</f>
        <v/>
      </c>
      <c r="BW77" s="175" t="n">
        <v>7</v>
      </c>
      <c r="BX77" s="110">
        <f>(COUNTIF(SEMANA2[Columna2803],BW77)*3)</f>
        <v/>
      </c>
      <c r="BY77" s="174">
        <f>(COUNTIF(SEMANA2[Columna2814],BW77)*2)</f>
        <v/>
      </c>
      <c r="BZ77" s="428">
        <f>COUNTIF(SEMANA2[Columna28125],BW77)</f>
        <v/>
      </c>
      <c r="CA77" s="111">
        <f>SUM(BX77,BY77,BZ77)</f>
        <v/>
      </c>
      <c r="CB77" s="175" t="n">
        <v>7</v>
      </c>
      <c r="CC77" s="110">
        <f>(COUNTIF(SEMANA2[Columna2804],CB77)*3)</f>
        <v/>
      </c>
      <c r="CD77" s="174">
        <f>(COUNTIF(SEMANA2[Columna2815],CB77)*2)</f>
        <v/>
      </c>
      <c r="CE77" s="428">
        <f>COUNTIF(SEMANA2[Columna28126],CB77)</f>
        <v/>
      </c>
      <c r="CF77" s="111">
        <f>SUM(CC77,CD77,CE77)</f>
        <v/>
      </c>
      <c r="CG77" s="105" t="n"/>
      <c r="CH77" s="105" t="n"/>
      <c r="DP77" s="396" t="n"/>
      <c r="DQ77" s="396" t="n"/>
      <c r="DR77" s="396" t="n"/>
      <c r="EH77" s="396" t="n"/>
      <c r="EI77" s="396" t="n"/>
      <c r="EJ77" s="396" t="n"/>
    </row>
    <row r="78" ht="27.95" customFormat="1" customHeight="1" s="112">
      <c r="B78" s="104" t="n"/>
      <c r="C78" s="105" t="n"/>
      <c r="D78" s="105" t="n"/>
      <c r="E78" s="173" t="n">
        <v>13</v>
      </c>
      <c r="F78" s="110">
        <f>(COUNTIF(SEMANA2[1],E78)*3)</f>
        <v/>
      </c>
      <c r="G78" s="174">
        <f>(COUNTIF(SEMANA2[2],E78)*2)</f>
        <v/>
      </c>
      <c r="H78" s="174">
        <f>COUNTIF(SEMANA2[22],E78)</f>
        <v/>
      </c>
      <c r="I78" s="431">
        <f>SUM(F78,G78,H78)</f>
        <v/>
      </c>
      <c r="J78" s="175" t="n">
        <v>13</v>
      </c>
      <c r="K78" s="174">
        <f>(COUNTIF(SEMANA2[12],J78)*3)</f>
        <v/>
      </c>
      <c r="L78" s="174">
        <f>(COUNTIF(SEMANA2[Columna2],J78)*2)</f>
        <v/>
      </c>
      <c r="M78" s="174">
        <f>COUNTIF(SEMANA2[Columna23],J78)</f>
        <v/>
      </c>
      <c r="N78" s="431">
        <f>SUM(K78,L78,M78)</f>
        <v/>
      </c>
      <c r="O78" s="175" t="n">
        <v>13</v>
      </c>
      <c r="P78" s="174">
        <f>(COUNTIF(SEMANA2[Columna4],O78)*3)</f>
        <v/>
      </c>
      <c r="Q78" s="174">
        <f>(COUNTIF(SEMANA2[Columna5],O78)*2)</f>
        <v/>
      </c>
      <c r="R78" s="174">
        <f>COUNTIF(SEMANA2[Columna53],O78)</f>
        <v/>
      </c>
      <c r="S78" s="431">
        <f>SUM(P78,Q78,R78)</f>
        <v/>
      </c>
      <c r="T78" s="175" t="n">
        <v>13</v>
      </c>
      <c r="U78" s="174">
        <f>(COUNTIF(SEMANA2[Columna7],T78)*3)</f>
        <v/>
      </c>
      <c r="V78" s="174">
        <f>(COUNTIF(SEMANA2[Columna8],T78)*2)</f>
        <v/>
      </c>
      <c r="W78" s="174">
        <f>COUNTIF(SEMANA2[Columna83],T78)</f>
        <v/>
      </c>
      <c r="X78" s="431">
        <f>SUM(U78,V78,W78)</f>
        <v/>
      </c>
      <c r="Y78" s="175" t="n">
        <v>13</v>
      </c>
      <c r="Z78" s="174">
        <f>(COUNTIF(SEMANA2[Columna10],Y78)*3)</f>
        <v/>
      </c>
      <c r="AA78" s="174">
        <f>(COUNTIF(SEMANA2[Columna11],Y78)*2)</f>
        <v/>
      </c>
      <c r="AB78" s="174">
        <f>COUNTIF(SEMANA2[Columna113],Y78)</f>
        <v/>
      </c>
      <c r="AC78" s="431">
        <f>SUM(Z78,AA78,AB78)</f>
        <v/>
      </c>
      <c r="AD78" s="175" t="n">
        <v>13</v>
      </c>
      <c r="AE78" s="174">
        <f>(COUNTIF(SEMANA2[1RA],AD78)*3)</f>
        <v/>
      </c>
      <c r="AF78" s="174">
        <f>(COUNTIF(SEMANA2[2DA],AD78)*2)</f>
        <v/>
      </c>
      <c r="AG78" s="174">
        <f>COUNTIF(SEMANA2[2DA2],AD78)</f>
        <v/>
      </c>
      <c r="AH78" s="431">
        <f>SUM(AE78,AF78,AG78)</f>
        <v/>
      </c>
      <c r="AI78" s="175" t="n">
        <v>13</v>
      </c>
      <c r="AJ78" s="174">
        <f>(COUNTIF(SEMANA2[Columna16],AI78)*3)</f>
        <v/>
      </c>
      <c r="AK78" s="174">
        <f>(COUNTIF(SEMANA2[Columna17],AI78)*2)</f>
        <v/>
      </c>
      <c r="AL78" s="174">
        <f>COUNTIF(SEMANA2[Columna173],AI78)</f>
        <v/>
      </c>
      <c r="AM78" s="431">
        <f>SUM(AJ78,AK78,AL78)</f>
        <v/>
      </c>
      <c r="AN78" s="175" t="n">
        <v>13</v>
      </c>
      <c r="AO78" s="174">
        <f>(COUNTIF(SEMANA2[123],AN78)*3)</f>
        <v/>
      </c>
      <c r="AP78" s="174">
        <f>(COUNTIF(SEMANA2[555],AN78)*2)</f>
        <v/>
      </c>
      <c r="AQ78" s="174">
        <f>COUNTIF(SEMANA2[556],AN78)</f>
        <v/>
      </c>
      <c r="AR78" s="431">
        <f>SUM(AO78,AP78,AQ78)</f>
        <v/>
      </c>
      <c r="AS78" s="175" t="n">
        <v>13</v>
      </c>
      <c r="AT78" s="174">
        <f>(COUNTIF(SEMANA2[AAAA],AS78)*3)</f>
        <v/>
      </c>
      <c r="AU78" s="174">
        <f>(COUNTIF(SEMANA2[BBBB],AS78)*2)</f>
        <v/>
      </c>
      <c r="AV78" s="174">
        <f>COUNTIF(SEMANA2[Columna13],AS78)</f>
        <v/>
      </c>
      <c r="AW78" s="431">
        <f>SUM(AT78,AU78,AV78)</f>
        <v/>
      </c>
      <c r="AX78" s="175" t="n">
        <v>13</v>
      </c>
      <c r="AY78" s="174">
        <f>(COUNTIF(SEMANA2[Columna25],AX78)*3)</f>
        <v/>
      </c>
      <c r="AZ78" s="174">
        <f>(COUNTIF(SEMANA2[Columna26],AX78)*2)</f>
        <v/>
      </c>
      <c r="BA78" s="174">
        <f>COUNTIF(SEMANA2[Columna263],AX78)</f>
        <v/>
      </c>
      <c r="BB78" s="431">
        <f>SUM(AY78,AZ78,BA78)</f>
        <v/>
      </c>
      <c r="BC78" s="175" t="n">
        <v>13</v>
      </c>
      <c r="BD78" s="174">
        <f>(COUNTIF(SEMANA2[Columna272],BC78)*3)</f>
        <v/>
      </c>
      <c r="BE78" s="174">
        <f>(COUNTIF(SEMANA2[Columna273],BC78)*2)</f>
        <v/>
      </c>
      <c r="BF78" s="174">
        <f>COUNTIF(SEMANA2[Columna2732],BC78)</f>
        <v/>
      </c>
      <c r="BG78" s="431">
        <f>SUM(BD78,BE78,BF78)</f>
        <v/>
      </c>
      <c r="BH78" s="175" t="n">
        <v>13</v>
      </c>
      <c r="BI78" s="174">
        <f>(COUNTIF(SEMANA2[Columna276],BH78)*3)</f>
        <v/>
      </c>
      <c r="BJ78" s="174">
        <f>(COUNTIF(SEMANA2[Columna277],BH78)*2)</f>
        <v/>
      </c>
      <c r="BK78" s="174">
        <f>COUNTIF(SEMANA2[Columna2772],BH78)</f>
        <v/>
      </c>
      <c r="BL78" s="431">
        <f>SUM(BI78,BJ78,BK78)</f>
        <v/>
      </c>
      <c r="BM78" s="175" t="n">
        <v>11</v>
      </c>
      <c r="BN78" s="174">
        <f>(COUNTIF(SEMANA2[Columna280],BM78)*3)</f>
        <v/>
      </c>
      <c r="BO78" s="174">
        <f>(COUNTIF(SEMANA2[Columna281],BM78)*2)</f>
        <v/>
      </c>
      <c r="BP78" s="174">
        <f>COUNTIF(SEMANA2[Columna2812],BM78)</f>
        <v/>
      </c>
      <c r="BQ78" s="111">
        <f>SUM(BN78,BO78,BP78)</f>
        <v/>
      </c>
      <c r="BR78" s="173" t="n">
        <v>6</v>
      </c>
      <c r="BS78" s="110">
        <f>(COUNTIF(SEMANA2[Columna2802],BR78)*3)</f>
        <v/>
      </c>
      <c r="BT78" s="174">
        <f>(COUNTIF(SEMANA2[Columna2813],BR78)*2)</f>
        <v/>
      </c>
      <c r="BU78" s="428">
        <f>COUNTIF(SEMANA2[Columna28124],BR78)</f>
        <v/>
      </c>
      <c r="BV78" s="111">
        <f>SUM(BS78,BT78,BU78)</f>
        <v/>
      </c>
      <c r="BW78" s="175" t="n">
        <v>11</v>
      </c>
      <c r="BX78" s="110">
        <f>(COUNTIF(SEMANA2[Columna2803],BW78)*3)</f>
        <v/>
      </c>
      <c r="BY78" s="174">
        <f>(COUNTIF(SEMANA2[Columna2814],BW78)*2)</f>
        <v/>
      </c>
      <c r="BZ78" s="428">
        <f>COUNTIF(SEMANA2[Columna28125],BW78)</f>
        <v/>
      </c>
      <c r="CA78" s="111">
        <f>SUM(BX78,BY78,BZ78)</f>
        <v/>
      </c>
      <c r="CB78" s="175" t="n">
        <v>11</v>
      </c>
      <c r="CC78" s="110">
        <f>(COUNTIF(SEMANA2[Columna2804],CB78)*3)</f>
        <v/>
      </c>
      <c r="CD78" s="174">
        <f>(COUNTIF(SEMANA2[Columna2815],CB78)*2)</f>
        <v/>
      </c>
      <c r="CE78" s="428">
        <f>COUNTIF(SEMANA2[Columna28126],CB78)</f>
        <v/>
      </c>
      <c r="CF78" s="111">
        <f>SUM(CC78,CD78,CE78)</f>
        <v/>
      </c>
      <c r="CG78" s="105" t="n"/>
      <c r="CH78" s="105" t="n"/>
      <c r="DP78" s="396" t="n"/>
      <c r="DQ78" s="396" t="n"/>
      <c r="DR78" s="396" t="n"/>
      <c r="EH78" s="396" t="n"/>
      <c r="EI78" s="396" t="n"/>
      <c r="EJ78" s="396" t="n"/>
    </row>
    <row r="79" ht="27.95" customFormat="1" customHeight="1" s="112">
      <c r="B79" s="104" t="n"/>
      <c r="C79" s="105" t="n"/>
      <c r="D79" s="105" t="n"/>
      <c r="E79" s="176" t="n">
        <v>14</v>
      </c>
      <c r="F79" s="114">
        <f>(COUNTIF(SEMANA2[1],E79)*3)</f>
        <v/>
      </c>
      <c r="G79" s="115">
        <f>(COUNTIF(SEMANA2[2],E79)*2)</f>
        <v/>
      </c>
      <c r="H79" s="115">
        <f>COUNTIF(SEMANA2[22],E79)</f>
        <v/>
      </c>
      <c r="I79" s="116">
        <f>SUM(F79,G79,H79)</f>
        <v/>
      </c>
      <c r="J79" s="117" t="n">
        <v>14</v>
      </c>
      <c r="K79" s="115">
        <f>(COUNTIF(SEMANA2[12],J79)*3)</f>
        <v/>
      </c>
      <c r="L79" s="115">
        <f>(COUNTIF(SEMANA2[Columna2],J79)*2)</f>
        <v/>
      </c>
      <c r="M79" s="115">
        <f>COUNTIF(SEMANA2[Columna23],J79)</f>
        <v/>
      </c>
      <c r="N79" s="116">
        <f>SUM(K79,L79,M79)</f>
        <v/>
      </c>
      <c r="O79" s="117" t="n">
        <v>14</v>
      </c>
      <c r="P79" s="115">
        <f>(COUNTIF(SEMANA2[Columna4],O79)*3)</f>
        <v/>
      </c>
      <c r="Q79" s="115">
        <f>(COUNTIF(SEMANA2[Columna5],O79)*2)</f>
        <v/>
      </c>
      <c r="R79" s="115">
        <f>COUNTIF(SEMANA2[Columna53],O79)</f>
        <v/>
      </c>
      <c r="S79" s="116">
        <f>SUM(P79,Q79,R79)</f>
        <v/>
      </c>
      <c r="T79" s="117" t="n">
        <v>14</v>
      </c>
      <c r="U79" s="115">
        <f>(COUNTIF(SEMANA2[Columna7],T79)*3)</f>
        <v/>
      </c>
      <c r="V79" s="115">
        <f>(COUNTIF(SEMANA2[Columna8],T79)*2)</f>
        <v/>
      </c>
      <c r="W79" s="115">
        <f>COUNTIF(SEMANA2[Columna83],T79)</f>
        <v/>
      </c>
      <c r="X79" s="116">
        <f>SUM(U79,V79,W79)</f>
        <v/>
      </c>
      <c r="Y79" s="117" t="n">
        <v>14</v>
      </c>
      <c r="Z79" s="115">
        <f>(COUNTIF(SEMANA2[Columna10],Y79)*3)</f>
        <v/>
      </c>
      <c r="AA79" s="115">
        <f>(COUNTIF(SEMANA2[Columna11],Y79)*2)</f>
        <v/>
      </c>
      <c r="AB79" s="115">
        <f>COUNTIF(SEMANA2[Columna113],Y79)</f>
        <v/>
      </c>
      <c r="AC79" s="116">
        <f>SUM(Z79,AA79,AB79)</f>
        <v/>
      </c>
      <c r="AD79" s="117" t="n">
        <v>14</v>
      </c>
      <c r="AE79" s="115">
        <f>(COUNTIF(SEMANA2[1RA],AD79)*3)</f>
        <v/>
      </c>
      <c r="AF79" s="115">
        <f>(COUNTIF(SEMANA2[2DA],AD79)*2)</f>
        <v/>
      </c>
      <c r="AG79" s="115">
        <f>COUNTIF(SEMANA2[2DA2],AD79)</f>
        <v/>
      </c>
      <c r="AH79" s="116">
        <f>SUM(AE79,AF79,AG79)</f>
        <v/>
      </c>
      <c r="AI79" s="117" t="n">
        <v>14</v>
      </c>
      <c r="AJ79" s="115">
        <f>(COUNTIF(SEMANA2[Columna16],AI79)*3)</f>
        <v/>
      </c>
      <c r="AK79" s="115">
        <f>(COUNTIF(SEMANA2[Columna17],AI79)*2)</f>
        <v/>
      </c>
      <c r="AL79" s="115">
        <f>COUNTIF(SEMANA2[Columna173],AI79)</f>
        <v/>
      </c>
      <c r="AM79" s="116">
        <f>SUM(AJ79,AK79,AL79)</f>
        <v/>
      </c>
      <c r="AN79" s="117" t="n">
        <v>14</v>
      </c>
      <c r="AO79" s="115">
        <f>(COUNTIF(SEMANA2[123],AN79)*3)</f>
        <v/>
      </c>
      <c r="AP79" s="115">
        <f>(COUNTIF(SEMANA2[555],AN79)*2)</f>
        <v/>
      </c>
      <c r="AQ79" s="115">
        <f>COUNTIF(SEMANA2[556],AN79)</f>
        <v/>
      </c>
      <c r="AR79" s="116">
        <f>SUM(AO79,AP79,AQ79)</f>
        <v/>
      </c>
      <c r="AS79" s="117" t="n">
        <v>14</v>
      </c>
      <c r="AT79" s="115">
        <f>(COUNTIF(SEMANA2[AAAA],AS79)*3)</f>
        <v/>
      </c>
      <c r="AU79" s="115">
        <f>(COUNTIF(SEMANA2[BBBB],AS79)*2)</f>
        <v/>
      </c>
      <c r="AV79" s="115">
        <f>COUNTIF(SEMANA2[Columna13],AS79)</f>
        <v/>
      </c>
      <c r="AW79" s="116">
        <f>SUM(AT79,AU79,AV79)</f>
        <v/>
      </c>
      <c r="AX79" s="117" t="n">
        <v>14</v>
      </c>
      <c r="AY79" s="115">
        <f>(COUNTIF(SEMANA2[Columna25],AX79)*3)</f>
        <v/>
      </c>
      <c r="AZ79" s="115">
        <f>(COUNTIF(SEMANA2[Columna26],AX79)*2)</f>
        <v/>
      </c>
      <c r="BA79" s="115">
        <f>COUNTIF(SEMANA2[Columna263],AX79)</f>
        <v/>
      </c>
      <c r="BB79" s="116">
        <f>SUM(AY79,AZ79,BA79)</f>
        <v/>
      </c>
      <c r="BC79" s="117" t="n">
        <v>14</v>
      </c>
      <c r="BD79" s="115">
        <f>(COUNTIF(SEMANA2[Columna272],BC79)*3)</f>
        <v/>
      </c>
      <c r="BE79" s="115">
        <f>(COUNTIF(SEMANA2[Columna273],BC79)*2)</f>
        <v/>
      </c>
      <c r="BF79" s="115">
        <f>COUNTIF(SEMANA2[Columna2732],BC79)</f>
        <v/>
      </c>
      <c r="BG79" s="116">
        <f>SUM(BD79,BE79,BF79)</f>
        <v/>
      </c>
      <c r="BH79" s="117" t="n">
        <v>14</v>
      </c>
      <c r="BI79" s="115">
        <f>(COUNTIF(SEMANA2[Columna276],BH79)*3)</f>
        <v/>
      </c>
      <c r="BJ79" s="115">
        <f>(COUNTIF(SEMANA2[Columna277],BH79)*2)</f>
        <v/>
      </c>
      <c r="BK79" s="115">
        <f>COUNTIF(SEMANA2[Columna2772],BH79)</f>
        <v/>
      </c>
      <c r="BL79" s="116">
        <f>SUM(BI79,BJ79,BK79)</f>
        <v/>
      </c>
      <c r="BM79" s="117" t="n">
        <v>14</v>
      </c>
      <c r="BN79" s="115">
        <f>(COUNTIF(SEMANA2[Columna280],BM79)*3)</f>
        <v/>
      </c>
      <c r="BO79" s="115">
        <f>(COUNTIF(SEMANA2[Columna281],BM79)*2)</f>
        <v/>
      </c>
      <c r="BP79" s="115">
        <f>COUNTIF(SEMANA2[Columna2812],BM79)</f>
        <v/>
      </c>
      <c r="BQ79" s="118">
        <f>SUM(BN79,BO79,BP79)</f>
        <v/>
      </c>
      <c r="BR79" s="176" t="n">
        <v>14</v>
      </c>
      <c r="BS79" s="114">
        <f>(COUNTIF(SEMANA2[Columna2802],BR79)*3)</f>
        <v/>
      </c>
      <c r="BT79" s="115">
        <f>(COUNTIF(SEMANA2[Columna2813],BR79)*2)</f>
        <v/>
      </c>
      <c r="BU79" s="429">
        <f>COUNTIF(SEMANA2[Columna28124],BR79)</f>
        <v/>
      </c>
      <c r="BV79" s="118">
        <f>SUM(BS79,BT79,BU79)</f>
        <v/>
      </c>
      <c r="BW79" s="117" t="n">
        <v>14</v>
      </c>
      <c r="BX79" s="114">
        <f>(COUNTIF(SEMANA2[Columna2803],BW79)*3)</f>
        <v/>
      </c>
      <c r="BY79" s="115">
        <f>(COUNTIF(SEMANA2[Columna2814],BW79)*2)</f>
        <v/>
      </c>
      <c r="BZ79" s="429">
        <f>COUNTIF(SEMANA2[Columna28125],BW79)</f>
        <v/>
      </c>
      <c r="CA79" s="118">
        <f>SUM(BX79,BY79,BZ79)</f>
        <v/>
      </c>
      <c r="CB79" s="117" t="n">
        <v>14</v>
      </c>
      <c r="CC79" s="114">
        <f>(COUNTIF(SEMANA2[Columna2804],CB79)*3)</f>
        <v/>
      </c>
      <c r="CD79" s="115">
        <f>(COUNTIF(SEMANA2[Columna2815],CB79)*2)</f>
        <v/>
      </c>
      <c r="CE79" s="429">
        <f>COUNTIF(SEMANA2[Columna28126],CB79)</f>
        <v/>
      </c>
      <c r="CF79" s="118">
        <f>SUM(CC79,CD79,CE79)</f>
        <v/>
      </c>
      <c r="CG79" s="105" t="n"/>
      <c r="CH79" s="105" t="n"/>
      <c r="DP79" s="396" t="n"/>
      <c r="DQ79" s="396" t="n"/>
      <c r="DR79" s="396" t="n"/>
      <c r="EH79" s="396" t="n"/>
      <c r="EI79" s="396" t="n"/>
      <c r="EJ79" s="396" t="n"/>
    </row>
    <row r="80" ht="26.25" customFormat="1" customHeight="1" s="112">
      <c r="B80" s="104" t="n"/>
      <c r="C80" s="105" t="n"/>
      <c r="D80" s="105" t="n"/>
      <c r="E80" s="105" t="n"/>
      <c r="F80" s="105" t="n"/>
      <c r="G80" s="105" t="n">
        <v>1</v>
      </c>
      <c r="H80" s="105" t="n"/>
      <c r="I80" s="105" t="n"/>
      <c r="J80" s="105" t="n"/>
      <c r="K80" s="105" t="n"/>
      <c r="L80" s="105" t="n">
        <v>2</v>
      </c>
      <c r="M80" s="105" t="n"/>
      <c r="N80" s="105" t="n"/>
      <c r="O80" s="105" t="n"/>
      <c r="P80" s="105" t="n"/>
      <c r="Q80" s="105" t="n">
        <v>3</v>
      </c>
      <c r="R80" s="105" t="n"/>
      <c r="S80" s="105" t="n"/>
      <c r="T80" s="105" t="n"/>
      <c r="U80" s="105" t="n"/>
      <c r="V80" s="105" t="n">
        <v>4</v>
      </c>
      <c r="W80" s="105" t="n"/>
      <c r="X80" s="105" t="n"/>
      <c r="Y80" s="105" t="n"/>
      <c r="Z80" s="105" t="n"/>
      <c r="AA80" s="105" t="n">
        <v>5</v>
      </c>
      <c r="AB80" s="105" t="n"/>
      <c r="AC80" s="105" t="n"/>
      <c r="AD80" s="105" t="n"/>
      <c r="AE80" s="105" t="n"/>
      <c r="AF80" s="105" t="n">
        <v>6</v>
      </c>
      <c r="AG80" s="105" t="n"/>
      <c r="AH80" s="105" t="n"/>
      <c r="AI80" s="105" t="n"/>
      <c r="AJ80" s="105" t="n"/>
      <c r="AK80" s="105" t="n">
        <v>7</v>
      </c>
      <c r="AL80" s="105" t="n"/>
      <c r="AM80" s="105" t="n"/>
      <c r="AN80" s="105" t="n"/>
      <c r="AO80" s="105" t="n"/>
      <c r="AP80" s="105" t="n">
        <v>8</v>
      </c>
      <c r="AQ80" s="105" t="n"/>
      <c r="AR80" s="105" t="n"/>
      <c r="AS80" s="105" t="n"/>
      <c r="AT80" s="105" t="n"/>
      <c r="AU80" s="105" t="n">
        <v>9</v>
      </c>
      <c r="AV80" s="105" t="n"/>
      <c r="AW80" s="105" t="n"/>
      <c r="AX80" s="105" t="n"/>
      <c r="AY80" s="105" t="n"/>
      <c r="AZ80" s="105" t="n">
        <v>10</v>
      </c>
      <c r="BA80" s="105" t="n"/>
      <c r="BB80" s="105" t="n"/>
      <c r="BC80" s="105" t="n"/>
      <c r="BD80" s="105" t="n"/>
      <c r="BE80" s="105" t="n">
        <v>11</v>
      </c>
      <c r="BF80" s="105" t="n"/>
      <c r="BG80" s="119" t="n"/>
      <c r="BH80" s="105" t="n"/>
      <c r="BI80" s="105" t="n"/>
      <c r="BJ80" s="105" t="n">
        <v>12</v>
      </c>
      <c r="BK80" s="105" t="n"/>
      <c r="BL80" s="119" t="n"/>
      <c r="BM80" s="105" t="n"/>
      <c r="BN80" s="105" t="n"/>
      <c r="BO80" s="105" t="n">
        <v>13</v>
      </c>
      <c r="BP80" s="105" t="n"/>
      <c r="BQ80" s="105" t="n"/>
      <c r="BR80" s="105" t="n"/>
      <c r="BS80" s="105" t="n"/>
      <c r="BT80" s="105" t="n">
        <v>14</v>
      </c>
      <c r="BU80" s="105" t="n"/>
      <c r="BV80" s="105" t="n"/>
      <c r="BW80" s="105" t="n"/>
      <c r="BX80" s="105" t="n"/>
      <c r="BY80" s="105" t="n">
        <v>15</v>
      </c>
      <c r="BZ80" s="105" t="n"/>
      <c r="CA80" s="105" t="n"/>
      <c r="CB80" s="105" t="n"/>
      <c r="CC80" s="105" t="n"/>
      <c r="CD80" s="105" t="n">
        <v>16</v>
      </c>
      <c r="CE80" s="105" t="n"/>
      <c r="CF80" s="105" t="n"/>
      <c r="CG80" s="105" t="n"/>
      <c r="CH80" s="105" t="n"/>
      <c r="DP80" s="393" t="n"/>
      <c r="DQ80" s="393" t="n"/>
      <c r="DR80" s="393" t="n"/>
      <c r="EH80" s="396" t="n"/>
      <c r="EI80" s="396" t="n"/>
      <c r="EJ80" s="396" t="n"/>
    </row>
    <row r="81" ht="15.75" customHeight="1" s="568" thickBot="1">
      <c r="B81" s="104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  <c r="Z81" s="105" t="n"/>
      <c r="AA81" s="105" t="n"/>
      <c r="AB81" s="105" t="n"/>
      <c r="AC81" s="105" t="n"/>
      <c r="AD81" s="105" t="n"/>
      <c r="AE81" s="105" t="n"/>
      <c r="AF81" s="105" t="n"/>
      <c r="AG81" s="105" t="n"/>
      <c r="AH81" s="105" t="n"/>
      <c r="AI81" s="105" t="n"/>
      <c r="AJ81" s="105" t="n"/>
      <c r="AK81" s="105" t="n"/>
      <c r="AL81" s="105" t="n"/>
      <c r="AM81" s="105" t="n"/>
      <c r="AN81" s="105" t="n"/>
      <c r="AO81" s="105" t="n"/>
      <c r="AP81" s="105" t="n"/>
      <c r="AQ81" s="105" t="n"/>
      <c r="AR81" s="105" t="n"/>
      <c r="AS81" s="105" t="n"/>
      <c r="AT81" s="105" t="n"/>
      <c r="AU81" s="105" t="n"/>
      <c r="AV81" s="105" t="n"/>
      <c r="AW81" s="105" t="n"/>
      <c r="AX81" s="105" t="n"/>
      <c r="AY81" s="105" t="n"/>
      <c r="AZ81" s="105" t="n"/>
      <c r="BA81" s="105" t="n"/>
      <c r="BB81" s="105" t="n"/>
      <c r="BC81" s="105" t="n"/>
      <c r="BD81" s="105" t="n"/>
      <c r="BE81" s="105" t="n"/>
      <c r="BF81" s="105" t="n"/>
      <c r="BG81" s="119" t="n"/>
      <c r="BH81" s="105" t="n"/>
      <c r="BI81" s="105" t="n"/>
      <c r="BJ81" s="105" t="n"/>
      <c r="BK81" s="105" t="n"/>
      <c r="BL81" s="119" t="n"/>
      <c r="BM81" s="105" t="n"/>
      <c r="BN81" s="105" t="n"/>
      <c r="BO81" s="105" t="n"/>
      <c r="BP81" s="105" t="n"/>
      <c r="BQ81" s="105" t="n"/>
      <c r="BR81" s="105" t="n"/>
      <c r="BS81" s="105" t="n"/>
      <c r="BT81" s="105" t="n"/>
      <c r="BU81" s="105" t="n"/>
      <c r="BV81" s="105" t="n"/>
      <c r="BW81" s="105" t="n"/>
      <c r="BX81" s="105" t="n"/>
      <c r="BY81" s="105" t="n"/>
      <c r="BZ81" s="105" t="n"/>
      <c r="CA81" s="105" t="n"/>
      <c r="CB81" s="105" t="n"/>
      <c r="CC81" s="105" t="n"/>
      <c r="CD81" s="105" t="n"/>
      <c r="CE81" s="105" t="n"/>
      <c r="CF81" s="105" t="n"/>
      <c r="CG81" s="105" t="n"/>
      <c r="CH81" s="105" t="n"/>
      <c r="DA81" s="112" t="n"/>
      <c r="EH81" s="393" t="n"/>
      <c r="EI81" s="393" t="n"/>
      <c r="EJ81" s="393" t="n"/>
    </row>
    <row r="82" ht="36" customHeight="1" s="568">
      <c r="A82" s="3" t="n"/>
      <c r="B82" s="120" t="n"/>
      <c r="C82" s="121" t="n"/>
      <c r="D82" s="122" t="n"/>
      <c r="E82" s="122" t="n"/>
      <c r="F82" s="122" t="n"/>
      <c r="G82" s="122" t="n"/>
      <c r="H82" s="122" t="n"/>
      <c r="I82" s="121" t="n"/>
      <c r="J82" s="121" t="inlineStr">
        <is>
          <t>CATEDRA PRONOSTICADORES GANADORES Y PULSO RHD</t>
        </is>
      </c>
      <c r="K82" s="121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  <c r="X82" s="122" t="n"/>
      <c r="Y82" s="122" t="n"/>
      <c r="Z82" s="122" t="n"/>
      <c r="AA82" s="122" t="n"/>
      <c r="AB82" s="122" t="n"/>
      <c r="AC82" s="122" t="n"/>
      <c r="AD82" s="122" t="n"/>
      <c r="AE82" s="121" t="n"/>
      <c r="AF82" s="123" t="n"/>
      <c r="AG82" s="121" t="inlineStr">
        <is>
          <t>DOMINGO</t>
        </is>
      </c>
      <c r="AH82" s="123" t="n"/>
      <c r="AI82" s="123" t="n"/>
      <c r="AJ82" s="121" t="n"/>
      <c r="AK82" s="123" t="n"/>
      <c r="AL82" s="124">
        <f>D3</f>
        <v/>
      </c>
      <c r="AM82" s="122" t="n"/>
      <c r="AN82" s="122" t="n"/>
      <c r="AO82" s="122" t="n"/>
      <c r="AP82" s="122" t="n"/>
      <c r="AQ82" s="122" t="n"/>
      <c r="AR82" s="122" t="n"/>
      <c r="AS82" s="122" t="n"/>
      <c r="AT82" s="122" t="n"/>
      <c r="AU82" s="122" t="n"/>
      <c r="AV82" s="122" t="n"/>
      <c r="AW82" s="122" t="n"/>
      <c r="AX82" s="125" t="n"/>
      <c r="AY82" s="122" t="n"/>
      <c r="AZ82" s="122" t="n"/>
      <c r="BA82" s="122" t="n"/>
      <c r="BB82" s="122" t="n"/>
      <c r="BC82" s="122" t="n"/>
      <c r="BD82" s="122" t="n"/>
      <c r="BE82" s="122" t="n"/>
      <c r="BF82" s="126" t="n"/>
      <c r="BG82" s="125" t="n"/>
      <c r="BH82" s="122" t="n"/>
      <c r="BI82" s="122" t="n"/>
      <c r="BJ82" s="122" t="n"/>
      <c r="BK82" s="122" t="n"/>
      <c r="BL82" s="122" t="n"/>
      <c r="BM82" s="122" t="n"/>
      <c r="BN82" s="122" t="n"/>
      <c r="BO82" s="126" t="n"/>
      <c r="BP82" s="125" t="n"/>
      <c r="BQ82" s="105" t="n"/>
      <c r="BR82" s="105" t="n"/>
      <c r="BS82" s="105" t="n"/>
      <c r="BT82" s="105" t="n"/>
      <c r="BU82" s="105" t="n"/>
      <c r="BV82" s="105" t="n"/>
      <c r="BW82" s="105" t="n"/>
      <c r="BX82" s="105" t="n"/>
      <c r="BY82" s="105" t="n"/>
      <c r="BZ82" s="105" t="n"/>
      <c r="CA82" s="105" t="n"/>
      <c r="CB82" s="105" t="n"/>
      <c r="CC82" s="105" t="n"/>
      <c r="CD82" s="105" t="n"/>
      <c r="CE82" s="105" t="n"/>
      <c r="CF82" s="105" t="n"/>
      <c r="CG82" s="105" t="n"/>
      <c r="EH82" s="393" t="n"/>
      <c r="EI82" s="393" t="n"/>
      <c r="EJ82" s="393" t="n"/>
    </row>
    <row r="83" ht="36" customHeight="1" s="568">
      <c r="A83" s="3" t="n"/>
      <c r="B83" s="609">
        <f>E4</f>
        <v/>
      </c>
      <c r="C83" s="184" t="n"/>
      <c r="D83" s="184" t="n"/>
      <c r="E83" s="185" t="n"/>
      <c r="F83" s="610">
        <f>J4</f>
        <v/>
      </c>
      <c r="G83" s="187" t="n"/>
      <c r="H83" s="187" t="n"/>
      <c r="I83" s="187" t="n"/>
      <c r="J83" s="187" t="n"/>
      <c r="K83" s="187" t="n"/>
      <c r="L83" s="187" t="n"/>
      <c r="M83" s="187" t="n"/>
      <c r="N83" s="188" t="n"/>
      <c r="O83" s="610">
        <f>O4</f>
        <v/>
      </c>
      <c r="P83" s="187" t="n"/>
      <c r="Q83" s="187" t="n"/>
      <c r="R83" s="187" t="n"/>
      <c r="S83" s="187" t="n"/>
      <c r="T83" s="187" t="n"/>
      <c r="U83" s="187" t="n"/>
      <c r="V83" s="187" t="n"/>
      <c r="W83" s="188" t="n"/>
      <c r="X83" s="610">
        <f>T4</f>
        <v/>
      </c>
      <c r="Y83" s="187" t="n"/>
      <c r="Z83" s="187" t="n"/>
      <c r="AA83" s="187" t="n"/>
      <c r="AB83" s="187" t="n"/>
      <c r="AC83" s="187" t="n"/>
      <c r="AD83" s="187" t="n"/>
      <c r="AE83" s="187" t="n"/>
      <c r="AF83" s="188" t="n"/>
      <c r="AG83" s="610">
        <f>Y4</f>
        <v/>
      </c>
      <c r="AH83" s="187" t="n"/>
      <c r="AI83" s="187" t="n"/>
      <c r="AJ83" s="187" t="n"/>
      <c r="AK83" s="187" t="n"/>
      <c r="AL83" s="187" t="n"/>
      <c r="AM83" s="187" t="n"/>
      <c r="AN83" s="187" t="n"/>
      <c r="AO83" s="188" t="n"/>
      <c r="AP83" s="610">
        <f>AD4</f>
        <v/>
      </c>
      <c r="AQ83" s="187" t="n"/>
      <c r="AR83" s="187" t="n"/>
      <c r="AS83" s="187" t="n"/>
      <c r="AT83" s="187" t="n"/>
      <c r="AU83" s="187" t="n"/>
      <c r="AV83" s="187" t="n"/>
      <c r="AW83" s="187" t="n"/>
      <c r="AX83" s="188" t="n"/>
      <c r="AY83" s="610">
        <f>AI4</f>
        <v/>
      </c>
      <c r="AZ83" s="187" t="n"/>
      <c r="BA83" s="187" t="n"/>
      <c r="BB83" s="187" t="n"/>
      <c r="BC83" s="187" t="n"/>
      <c r="BD83" s="187" t="n"/>
      <c r="BE83" s="187" t="n"/>
      <c r="BF83" s="187" t="n"/>
      <c r="BG83" s="188" t="n"/>
      <c r="BH83" s="610">
        <f>AN4</f>
        <v/>
      </c>
      <c r="BI83" s="187" t="n"/>
      <c r="BJ83" s="187" t="n"/>
      <c r="BK83" s="187" t="n"/>
      <c r="BL83" s="187" t="n"/>
      <c r="BM83" s="187" t="n"/>
      <c r="BN83" s="187" t="n"/>
      <c r="BO83" s="187" t="n"/>
      <c r="BP83" s="188" t="n"/>
      <c r="BQ83" s="178" t="n"/>
      <c r="BR83" s="178" t="n"/>
      <c r="BS83" s="178" t="n"/>
      <c r="BT83" s="178" t="n"/>
      <c r="BU83" s="178" t="n"/>
      <c r="BV83" s="178" t="n"/>
      <c r="BW83" s="178" t="n"/>
      <c r="BX83" s="178" t="n"/>
      <c r="BY83" s="178" t="n"/>
      <c r="BZ83" s="178" t="n"/>
      <c r="CA83" s="178" t="n"/>
      <c r="CB83" s="178" t="n"/>
      <c r="CC83" s="178" t="n"/>
      <c r="CD83" s="178" t="n"/>
      <c r="CE83" s="178" t="n"/>
      <c r="CF83" s="178" t="n"/>
      <c r="CG83" s="178" t="n"/>
      <c r="EH83" s="393" t="n"/>
      <c r="EI83" s="393" t="n"/>
      <c r="EJ83" s="393" t="n"/>
    </row>
    <row r="84" ht="30" customHeight="1" s="568">
      <c r="A84" s="3" t="n"/>
      <c r="B84" s="127" t="inlineStr">
        <is>
          <t>N°</t>
        </is>
      </c>
      <c r="C84" s="129" t="inlineStr">
        <is>
          <t>EJEMPLAR</t>
        </is>
      </c>
      <c r="D84" s="129" t="n"/>
      <c r="E84" s="128" t="inlineStr">
        <is>
          <t>PTS</t>
        </is>
      </c>
      <c r="F84" s="127" t="inlineStr">
        <is>
          <t>N°</t>
        </is>
      </c>
      <c r="G84" s="129" t="inlineStr">
        <is>
          <t>EJEMPLAR</t>
        </is>
      </c>
      <c r="H84" s="129" t="n"/>
      <c r="I84" s="129" t="n"/>
      <c r="J84" s="129" t="n"/>
      <c r="K84" s="129" t="n"/>
      <c r="L84" s="129" t="n"/>
      <c r="M84" s="129" t="n"/>
      <c r="N84" s="128" t="inlineStr">
        <is>
          <t>PTS</t>
        </is>
      </c>
      <c r="O84" s="127" t="inlineStr">
        <is>
          <t>N°</t>
        </is>
      </c>
      <c r="P84" s="129" t="inlineStr">
        <is>
          <t>EJEMPLAR</t>
        </is>
      </c>
      <c r="Q84" s="129" t="n"/>
      <c r="R84" s="129" t="n"/>
      <c r="S84" s="129" t="n"/>
      <c r="T84" s="129" t="n"/>
      <c r="U84" s="129" t="n"/>
      <c r="V84" s="129" t="n"/>
      <c r="W84" s="128" t="inlineStr">
        <is>
          <t>PTS</t>
        </is>
      </c>
      <c r="X84" s="127" t="inlineStr">
        <is>
          <t>N°</t>
        </is>
      </c>
      <c r="Y84" s="129" t="inlineStr">
        <is>
          <t>EJEMPLAR</t>
        </is>
      </c>
      <c r="Z84" s="129" t="n"/>
      <c r="AA84" s="129" t="n"/>
      <c r="AB84" s="129" t="n"/>
      <c r="AC84" s="129" t="n"/>
      <c r="AD84" s="129" t="n"/>
      <c r="AE84" s="129" t="n"/>
      <c r="AF84" s="128" t="inlineStr">
        <is>
          <t>PTS</t>
        </is>
      </c>
      <c r="AG84" s="127" t="inlineStr">
        <is>
          <t>N°</t>
        </is>
      </c>
      <c r="AH84" s="129" t="inlineStr">
        <is>
          <t>EJEMPLAR</t>
        </is>
      </c>
      <c r="AI84" s="129" t="n"/>
      <c r="AJ84" s="129" t="n"/>
      <c r="AK84" s="129" t="n"/>
      <c r="AL84" s="129" t="n"/>
      <c r="AM84" s="129" t="n"/>
      <c r="AN84" s="129" t="n"/>
      <c r="AO84" s="128" t="inlineStr">
        <is>
          <t>PTS</t>
        </is>
      </c>
      <c r="AP84" s="127" t="inlineStr">
        <is>
          <t>N°</t>
        </is>
      </c>
      <c r="AQ84" s="129" t="inlineStr">
        <is>
          <t>EJEMPLAR</t>
        </is>
      </c>
      <c r="AR84" s="129" t="n"/>
      <c r="AS84" s="129" t="n"/>
      <c r="AT84" s="129" t="n"/>
      <c r="AU84" s="129" t="n"/>
      <c r="AV84" s="129" t="n"/>
      <c r="AW84" s="129" t="n"/>
      <c r="AX84" s="128" t="inlineStr">
        <is>
          <t>PTS</t>
        </is>
      </c>
      <c r="AY84" s="127" t="inlineStr">
        <is>
          <t>N°</t>
        </is>
      </c>
      <c r="AZ84" s="129" t="inlineStr">
        <is>
          <t>EJEMPLAR</t>
        </is>
      </c>
      <c r="BA84" s="129" t="n"/>
      <c r="BB84" s="129" t="n"/>
      <c r="BC84" s="129" t="n"/>
      <c r="BD84" s="129" t="n"/>
      <c r="BE84" s="129" t="n"/>
      <c r="BF84" s="129" t="n"/>
      <c r="BG84" s="128" t="inlineStr">
        <is>
          <t>PTS</t>
        </is>
      </c>
      <c r="BH84" s="127" t="inlineStr">
        <is>
          <t>N°</t>
        </is>
      </c>
      <c r="BI84" s="129" t="inlineStr">
        <is>
          <t>EJEMPLAR</t>
        </is>
      </c>
      <c r="BJ84" s="129" t="n"/>
      <c r="BK84" s="129" t="n"/>
      <c r="BL84" s="129" t="n"/>
      <c r="BM84" s="129" t="n"/>
      <c r="BN84" s="129" t="n"/>
      <c r="BO84" s="129" t="n"/>
      <c r="BP84" s="128" t="inlineStr">
        <is>
          <t>PTS</t>
        </is>
      </c>
      <c r="BQ84" s="105" t="n"/>
      <c r="BR84" s="105" t="n"/>
      <c r="BS84" s="105" t="n"/>
      <c r="BT84" s="105" t="n"/>
      <c r="BU84" s="105" t="n"/>
      <c r="BV84" s="105" t="n"/>
      <c r="BW84" s="105" t="n"/>
      <c r="BX84" s="105" t="n"/>
      <c r="BY84" s="105" t="n"/>
      <c r="BZ84" s="105" t="n"/>
      <c r="CA84" s="105" t="n"/>
      <c r="CB84" s="105" t="n"/>
      <c r="CC84" s="105" t="n"/>
      <c r="CD84" s="105" t="n"/>
      <c r="CE84" s="105" t="n"/>
      <c r="CF84" s="105" t="n"/>
      <c r="CG84" s="105" t="n"/>
      <c r="EH84" s="393" t="n"/>
      <c r="EI84" s="393" t="n"/>
      <c r="EJ84" s="393" t="n"/>
    </row>
    <row r="85" ht="30" customHeight="1" s="568">
      <c r="A85" s="3" t="n"/>
      <c r="B85" s="130">
        <f>E66</f>
        <v/>
      </c>
      <c r="C85" s="177">
        <f t="array" ref="C85">_xlfn._xlws.FILTER('[1]ALFABETICO SEM'!$M$1:$M$196, ('[1]ALFABETICO SEM'!$L$1:$L$196 = $B$83) * ('[1]ALFABETICO SEM'!$N$1:$N$196 = B85), " - ")</f>
        <v/>
      </c>
      <c r="D85" s="105" t="n"/>
      <c r="E85" s="131">
        <f>I66</f>
        <v/>
      </c>
      <c r="F85" s="130">
        <f>J66</f>
        <v/>
      </c>
      <c r="G85" s="177">
        <f t="array" ref="G85">_xlfn._xlws.FILTER('[1]ALFABETICO SEM'!$M$1:$M$196, ('[1]ALFABETICO SEM'!$L$1:$L$196 = $F$83) * ('[1]ALFABETICO SEM'!$N$1:$N$196 = F85), " - ")</f>
        <v/>
      </c>
      <c r="H85" s="178" t="n"/>
      <c r="I85" s="178" t="n"/>
      <c r="J85" s="178" t="n"/>
      <c r="K85" s="178" t="n"/>
      <c r="L85" s="178" t="n"/>
      <c r="M85" s="178" t="n"/>
      <c r="N85" s="131">
        <f>N66</f>
        <v/>
      </c>
      <c r="O85" s="130">
        <f>O66</f>
        <v/>
      </c>
      <c r="P85" s="177">
        <f t="array" ref="P85">_xlfn._xlws.FILTER('[1]ALFABETICO SEM'!$M$1:$M$196, ('[1]ALFABETICO SEM'!$L$1:$L$196 = O$83) * ('[1]ALFABETICO SEM'!$N$1:$N$196 = O85), " - ")</f>
        <v/>
      </c>
      <c r="Q85" s="178" t="n"/>
      <c r="R85" s="178" t="n"/>
      <c r="S85" s="178" t="n"/>
      <c r="T85" s="178" t="n"/>
      <c r="U85" s="178" t="n"/>
      <c r="V85" s="178" t="n"/>
      <c r="W85" s="131">
        <f>S66</f>
        <v/>
      </c>
      <c r="X85" s="130">
        <f>T66</f>
        <v/>
      </c>
      <c r="Y85" s="177">
        <f t="array" ref="Y85">_xlfn._xlws.FILTER('[1]ALFABETICO SEM'!$M$1:$M$196, ('[1]ALFABETICO SEM'!$L$1:$L$196 = X$83) * ('[1]ALFABETICO SEM'!$N$1:$N$196 = X85), " - ")</f>
        <v/>
      </c>
      <c r="Z85" s="144" t="n"/>
      <c r="AA85" s="144" t="n"/>
      <c r="AB85" s="144" t="n"/>
      <c r="AC85" s="144" t="n"/>
      <c r="AD85" s="144" t="n"/>
      <c r="AE85" s="144" t="n"/>
      <c r="AF85" s="143">
        <f>X66</f>
        <v/>
      </c>
      <c r="AG85" s="130">
        <f>Y66</f>
        <v/>
      </c>
      <c r="AH85" s="177">
        <f t="array" ref="AH85">_xlfn._xlws.FILTER('[1]ALFABETICO SEM'!$M$1:$M$196, ('[1]ALFABETICO SEM'!$L$1:$L$196 = AG$83) * ('[1]ALFABETICO SEM'!$N$1:$N$196 = AG85), " - ")</f>
        <v/>
      </c>
      <c r="AI85" s="144" t="n"/>
      <c r="AJ85" s="144" t="n"/>
      <c r="AK85" s="144" t="n"/>
      <c r="AL85" s="144" t="n"/>
      <c r="AM85" s="144" t="n"/>
      <c r="AN85" s="144" t="n"/>
      <c r="AO85" s="143">
        <f>AC66</f>
        <v/>
      </c>
      <c r="AP85" s="130">
        <f>AD66</f>
        <v/>
      </c>
      <c r="AQ85" s="177">
        <f t="array" ref="AQ85">_xlfn._xlws.FILTER('[1]ALFABETICO SEM'!$M$1:$M$196, ('[1]ALFABETICO SEM'!$L$1:$L$196 = AP$83) * ('[1]ALFABETICO SEM'!$N$1:$N$196 = AP85), " - ")</f>
        <v/>
      </c>
      <c r="AR85" s="178" t="n"/>
      <c r="AS85" s="178" t="n"/>
      <c r="AT85" s="178" t="n"/>
      <c r="AU85" s="178" t="n"/>
      <c r="AV85" s="178" t="n"/>
      <c r="AW85" s="178" t="n"/>
      <c r="AX85" s="131">
        <f>AH66</f>
        <v/>
      </c>
      <c r="AY85" s="130">
        <f>AI66</f>
        <v/>
      </c>
      <c r="AZ85" s="177">
        <f t="array" ref="AZ85">_xlfn._xlws.FILTER('[1]ALFABETICO SEM'!$M$1:$M$196, ('[1]ALFABETICO SEM'!$L$1:$L$196 = AY$83) * ('[1]ALFABETICO SEM'!$N$1:$N$196 = AY85), " - ")</f>
        <v/>
      </c>
      <c r="BA85" s="144" t="n"/>
      <c r="BB85" s="144" t="n"/>
      <c r="BC85" s="144" t="n"/>
      <c r="BD85" s="144" t="n"/>
      <c r="BE85" s="144" t="n"/>
      <c r="BF85" s="144" t="n"/>
      <c r="BG85" s="143">
        <f>AM66</f>
        <v/>
      </c>
      <c r="BH85" s="130">
        <f>AN66</f>
        <v/>
      </c>
      <c r="BI85" s="177">
        <f t="array" ref="BI85">_xlfn._xlws.FILTER('[1]ALFABETICO SEM'!$M$1:$M$196, ('[1]ALFABETICO SEM'!$L$1:$L$196 = BH$83) * ('[1]ALFABETICO SEM'!$N$1:$N$196 = BH85), " - ")</f>
        <v/>
      </c>
      <c r="BJ85" s="144" t="n"/>
      <c r="BK85" s="144" t="n"/>
      <c r="BL85" s="144" t="n"/>
      <c r="BM85" s="144" t="n"/>
      <c r="BN85" s="144" t="n"/>
      <c r="BO85" s="144" t="n"/>
      <c r="BP85" s="143">
        <f>AR66</f>
        <v/>
      </c>
      <c r="BQ85" s="105" t="n"/>
      <c r="BR85" s="105" t="n"/>
      <c r="BS85" s="105" t="n"/>
      <c r="BT85" s="105" t="n"/>
      <c r="BU85" s="105" t="n"/>
      <c r="BV85" s="105" t="n"/>
      <c r="BW85" s="105" t="n"/>
      <c r="BX85" s="105" t="n"/>
      <c r="BY85" s="105" t="n"/>
      <c r="BZ85" s="105" t="n"/>
      <c r="CA85" s="105" t="n"/>
      <c r="CB85" s="105" t="n"/>
      <c r="CC85" s="105" t="n"/>
      <c r="CD85" s="105" t="n"/>
      <c r="CE85" s="105" t="n"/>
      <c r="CF85" s="105" t="n"/>
      <c r="CG85" s="105" t="n"/>
      <c r="EH85" s="393" t="n"/>
      <c r="EI85" s="393" t="n"/>
      <c r="EJ85" s="393" t="n"/>
    </row>
    <row r="86" ht="30" customHeight="1" s="568">
      <c r="A86" s="3" t="n"/>
      <c r="B86" s="130">
        <f>E67</f>
        <v/>
      </c>
      <c r="C86" s="177">
        <f t="array" ref="C86">_xlfn._xlws.FILTER('[1]ALFABETICO SEM'!$M$1:$M$196, ('[1]ALFABETICO SEM'!$L$1:$L$196 = $B$83) * ('[1]ALFABETICO SEM'!$N$1:$N$196 = B86), " - ")</f>
        <v/>
      </c>
      <c r="D86" s="105" t="n"/>
      <c r="E86" s="131">
        <f>I67</f>
        <v/>
      </c>
      <c r="F86" s="130">
        <f>J67</f>
        <v/>
      </c>
      <c r="G86" s="177">
        <f t="array" ref="G86">_xlfn._xlws.FILTER('[1]ALFABETICO SEM'!$M$1:$M$196, ('[1]ALFABETICO SEM'!$L$1:$L$196 = $F$83) * ('[1]ALFABETICO SEM'!$N$1:$N$196 = F86), " - ")</f>
        <v/>
      </c>
      <c r="H86" s="144" t="n"/>
      <c r="I86" s="144" t="n"/>
      <c r="J86" s="144" t="n"/>
      <c r="K86" s="144" t="n"/>
      <c r="L86" s="144" t="n"/>
      <c r="M86" s="144" t="n"/>
      <c r="N86" s="143">
        <f>N67</f>
        <v/>
      </c>
      <c r="O86" s="130">
        <f>O67</f>
        <v/>
      </c>
      <c r="P86" s="177">
        <f t="array" ref="P86">_xlfn._xlws.FILTER('[1]ALFABETICO SEM'!$M$1:$M$196, ('[1]ALFABETICO SEM'!$L$1:$L$196 = O$83) * ('[1]ALFABETICO SEM'!$N$1:$N$196 = O86), " - ")</f>
        <v/>
      </c>
      <c r="Q86" s="178" t="n"/>
      <c r="R86" s="178" t="n"/>
      <c r="S86" s="178" t="n"/>
      <c r="T86" s="178" t="n"/>
      <c r="U86" s="178" t="n"/>
      <c r="V86" s="178" t="n"/>
      <c r="W86" s="131">
        <f>S67</f>
        <v/>
      </c>
      <c r="X86" s="130">
        <f>T67</f>
        <v/>
      </c>
      <c r="Y86" s="177">
        <f t="array" ref="Y86">_xlfn._xlws.FILTER('[1]ALFABETICO SEM'!$M$1:$M$196, ('[1]ALFABETICO SEM'!$L$1:$L$196 = X$83) * ('[1]ALFABETICO SEM'!$N$1:$N$196 = X86), " - ")</f>
        <v/>
      </c>
      <c r="Z86" s="178" t="n"/>
      <c r="AA86" s="178" t="n"/>
      <c r="AB86" s="178" t="n"/>
      <c r="AC86" s="178" t="n"/>
      <c r="AD86" s="178" t="n"/>
      <c r="AE86" s="178" t="n"/>
      <c r="AF86" s="131">
        <f>X67</f>
        <v/>
      </c>
      <c r="AG86" s="130">
        <f>Y67</f>
        <v/>
      </c>
      <c r="AH86" s="177">
        <f t="array" ref="AH86">_xlfn._xlws.FILTER('[1]ALFABETICO SEM'!$M$1:$M$196, ('[1]ALFABETICO SEM'!$L$1:$L$196 = AG$83) * ('[1]ALFABETICO SEM'!$N$1:$N$196 = AG86), " - ")</f>
        <v/>
      </c>
      <c r="AI86" s="178" t="n"/>
      <c r="AJ86" s="178" t="n"/>
      <c r="AK86" s="178" t="n"/>
      <c r="AL86" s="178" t="n"/>
      <c r="AM86" s="178" t="n"/>
      <c r="AN86" s="178" t="n"/>
      <c r="AO86" s="131">
        <f>AC67</f>
        <v/>
      </c>
      <c r="AP86" s="130">
        <f>AD67</f>
        <v/>
      </c>
      <c r="AQ86" s="177">
        <f t="array" ref="AQ86">_xlfn._xlws.FILTER('[1]ALFABETICO SEM'!$M$1:$M$196, ('[1]ALFABETICO SEM'!$L$1:$L$196 = AP$83) * ('[1]ALFABETICO SEM'!$N$1:$N$196 = AP86), " - ")</f>
        <v/>
      </c>
      <c r="AR86" s="144" t="n"/>
      <c r="AS86" s="144" t="n"/>
      <c r="AT86" s="144" t="n"/>
      <c r="AU86" s="144" t="n"/>
      <c r="AV86" s="144" t="n"/>
      <c r="AW86" s="144" t="n"/>
      <c r="AX86" s="143">
        <f>AH67</f>
        <v/>
      </c>
      <c r="AY86" s="130">
        <f>AI67</f>
        <v/>
      </c>
      <c r="AZ86" s="177">
        <f t="array" ref="AZ86">_xlfn._xlws.FILTER('[1]ALFABETICO SEM'!$M$1:$M$196, ('[1]ALFABETICO SEM'!$L$1:$L$196 = AY$83) * ('[1]ALFABETICO SEM'!$N$1:$N$196 = AY86), " - ")</f>
        <v/>
      </c>
      <c r="BA86" s="178" t="n"/>
      <c r="BB86" s="178" t="n"/>
      <c r="BC86" s="178" t="n"/>
      <c r="BD86" s="178" t="n"/>
      <c r="BE86" s="178" t="n"/>
      <c r="BF86" s="178" t="n"/>
      <c r="BG86" s="131">
        <f>AM67</f>
        <v/>
      </c>
      <c r="BH86" s="130">
        <f>AN67</f>
        <v/>
      </c>
      <c r="BI86" s="177">
        <f t="array" ref="BI86">_xlfn._xlws.FILTER('[1]ALFABETICO SEM'!$M$1:$M$196, ('[1]ALFABETICO SEM'!$L$1:$L$196 = BH$83) * ('[1]ALFABETICO SEM'!$N$1:$N$196 = BH86), " - ")</f>
        <v/>
      </c>
      <c r="BJ86" s="178" t="n"/>
      <c r="BK86" s="178" t="n"/>
      <c r="BL86" s="178" t="n"/>
      <c r="BM86" s="178" t="n"/>
      <c r="BN86" s="178" t="n"/>
      <c r="BO86" s="178" t="n"/>
      <c r="BP86" s="143">
        <f>AR67</f>
        <v/>
      </c>
      <c r="BQ86" s="105" t="n"/>
      <c r="BR86" s="105" t="n"/>
      <c r="BS86" s="105" t="n"/>
      <c r="BT86" s="105" t="n"/>
      <c r="BU86" s="105" t="n"/>
      <c r="BV86" s="105" t="n"/>
      <c r="BW86" s="105" t="n"/>
      <c r="BX86" s="105" t="n"/>
      <c r="BY86" s="105" t="n"/>
      <c r="BZ86" s="105" t="n"/>
      <c r="CA86" s="105" t="n"/>
      <c r="CB86" s="105" t="n"/>
      <c r="CC86" s="105" t="n"/>
      <c r="CD86" s="105" t="n"/>
      <c r="CE86" s="105" t="n"/>
      <c r="CF86" s="105" t="n"/>
      <c r="CG86" s="105" t="n"/>
      <c r="EH86" s="393" t="n"/>
      <c r="EI86" s="393" t="n"/>
      <c r="EJ86" s="393" t="n"/>
    </row>
    <row r="87" ht="24.75" customHeight="1" s="568">
      <c r="A87" s="3" t="n"/>
      <c r="B87" s="130">
        <f>E68</f>
        <v/>
      </c>
      <c r="C87" s="177">
        <f t="array" ref="C87">_xlfn._xlws.FILTER('[1]ALFABETICO SEM'!$M$1:$M$196, ('[1]ALFABETICO SEM'!$L$1:$L$196 = $B$83) * ('[1]ALFABETICO SEM'!$N$1:$N$196 = B87), " - ")</f>
        <v/>
      </c>
      <c r="D87" s="142" t="n"/>
      <c r="E87" s="143">
        <f>I68</f>
        <v/>
      </c>
      <c r="F87" s="130">
        <f>J68</f>
        <v/>
      </c>
      <c r="G87" s="177">
        <f t="array" ref="G87">_xlfn._xlws.FILTER('[1]ALFABETICO SEM'!$M$1:$M$196, ('[1]ALFABETICO SEM'!$L$1:$L$196 = $F$83) * ('[1]ALFABETICO SEM'!$N$1:$N$196 = F87), " - ")</f>
        <v/>
      </c>
      <c r="H87" s="178" t="n"/>
      <c r="I87" s="178" t="n"/>
      <c r="J87" s="178" t="n"/>
      <c r="K87" s="178" t="n"/>
      <c r="L87" s="178" t="n"/>
      <c r="M87" s="178" t="n"/>
      <c r="N87" s="131">
        <f>N68</f>
        <v/>
      </c>
      <c r="O87" s="130">
        <f>O68</f>
        <v/>
      </c>
      <c r="P87" s="177">
        <f t="array" ref="P87">_xlfn._xlws.FILTER('[1]ALFABETICO SEM'!$M$1:$M$196, ('[1]ALFABETICO SEM'!$L$1:$L$196 = O$83) * ('[1]ALFABETICO SEM'!$N$1:$N$196 = O87), " - ")</f>
        <v/>
      </c>
      <c r="Q87" s="144" t="n"/>
      <c r="R87" s="144" t="n"/>
      <c r="S87" s="144" t="n"/>
      <c r="T87" s="144" t="n"/>
      <c r="U87" s="144" t="n"/>
      <c r="V87" s="144" t="n"/>
      <c r="W87" s="143">
        <f>S68</f>
        <v/>
      </c>
      <c r="X87" s="130">
        <f>T68</f>
        <v/>
      </c>
      <c r="Y87" s="177">
        <f t="array" ref="Y87">_xlfn._xlws.FILTER('[1]ALFABETICO SEM'!$M$1:$M$196, ('[1]ALFABETICO SEM'!$L$1:$L$196 = X$83) * ('[1]ALFABETICO SEM'!$N$1:$N$196 = X87), " - ")</f>
        <v/>
      </c>
      <c r="Z87" s="178" t="n"/>
      <c r="AA87" s="178" t="n"/>
      <c r="AB87" s="178" t="n"/>
      <c r="AC87" s="178" t="n"/>
      <c r="AD87" s="178" t="n"/>
      <c r="AE87" s="178" t="n"/>
      <c r="AF87" s="131">
        <f>X68</f>
        <v/>
      </c>
      <c r="AG87" s="130">
        <f>Y68</f>
        <v/>
      </c>
      <c r="AH87" s="177">
        <f t="array" ref="AH87">_xlfn._xlws.FILTER('[1]ALFABETICO SEM'!$M$1:$M$196, ('[1]ALFABETICO SEM'!$L$1:$L$196 = AG$83) * ('[1]ALFABETICO SEM'!$N$1:$N$196 = AG87), " - ")</f>
        <v/>
      </c>
      <c r="AI87" s="178" t="n"/>
      <c r="AJ87" s="178" t="n"/>
      <c r="AK87" s="178" t="n"/>
      <c r="AL87" s="178" t="n"/>
      <c r="AM87" s="178" t="n"/>
      <c r="AN87" s="178" t="n"/>
      <c r="AO87" s="131">
        <f>AC68</f>
        <v/>
      </c>
      <c r="AP87" s="130">
        <f>AD68</f>
        <v/>
      </c>
      <c r="AQ87" s="177">
        <f t="array" ref="AQ87">_xlfn._xlws.FILTER('[1]ALFABETICO SEM'!$M$1:$M$196, ('[1]ALFABETICO SEM'!$L$1:$L$196 = AP$83) * ('[1]ALFABETICO SEM'!$N$1:$N$196 = AP87), " - ")</f>
        <v/>
      </c>
      <c r="AR87" s="178" t="n"/>
      <c r="AS87" s="178" t="n"/>
      <c r="AT87" s="178" t="n"/>
      <c r="AU87" s="178" t="n"/>
      <c r="AV87" s="178" t="n"/>
      <c r="AW87" s="178" t="n"/>
      <c r="AX87" s="131">
        <f>AH68</f>
        <v/>
      </c>
      <c r="AY87" s="130">
        <f>AI68</f>
        <v/>
      </c>
      <c r="AZ87" s="177">
        <f t="array" ref="AZ87">_xlfn._xlws.FILTER('[1]ALFABETICO SEM'!$M$1:$M$196, ('[1]ALFABETICO SEM'!$L$1:$L$196 = AY$83) * ('[1]ALFABETICO SEM'!$N$1:$N$196 = AY87), " - ")</f>
        <v/>
      </c>
      <c r="BA87" s="178" t="n"/>
      <c r="BB87" s="178" t="n"/>
      <c r="BC87" s="178" t="n"/>
      <c r="BD87" s="178" t="n"/>
      <c r="BE87" s="178" t="n"/>
      <c r="BF87" s="178" t="n"/>
      <c r="BG87" s="131">
        <f>AM68</f>
        <v/>
      </c>
      <c r="BH87" s="130">
        <f>AN68</f>
        <v/>
      </c>
      <c r="BI87" s="177">
        <f t="array" ref="BI87">_xlfn._xlws.FILTER('[1]ALFABETICO SEM'!$M$1:$M$196, ('[1]ALFABETICO SEM'!$L$1:$L$196 = BH$83) * ('[1]ALFABETICO SEM'!$N$1:$N$196 = BH87), " - ")</f>
        <v/>
      </c>
      <c r="BJ87" s="178" t="n"/>
      <c r="BK87" s="178" t="n"/>
      <c r="BL87" s="178" t="n"/>
      <c r="BM87" s="178" t="n"/>
      <c r="BN87" s="178" t="n"/>
      <c r="BO87" s="178" t="n"/>
      <c r="BP87" s="143">
        <f>AR68</f>
        <v/>
      </c>
      <c r="BQ87" s="105" t="n"/>
      <c r="BR87" s="105" t="n"/>
      <c r="BS87" s="105" t="n"/>
      <c r="BT87" s="105" t="n"/>
      <c r="BU87" s="105" t="n"/>
      <c r="BV87" s="105" t="n"/>
      <c r="BW87" s="105" t="n"/>
      <c r="BX87" s="105" t="n"/>
      <c r="BY87" s="105" t="n"/>
      <c r="BZ87" s="105" t="n"/>
      <c r="CA87" s="105" t="n"/>
      <c r="CB87" s="105" t="n"/>
      <c r="CC87" s="105" t="n"/>
      <c r="CD87" s="105" t="n"/>
      <c r="CE87" s="105" t="n"/>
      <c r="CF87" s="105" t="n"/>
      <c r="CG87" s="105" t="n"/>
      <c r="EH87" s="393" t="n"/>
      <c r="EI87" s="393" t="n"/>
      <c r="EJ87" s="393" t="n"/>
    </row>
    <row r="88" ht="30" customHeight="1" s="568">
      <c r="A88" s="3" t="n"/>
      <c r="B88" s="130">
        <f>E69</f>
        <v/>
      </c>
      <c r="C88" s="177">
        <f t="array" ref="C88">_xlfn._xlws.FILTER('[1]ALFABETICO SEM'!$M$1:$M$196, ('[1]ALFABETICO SEM'!$L$1:$L$196 = $B$83) * ('[1]ALFABETICO SEM'!$N$1:$N$196 = B88), " - ")</f>
        <v/>
      </c>
      <c r="D88" s="105" t="n"/>
      <c r="E88" s="131">
        <f>I69</f>
        <v/>
      </c>
      <c r="F88" s="130">
        <f>J69</f>
        <v/>
      </c>
      <c r="G88" s="177">
        <f t="array" ref="G88">_xlfn._xlws.FILTER('[1]ALFABETICO SEM'!$M$1:$M$196, ('[1]ALFABETICO SEM'!$L$1:$L$196 = $F$83) * ('[1]ALFABETICO SEM'!$N$1:$N$196 = F88), " - ")</f>
        <v/>
      </c>
      <c r="H88" s="178" t="n"/>
      <c r="I88" s="178" t="n"/>
      <c r="J88" s="178" t="n"/>
      <c r="K88" s="178" t="n"/>
      <c r="L88" s="178" t="n"/>
      <c r="M88" s="178" t="n"/>
      <c r="N88" s="131">
        <f>N69</f>
        <v/>
      </c>
      <c r="O88" s="130">
        <f>O69</f>
        <v/>
      </c>
      <c r="P88" s="177">
        <f t="array" ref="P88">_xlfn._xlws.FILTER('[1]ALFABETICO SEM'!$M$1:$M$196, ('[1]ALFABETICO SEM'!$L$1:$L$196 = O$83) * ('[1]ALFABETICO SEM'!$N$1:$N$196 = O88), " - ")</f>
        <v/>
      </c>
      <c r="Q88" s="178" t="n"/>
      <c r="R88" s="178" t="n"/>
      <c r="S88" s="178" t="n"/>
      <c r="T88" s="178" t="n"/>
      <c r="U88" s="178" t="n"/>
      <c r="V88" s="178" t="n"/>
      <c r="W88" s="131">
        <f>S69</f>
        <v/>
      </c>
      <c r="X88" s="130">
        <f>T69</f>
        <v/>
      </c>
      <c r="Y88" s="177">
        <f t="array" ref="Y88">_xlfn._xlws.FILTER('[1]ALFABETICO SEM'!$M$1:$M$196, ('[1]ALFABETICO SEM'!$L$1:$L$196 = X$83) * ('[1]ALFABETICO SEM'!$N$1:$N$196 = X88), " - ")</f>
        <v/>
      </c>
      <c r="Z88" s="178" t="n"/>
      <c r="AA88" s="178" t="n"/>
      <c r="AB88" s="178" t="n"/>
      <c r="AC88" s="178" t="n"/>
      <c r="AD88" s="178" t="n"/>
      <c r="AE88" s="178" t="n"/>
      <c r="AF88" s="131">
        <f>X69</f>
        <v/>
      </c>
      <c r="AG88" s="130">
        <f>Y69</f>
        <v/>
      </c>
      <c r="AH88" s="177">
        <f t="array" ref="AH88">_xlfn._xlws.FILTER('[1]ALFABETICO SEM'!$M$1:$M$196, ('[1]ALFABETICO SEM'!$L$1:$L$196 = AG$83) * ('[1]ALFABETICO SEM'!$N$1:$N$196 = AG88), " - ")</f>
        <v/>
      </c>
      <c r="AI88" s="178" t="n"/>
      <c r="AJ88" s="178" t="n"/>
      <c r="AK88" s="178" t="n"/>
      <c r="AL88" s="178" t="n"/>
      <c r="AM88" s="178" t="n"/>
      <c r="AN88" s="178" t="n"/>
      <c r="AO88" s="131">
        <f>AC69</f>
        <v/>
      </c>
      <c r="AP88" s="130">
        <f>AD69</f>
        <v/>
      </c>
      <c r="AQ88" s="177">
        <f t="array" ref="AQ88">_xlfn._xlws.FILTER('[1]ALFABETICO SEM'!$M$1:$M$196, ('[1]ALFABETICO SEM'!$L$1:$L$196 = AP$83) * ('[1]ALFABETICO SEM'!$N$1:$N$196 = AP88), " - ")</f>
        <v/>
      </c>
      <c r="AR88" s="178" t="n"/>
      <c r="AS88" s="178" t="n"/>
      <c r="AT88" s="178" t="n"/>
      <c r="AU88" s="178" t="n"/>
      <c r="AV88" s="178" t="n"/>
      <c r="AW88" s="178" t="n"/>
      <c r="AX88" s="131">
        <f>AH69</f>
        <v/>
      </c>
      <c r="AY88" s="130">
        <f>AI69</f>
        <v/>
      </c>
      <c r="AZ88" s="177">
        <f t="array" ref="AZ88">_xlfn._xlws.FILTER('[1]ALFABETICO SEM'!$M$1:$M$196, ('[1]ALFABETICO SEM'!$L$1:$L$196 = AY$83) * ('[1]ALFABETICO SEM'!$N$1:$N$196 = AY88), " - ")</f>
        <v/>
      </c>
      <c r="BA88" s="178" t="n"/>
      <c r="BB88" s="178" t="n"/>
      <c r="BC88" s="178" t="n"/>
      <c r="BD88" s="178" t="n"/>
      <c r="BE88" s="178" t="n"/>
      <c r="BF88" s="178" t="n"/>
      <c r="BG88" s="131">
        <f>AM69</f>
        <v/>
      </c>
      <c r="BH88" s="130">
        <f>AN69</f>
        <v/>
      </c>
      <c r="BI88" s="177">
        <f t="array" ref="BI88">_xlfn._xlws.FILTER('[1]ALFABETICO SEM'!$M$1:$M$196, ('[1]ALFABETICO SEM'!$L$1:$L$196 = BH$83) * ('[1]ALFABETICO SEM'!$N$1:$N$196 = BH88), " - ")</f>
        <v/>
      </c>
      <c r="BJ88" s="178" t="n"/>
      <c r="BK88" s="178" t="n"/>
      <c r="BL88" s="178" t="n"/>
      <c r="BM88" s="178" t="n"/>
      <c r="BN88" s="178" t="n"/>
      <c r="BO88" s="178" t="n"/>
      <c r="BP88" s="143">
        <f>AR69</f>
        <v/>
      </c>
      <c r="BQ88" s="105" t="n"/>
      <c r="BR88" s="105" t="n"/>
      <c r="BS88" s="105" t="n"/>
      <c r="BT88" s="105" t="n"/>
      <c r="BU88" s="105" t="n"/>
      <c r="BV88" s="105" t="n"/>
      <c r="BW88" s="105" t="n"/>
      <c r="BX88" s="105" t="n"/>
      <c r="BY88" s="105" t="n"/>
      <c r="BZ88" s="105" t="n"/>
      <c r="CA88" s="105" t="n"/>
      <c r="CB88" s="105" t="n"/>
      <c r="CC88" s="105" t="n"/>
      <c r="CD88" s="105" t="n"/>
      <c r="CE88" s="105" t="n"/>
      <c r="CF88" s="105" t="n"/>
      <c r="CG88" s="105" t="n"/>
      <c r="EH88" s="393" t="n"/>
      <c r="EI88" s="393" t="n"/>
      <c r="EJ88" s="393" t="n"/>
    </row>
    <row r="89" ht="30" customHeight="1" s="568">
      <c r="A89" s="3" t="n"/>
      <c r="B89" s="130">
        <f>E70</f>
        <v/>
      </c>
      <c r="C89" s="177">
        <f t="array" ref="C89">_xlfn._xlws.FILTER('[1]ALFABETICO SEM'!$M$1:$M$196, ('[1]ALFABETICO SEM'!$L$1:$L$196 = $B$83) * ('[1]ALFABETICO SEM'!$N$1:$N$196 = B89), " - ")</f>
        <v/>
      </c>
      <c r="D89" s="105" t="n"/>
      <c r="E89" s="131">
        <f>I70</f>
        <v/>
      </c>
      <c r="F89" s="130">
        <f>J70</f>
        <v/>
      </c>
      <c r="G89" s="177">
        <f t="array" ref="G89">_xlfn._xlws.FILTER('[1]ALFABETICO SEM'!$M$1:$M$196, ('[1]ALFABETICO SEM'!$L$1:$L$196 = $F$83) * ('[1]ALFABETICO SEM'!$N$1:$N$196 = F89), " - ")</f>
        <v/>
      </c>
      <c r="H89" s="178" t="n"/>
      <c r="I89" s="178" t="n"/>
      <c r="J89" s="178" t="n"/>
      <c r="K89" s="178" t="n"/>
      <c r="L89" s="178" t="n"/>
      <c r="M89" s="178" t="n"/>
      <c r="N89" s="131">
        <f>N70</f>
        <v/>
      </c>
      <c r="O89" s="130">
        <f>O70</f>
        <v/>
      </c>
      <c r="P89" s="177">
        <f t="array" ref="P89">_xlfn._xlws.FILTER('[1]ALFABETICO SEM'!$M$1:$M$196, ('[1]ALFABETICO SEM'!$L$1:$L$196 = O$83) * ('[1]ALFABETICO SEM'!$N$1:$N$196 = O89), " - ")</f>
        <v/>
      </c>
      <c r="Q89" s="178" t="n"/>
      <c r="R89" s="178" t="n"/>
      <c r="S89" s="178" t="n"/>
      <c r="T89" s="178" t="n"/>
      <c r="U89" s="178" t="n"/>
      <c r="V89" s="178" t="n"/>
      <c r="W89" s="131">
        <f>S70</f>
        <v/>
      </c>
      <c r="X89" s="130">
        <f>T70</f>
        <v/>
      </c>
      <c r="Y89" s="177">
        <f t="array" ref="Y89">_xlfn._xlws.FILTER('[1]ALFABETICO SEM'!$M$1:$M$196, ('[1]ALFABETICO SEM'!$L$1:$L$196 = X$83) * ('[1]ALFABETICO SEM'!$N$1:$N$196 = X89), " - ")</f>
        <v/>
      </c>
      <c r="Z89" s="178" t="n"/>
      <c r="AA89" s="178" t="n"/>
      <c r="AB89" s="178" t="n"/>
      <c r="AC89" s="178" t="n"/>
      <c r="AD89" s="178" t="n"/>
      <c r="AE89" s="178" t="n"/>
      <c r="AF89" s="131">
        <f>X70</f>
        <v/>
      </c>
      <c r="AG89" s="130">
        <f>Y70</f>
        <v/>
      </c>
      <c r="AH89" s="177">
        <f t="array" ref="AH89">_xlfn._xlws.FILTER('[1]ALFABETICO SEM'!$M$1:$M$196, ('[1]ALFABETICO SEM'!$L$1:$L$196 = AG$83) * ('[1]ALFABETICO SEM'!$N$1:$N$196 = AG89), " - ")</f>
        <v/>
      </c>
      <c r="AI89" s="178" t="n"/>
      <c r="AJ89" s="178" t="n"/>
      <c r="AK89" s="178" t="n"/>
      <c r="AL89" s="178" t="n"/>
      <c r="AM89" s="178" t="n"/>
      <c r="AN89" s="178" t="n"/>
      <c r="AO89" s="131">
        <f>AC70</f>
        <v/>
      </c>
      <c r="AP89" s="130">
        <f>AD70</f>
        <v/>
      </c>
      <c r="AQ89" s="177">
        <f t="array" ref="AQ89">_xlfn._xlws.FILTER('[1]ALFABETICO SEM'!$M$1:$M$196, ('[1]ALFABETICO SEM'!$L$1:$L$196 = AP$83) * ('[1]ALFABETICO SEM'!$N$1:$N$196 = AP89), " - ")</f>
        <v/>
      </c>
      <c r="AR89" s="178" t="n"/>
      <c r="AS89" s="178" t="n"/>
      <c r="AT89" s="178" t="n"/>
      <c r="AU89" s="178" t="n"/>
      <c r="AV89" s="178" t="n"/>
      <c r="AW89" s="178" t="n"/>
      <c r="AX89" s="131">
        <f>AH70</f>
        <v/>
      </c>
      <c r="AY89" s="130">
        <f>AI70</f>
        <v/>
      </c>
      <c r="AZ89" s="177">
        <f t="array" ref="AZ89">_xlfn._xlws.FILTER('[1]ALFABETICO SEM'!$M$1:$M$196, ('[1]ALFABETICO SEM'!$L$1:$L$196 = AY$83) * ('[1]ALFABETICO SEM'!$N$1:$N$196 = AY89), " - ")</f>
        <v/>
      </c>
      <c r="BA89" s="178" t="n"/>
      <c r="BB89" s="178" t="n"/>
      <c r="BC89" s="178" t="n"/>
      <c r="BD89" s="178" t="n"/>
      <c r="BE89" s="178" t="n"/>
      <c r="BF89" s="178" t="n"/>
      <c r="BG89" s="131">
        <f>AM70</f>
        <v/>
      </c>
      <c r="BH89" s="130">
        <f>AN70</f>
        <v/>
      </c>
      <c r="BI89" s="177">
        <f t="array" ref="BI89">_xlfn._xlws.FILTER('[1]ALFABETICO SEM'!$M$1:$M$196, ('[1]ALFABETICO SEM'!$L$1:$L$196 = BH$83) * ('[1]ALFABETICO SEM'!$N$1:$N$196 = BH89), " - ")</f>
        <v/>
      </c>
      <c r="BJ89" s="178" t="n"/>
      <c r="BK89" s="178" t="n"/>
      <c r="BL89" s="178" t="n"/>
      <c r="BM89" s="178" t="n"/>
      <c r="BN89" s="178" t="n"/>
      <c r="BO89" s="178" t="n"/>
      <c r="BP89" s="143">
        <f>AR70</f>
        <v/>
      </c>
      <c r="BQ89" s="105" t="n"/>
      <c r="BR89" s="105" t="n"/>
      <c r="BS89" s="105" t="n"/>
      <c r="BT89" s="105" t="n"/>
      <c r="BU89" s="105" t="n"/>
      <c r="BV89" s="105" t="n"/>
      <c r="BW89" s="105" t="n"/>
      <c r="BX89" s="105" t="n"/>
      <c r="BY89" s="105" t="n"/>
      <c r="BZ89" s="105" t="n"/>
      <c r="CA89" s="105" t="n"/>
      <c r="CB89" s="105" t="n"/>
      <c r="CC89" s="105" t="n"/>
      <c r="CD89" s="105" t="n"/>
      <c r="CE89" s="105" t="n"/>
      <c r="CF89" s="105" t="n"/>
      <c r="CG89" s="105" t="n"/>
      <c r="EH89" s="393" t="n"/>
      <c r="EI89" s="393" t="n"/>
      <c r="EJ89" s="393" t="n"/>
    </row>
    <row r="90" ht="24.75" customHeight="1" s="568">
      <c r="A90" s="3" t="n"/>
      <c r="B90" s="132">
        <f>E71</f>
        <v/>
      </c>
      <c r="C90" s="177">
        <f t="array" ref="C90">_xlfn._xlws.FILTER('[1]ALFABETICO SEM'!$M$1:$M$196, ('[1]ALFABETICO SEM'!$L$1:$L$196 = $B$83) * ('[1]ALFABETICO SEM'!$N$1:$N$196 = B90), " - ")</f>
        <v/>
      </c>
      <c r="D90" s="134" t="n"/>
      <c r="E90" s="135">
        <f>I71</f>
        <v/>
      </c>
      <c r="F90" s="132">
        <f>J71</f>
        <v/>
      </c>
      <c r="G90" s="177">
        <f t="array" ref="G90">_xlfn._xlws.FILTER('[1]ALFABETICO SEM'!$M$1:$M$196, ('[1]ALFABETICO SEM'!$L$1:$L$196 = $F$83) * ('[1]ALFABETICO SEM'!$N$1:$N$196 = F90), " - ")</f>
        <v/>
      </c>
      <c r="H90" s="136" t="n"/>
      <c r="I90" s="136" t="n"/>
      <c r="J90" s="136" t="n"/>
      <c r="K90" s="136" t="n"/>
      <c r="L90" s="136" t="n"/>
      <c r="M90" s="136" t="n"/>
      <c r="N90" s="135">
        <f>N71</f>
        <v/>
      </c>
      <c r="O90" s="132">
        <f>O71</f>
        <v/>
      </c>
      <c r="P90" s="177">
        <f t="array" ref="P90">_xlfn._xlws.FILTER('[1]ALFABETICO SEM'!$M$1:$M$196, ('[1]ALFABETICO SEM'!$L$1:$L$196 = O$83) * ('[1]ALFABETICO SEM'!$N$1:$N$196 = O90), " - ")</f>
        <v/>
      </c>
      <c r="Q90" s="136" t="n"/>
      <c r="R90" s="136" t="n"/>
      <c r="S90" s="136" t="n"/>
      <c r="T90" s="136" t="n"/>
      <c r="U90" s="136" t="n"/>
      <c r="V90" s="136" t="n"/>
      <c r="W90" s="135">
        <f>S71</f>
        <v/>
      </c>
      <c r="X90" s="132">
        <f>T71</f>
        <v/>
      </c>
      <c r="Y90" s="177">
        <f t="array" ref="Y90">_xlfn._xlws.FILTER('[1]ALFABETICO SEM'!$M$1:$M$196, ('[1]ALFABETICO SEM'!$L$1:$L$196 = X$83) * ('[1]ALFABETICO SEM'!$N$1:$N$196 = X90), " - ")</f>
        <v/>
      </c>
      <c r="Z90" s="136" t="n"/>
      <c r="AA90" s="136" t="n"/>
      <c r="AB90" s="136" t="n"/>
      <c r="AC90" s="136" t="n"/>
      <c r="AD90" s="136" t="n"/>
      <c r="AE90" s="136" t="n"/>
      <c r="AF90" s="135">
        <f>X71</f>
        <v/>
      </c>
      <c r="AG90" s="132">
        <f>Y71</f>
        <v/>
      </c>
      <c r="AH90" s="177">
        <f t="array" ref="AH90">_xlfn._xlws.FILTER('[1]ALFABETICO SEM'!$M$1:$M$196, ('[1]ALFABETICO SEM'!$L$1:$L$196 = AG$83) * ('[1]ALFABETICO SEM'!$N$1:$N$196 = AG90), " - ")</f>
        <v/>
      </c>
      <c r="AI90" s="136" t="n"/>
      <c r="AJ90" s="136" t="n"/>
      <c r="AK90" s="136" t="n"/>
      <c r="AL90" s="136" t="n"/>
      <c r="AM90" s="136" t="n"/>
      <c r="AN90" s="136" t="n"/>
      <c r="AO90" s="135">
        <f>AC71</f>
        <v/>
      </c>
      <c r="AP90" s="130">
        <f>AD71</f>
        <v/>
      </c>
      <c r="AQ90" s="177">
        <f t="array" ref="AQ90">_xlfn._xlws.FILTER('[1]ALFABETICO SEM'!$M$1:$M$196, ('[1]ALFABETICO SEM'!$L$1:$L$196 = AP$83) * ('[1]ALFABETICO SEM'!$N$1:$N$196 = AP90), " - ")</f>
        <v/>
      </c>
      <c r="AR90" s="136" t="n"/>
      <c r="AS90" s="136" t="n"/>
      <c r="AT90" s="136" t="n"/>
      <c r="AU90" s="136" t="n"/>
      <c r="AV90" s="136" t="n"/>
      <c r="AW90" s="136" t="n"/>
      <c r="AX90" s="131">
        <f>AH71</f>
        <v/>
      </c>
      <c r="AY90" s="130">
        <f>AI71</f>
        <v/>
      </c>
      <c r="AZ90" s="177">
        <f t="array" ref="AZ90">_xlfn._xlws.FILTER('[1]ALFABETICO SEM'!$M$1:$M$196, ('[1]ALFABETICO SEM'!$L$1:$L$196 = AY$83) * ('[1]ALFABETICO SEM'!$N$1:$N$196 = AY90), " - ")</f>
        <v/>
      </c>
      <c r="BA90" s="178" t="n"/>
      <c r="BB90" s="178" t="n"/>
      <c r="BC90" s="178" t="n"/>
      <c r="BD90" s="178" t="n"/>
      <c r="BE90" s="178" t="n"/>
      <c r="BF90" s="178" t="n"/>
      <c r="BG90" s="131">
        <f>AM71</f>
        <v/>
      </c>
      <c r="BH90" s="130">
        <f>AN71</f>
        <v/>
      </c>
      <c r="BI90" s="177">
        <f t="array" ref="BI90">_xlfn._xlws.FILTER('[1]ALFABETICO SEM'!$M$1:$M$196, ('[1]ALFABETICO SEM'!$L$1:$L$196 = BH$83) * ('[1]ALFABETICO SEM'!$N$1:$N$196 = BH90), " - ")</f>
        <v/>
      </c>
      <c r="BJ90" s="178" t="n"/>
      <c r="BK90" s="178" t="n"/>
      <c r="BL90" s="178" t="n"/>
      <c r="BM90" s="178" t="n"/>
      <c r="BN90" s="178" t="n"/>
      <c r="BO90" s="178" t="n"/>
      <c r="BP90" s="143">
        <f>AR71</f>
        <v/>
      </c>
      <c r="BQ90" s="105" t="n"/>
      <c r="BR90" s="105" t="n"/>
      <c r="BS90" s="105" t="n"/>
      <c r="BT90" s="105" t="n"/>
      <c r="BU90" s="105" t="n"/>
      <c r="BV90" s="105" t="n"/>
      <c r="BW90" s="105" t="n"/>
      <c r="BX90" s="105" t="n"/>
      <c r="BY90" s="105" t="n"/>
      <c r="BZ90" s="105" t="n"/>
      <c r="CA90" s="105" t="n"/>
      <c r="CB90" s="105" t="n"/>
      <c r="CC90" s="105" t="n"/>
      <c r="CD90" s="105" t="n"/>
      <c r="CE90" s="105" t="n"/>
      <c r="CF90" s="105" t="n"/>
      <c r="CG90" s="105" t="n"/>
      <c r="EH90" s="393" t="n"/>
      <c r="EI90" s="393" t="n"/>
      <c r="EJ90" s="393" t="n"/>
    </row>
    <row r="91" ht="30" customHeight="1" s="568">
      <c r="A91" s="3" t="n"/>
      <c r="B91" s="609">
        <f>(B5 + 1)</f>
        <v/>
      </c>
      <c r="C91" s="187" t="n"/>
      <c r="D91" s="187" t="n"/>
      <c r="E91" s="188" t="n"/>
      <c r="F91" s="609">
        <f>(B5+ 2)</f>
        <v/>
      </c>
      <c r="G91" s="187" t="n"/>
      <c r="H91" s="187" t="n"/>
      <c r="I91" s="187" t="n"/>
      <c r="J91" s="187" t="n"/>
      <c r="K91" s="187" t="n"/>
      <c r="L91" s="187" t="n"/>
      <c r="M91" s="187" t="n"/>
      <c r="N91" s="188" t="n"/>
      <c r="O91" s="609">
        <f>(B5 + 3)</f>
        <v/>
      </c>
      <c r="P91" s="187" t="n"/>
      <c r="Q91" s="187" t="n"/>
      <c r="R91" s="187" t="n"/>
      <c r="S91" s="187" t="n"/>
      <c r="T91" s="187" t="n"/>
      <c r="U91" s="187" t="n"/>
      <c r="V91" s="187" t="n"/>
      <c r="W91" s="188" t="n"/>
      <c r="X91" s="609">
        <f>(B5 + 4)</f>
        <v/>
      </c>
      <c r="Y91" s="187" t="n"/>
      <c r="Z91" s="187" t="n"/>
      <c r="AA91" s="187" t="n"/>
      <c r="AB91" s="187" t="n"/>
      <c r="AC91" s="187" t="n"/>
      <c r="AD91" s="187" t="n"/>
      <c r="AE91" s="187" t="n"/>
      <c r="AF91" s="188" t="n"/>
      <c r="AG91" s="609">
        <f>(B5 + 5)</f>
        <v/>
      </c>
      <c r="AH91" s="187" t="n"/>
      <c r="AI91" s="187" t="n"/>
      <c r="AJ91" s="187" t="n"/>
      <c r="AK91" s="187" t="n"/>
      <c r="AL91" s="187" t="n"/>
      <c r="AM91" s="187" t="n"/>
      <c r="AN91" s="187" t="n"/>
      <c r="AO91" s="188" t="n"/>
      <c r="AP91" s="609">
        <f>(B5 + 6)</f>
        <v/>
      </c>
      <c r="AQ91" s="187" t="n"/>
      <c r="AR91" s="187" t="n"/>
      <c r="AS91" s="187" t="n"/>
      <c r="AT91" s="187" t="n"/>
      <c r="AU91" s="187" t="n"/>
      <c r="AV91" s="187" t="n"/>
      <c r="AW91" s="187" t="n"/>
      <c r="AX91" s="188" t="n"/>
      <c r="AY91" s="609">
        <f>(B5 + 7)</f>
        <v/>
      </c>
      <c r="AZ91" s="187" t="n"/>
      <c r="BA91" s="187" t="n"/>
      <c r="BB91" s="187" t="n"/>
      <c r="BC91" s="187" t="n"/>
      <c r="BD91" s="187" t="n"/>
      <c r="BE91" s="187" t="n"/>
      <c r="BF91" s="187" t="n"/>
      <c r="BG91" s="188" t="n"/>
      <c r="BH91" s="609">
        <f>(B5 + 8)</f>
        <v/>
      </c>
      <c r="BI91" s="187" t="n"/>
      <c r="BJ91" s="187" t="n"/>
      <c r="BK91" s="187" t="n"/>
      <c r="BL91" s="187" t="n"/>
      <c r="BM91" s="187" t="n"/>
      <c r="BN91" s="187" t="n"/>
      <c r="BO91" s="187" t="n"/>
      <c r="BP91" s="188" t="n"/>
      <c r="EH91" s="393" t="n"/>
      <c r="EI91" s="393" t="n"/>
      <c r="EJ91" s="393" t="n"/>
    </row>
    <row r="92" ht="30" customHeight="1" s="568">
      <c r="A92" s="3" t="n"/>
      <c r="B92" s="274" t="inlineStr">
        <is>
          <t>N°</t>
        </is>
      </c>
      <c r="C92" s="180" t="inlineStr">
        <is>
          <t>EJEMPLAR</t>
        </is>
      </c>
      <c r="D92" s="180" t="n"/>
      <c r="E92" s="137" t="inlineStr">
        <is>
          <t>PTS</t>
        </is>
      </c>
      <c r="F92" s="274" t="inlineStr">
        <is>
          <t>N°</t>
        </is>
      </c>
      <c r="G92" s="180" t="inlineStr">
        <is>
          <t>EJEMPLAR</t>
        </is>
      </c>
      <c r="H92" s="180" t="n"/>
      <c r="I92" s="180" t="n"/>
      <c r="J92" s="180" t="n"/>
      <c r="K92" s="180" t="n"/>
      <c r="L92" s="180" t="n"/>
      <c r="M92" s="180" t="n"/>
      <c r="N92" s="137" t="inlineStr">
        <is>
          <t>PTS</t>
        </is>
      </c>
      <c r="O92" s="274" t="inlineStr">
        <is>
          <t>N°</t>
        </is>
      </c>
      <c r="P92" s="180" t="inlineStr">
        <is>
          <t>EJEMPLAR</t>
        </is>
      </c>
      <c r="Q92" s="180" t="n"/>
      <c r="R92" s="180" t="n"/>
      <c r="S92" s="180" t="n"/>
      <c r="T92" s="180" t="n"/>
      <c r="U92" s="180" t="n"/>
      <c r="V92" s="180" t="n"/>
      <c r="W92" s="137" t="inlineStr">
        <is>
          <t>PTS</t>
        </is>
      </c>
      <c r="X92" s="274" t="inlineStr">
        <is>
          <t>N°</t>
        </is>
      </c>
      <c r="Y92" s="180" t="inlineStr">
        <is>
          <t>EJEMPLAR</t>
        </is>
      </c>
      <c r="Z92" s="180" t="n"/>
      <c r="AA92" s="180" t="n"/>
      <c r="AB92" s="180" t="n"/>
      <c r="AC92" s="180" t="n"/>
      <c r="AD92" s="180" t="n"/>
      <c r="AE92" s="180" t="n"/>
      <c r="AF92" s="137" t="inlineStr">
        <is>
          <t>PTS</t>
        </is>
      </c>
      <c r="AG92" s="274" t="inlineStr">
        <is>
          <t>N°</t>
        </is>
      </c>
      <c r="AH92" s="180" t="inlineStr">
        <is>
          <t>EJEMPLAR</t>
        </is>
      </c>
      <c r="AI92" s="180" t="n"/>
      <c r="AJ92" s="180" t="n"/>
      <c r="AK92" s="180" t="n"/>
      <c r="AL92" s="180" t="n"/>
      <c r="AM92" s="180" t="n"/>
      <c r="AN92" s="180" t="n"/>
      <c r="AO92" s="179" t="inlineStr">
        <is>
          <t>PTS</t>
        </is>
      </c>
      <c r="AP92" s="274" t="inlineStr">
        <is>
          <t>N°</t>
        </is>
      </c>
      <c r="AQ92" s="180" t="inlineStr">
        <is>
          <t>EJEMPLAR</t>
        </is>
      </c>
      <c r="AR92" s="180" t="n"/>
      <c r="AS92" s="180" t="n"/>
      <c r="AT92" s="180" t="n"/>
      <c r="AU92" s="180" t="n"/>
      <c r="AV92" s="180" t="n"/>
      <c r="AW92" s="180" t="n"/>
      <c r="AX92" s="137" t="inlineStr">
        <is>
          <t>PTS</t>
        </is>
      </c>
      <c r="AY92" s="274" t="inlineStr">
        <is>
          <t>N°</t>
        </is>
      </c>
      <c r="AZ92" s="180" t="inlineStr">
        <is>
          <t>EJEMPLAR</t>
        </is>
      </c>
      <c r="BA92" s="180" t="n"/>
      <c r="BB92" s="180" t="n"/>
      <c r="BC92" s="180" t="n"/>
      <c r="BD92" s="180" t="n"/>
      <c r="BE92" s="180" t="n"/>
      <c r="BF92" s="180" t="n"/>
      <c r="BG92" s="137" t="inlineStr">
        <is>
          <t>PTS</t>
        </is>
      </c>
      <c r="BH92" s="274" t="inlineStr">
        <is>
          <t>N°</t>
        </is>
      </c>
      <c r="BI92" s="180" t="inlineStr">
        <is>
          <t>EJEMPLAR</t>
        </is>
      </c>
      <c r="BJ92" s="180" t="n"/>
      <c r="BK92" s="180" t="n"/>
      <c r="BL92" s="180" t="n"/>
      <c r="BM92" s="180" t="n"/>
      <c r="BN92" s="180" t="n"/>
      <c r="BO92" s="180" t="n"/>
      <c r="BP92" s="137" t="inlineStr">
        <is>
          <t>PTS</t>
        </is>
      </c>
      <c r="EH92" s="393" t="n"/>
      <c r="EI92" s="393" t="n"/>
      <c r="EJ92" s="393" t="n"/>
    </row>
    <row r="93" ht="24.75" customHeight="1" s="568">
      <c r="A93" s="3" t="n"/>
      <c r="B93" s="181">
        <f t="array" ref="B93">INDEX(66:66,$B$5* 5 + 5)</f>
        <v/>
      </c>
      <c r="C93" s="436">
        <f t="array" ref="C93">_xlfn._xlws.FILTER('[1]ALFABETICO SEM'!$M$1:$M$196, ('[1]ALFABETICO SEM'!$L$1:$L$196 = B$91) * ('[1]ALFABETICO SEM'!$N$1:$N$196 = B93), " - ")</f>
        <v/>
      </c>
      <c r="D93" s="182" t="n"/>
      <c r="E93" s="182">
        <f t="array" ref="E93">INDEX(66:66,$B$5* 5 + 9)</f>
        <v/>
      </c>
      <c r="F93" s="181">
        <f t="array" ref="F93">INDEX(66:66,$B$5* 5+1 + 9)</f>
        <v/>
      </c>
      <c r="G93" s="436">
        <f t="array" ref="G93">_xlfn._xlws.FILTER('[1]ALFABETICO SEM'!$M$1:$M$196, ('[1]ALFABETICO SEM'!$L$1:$L$196 = F$91) * ('[1]ALFABETICO SEM'!$N$1:$N$196 = F93), " - ")</f>
        <v/>
      </c>
      <c r="H93" s="182" t="n"/>
      <c r="I93" s="182" t="n"/>
      <c r="J93" s="182" t="n"/>
      <c r="K93" s="182" t="n"/>
      <c r="L93" s="182" t="n"/>
      <c r="M93" s="182" t="n"/>
      <c r="N93" s="140">
        <f t="array" ref="N93">INDEX(66:66,$B$5* 5 + 14)</f>
        <v/>
      </c>
      <c r="O93" s="181">
        <f t="array" ref="O93">INDEX(66:66,$B$5* 5+1 + 14)</f>
        <v/>
      </c>
      <c r="P93" s="436">
        <f t="array" ref="P93">_xlfn._xlws.FILTER('[1]ALFABETICO SEM'!$M$1:$M$196, ('[1]ALFABETICO SEM'!$L$1:$L$196 = O$91) * ('[1]ALFABETICO SEM'!$N$1:$N$196 = O93), " - ")</f>
        <v/>
      </c>
      <c r="Q93" s="182" t="n"/>
      <c r="R93" s="182" t="n"/>
      <c r="S93" s="182" t="n"/>
      <c r="T93" s="182" t="n"/>
      <c r="U93" s="182" t="n"/>
      <c r="V93" s="182" t="n"/>
      <c r="W93" s="140">
        <f t="array" ref="W93">INDEX(66:66,$B$5* 5 + 19)</f>
        <v/>
      </c>
      <c r="X93" s="181">
        <f t="array" ref="X93">INDEX(66:66,$B$5* 5+1 + 19)</f>
        <v/>
      </c>
      <c r="Y93" s="436">
        <f t="array" ref="Y93">_xlfn._xlws.FILTER('[1]ALFABETICO SEM'!$M$1:$M$196, ('[1]ALFABETICO SEM'!$L$1:$L$196 = X$91) * ('[1]ALFABETICO SEM'!$N$1:$N$196 = X93), " - ")</f>
        <v/>
      </c>
      <c r="Z93" s="182" t="n"/>
      <c r="AA93" s="182" t="n"/>
      <c r="AB93" s="182" t="n"/>
      <c r="AC93" s="182" t="n"/>
      <c r="AD93" s="182" t="n"/>
      <c r="AE93" s="182" t="n"/>
      <c r="AF93" s="140">
        <f t="array" ref="AF93">INDEX(66:66,$B$5* 5 + 24)</f>
        <v/>
      </c>
      <c r="AG93" s="181">
        <f t="array" ref="AG93">INDEX(66:66,$B$5* 5+1 + 24)</f>
        <v/>
      </c>
      <c r="AH93" s="436">
        <f t="array" ref="AH93">_xlfn._xlws.FILTER('[1]ALFABETICO SEM'!$M$1:$M$196, ('[1]ALFABETICO SEM'!$L$1:$L$196 = AG$91) * ('[1]ALFABETICO SEM'!$N$1:$N$196 = AG93), " - ")</f>
        <v/>
      </c>
      <c r="AI93" s="182" t="n"/>
      <c r="AJ93" s="182" t="n"/>
      <c r="AK93" s="182" t="n"/>
      <c r="AL93" s="182" t="n"/>
      <c r="AM93" s="182" t="n"/>
      <c r="AN93" s="182" t="n"/>
      <c r="AO93" s="140">
        <f t="array" ref="AO93">INDEX(66:66,$B$5* 5 + 29)</f>
        <v/>
      </c>
      <c r="AP93" s="181">
        <f t="array" ref="AP93">INDEX(66:66,$B$5* 5+1 + 29)</f>
        <v/>
      </c>
      <c r="AQ93" s="436">
        <f t="array" ref="AQ93">_xlfn._xlws.FILTER('[1]ALFABETICO SEM'!$M$1:$M$196, ('[1]ALFABETICO SEM'!$L$1:$L$196 = AP$91) * ('[1]ALFABETICO SEM'!$N$1:$N$196 = AP93), " - ")</f>
        <v/>
      </c>
      <c r="AR93" s="182" t="n"/>
      <c r="AS93" s="182" t="n"/>
      <c r="AT93" s="182" t="n"/>
      <c r="AU93" s="182" t="n"/>
      <c r="AV93" s="182" t="n"/>
      <c r="AW93" s="182" t="n"/>
      <c r="AX93" s="140">
        <f t="array" ref="AX93">INDEX(66:66,$B$5* 5 + 34)</f>
        <v/>
      </c>
      <c r="AY93" s="181">
        <f t="array" ref="AY93">INDEX(66:66,$B$5* 5+1 + 34)</f>
        <v/>
      </c>
      <c r="AZ93" s="436">
        <f t="array" ref="AZ93">_xlfn._xlws.FILTER('[1]ALFABETICO SEM'!$M$1:$M$196, ('[1]ALFABETICO SEM'!$L$1:$L$196 = AY$91) * ('[1]ALFABETICO SEM'!$N$1:$N$196 = AY93), " - ")</f>
        <v/>
      </c>
      <c r="BA93" s="182" t="n"/>
      <c r="BB93" s="182" t="n"/>
      <c r="BC93" s="182" t="n"/>
      <c r="BD93" s="182" t="n"/>
      <c r="BE93" s="182" t="n"/>
      <c r="BF93" s="182" t="n"/>
      <c r="BG93" s="140">
        <f t="array" ref="BG93">INDEX(66:66,B5* 5 + 39)</f>
        <v/>
      </c>
      <c r="BH93" s="435">
        <f t="array" ref="BH93">INDEX(66:66,$B$5* 5+1 + 34)</f>
        <v/>
      </c>
      <c r="BI93" s="436">
        <f t="array" ref="BI93">_xlfn._xlws.FILTER('[1]ALFABETICO SEM'!$M$1:$M$196, ('[1]ALFABETICO SEM'!$L$1:$L$196 = BH$91) * ('[1]ALFABETICO SEM'!$N$1:$N$196 = BH93), " - ")</f>
        <v/>
      </c>
      <c r="BJ93" s="182" t="n"/>
      <c r="BK93" s="182" t="n"/>
      <c r="BL93" s="182" t="n"/>
      <c r="BM93" s="182" t="n"/>
      <c r="BN93" s="182" t="n"/>
      <c r="BO93" s="182" t="n"/>
      <c r="BP93" s="140">
        <f t="array" ref="BP93">INDEX(66:66,$B$5* 5 + 39)</f>
        <v/>
      </c>
      <c r="EH93" s="393" t="n"/>
      <c r="EI93" s="393" t="n"/>
      <c r="EJ93" s="393" t="n"/>
    </row>
    <row r="94" ht="27.75" customHeight="1" s="568">
      <c r="A94" s="3" t="n"/>
      <c r="B94" s="181">
        <f t="array" ref="B94">INDEX(67:67,$B$5* 5 + 5)</f>
        <v/>
      </c>
      <c r="C94" s="437">
        <f t="array" ref="C94">_xlfn._xlws.FILTER('[1]ALFABETICO SEM'!$M$1:$M$196, ('[1]ALFABETICO SEM'!$L$1:$L$196 = B$91) * ('[1]ALFABETICO SEM'!$N$1:$N$196 = B94), " - ")</f>
        <v/>
      </c>
      <c r="D94" s="178" t="n"/>
      <c r="E94" s="178">
        <f t="array" ref="E94">INDEX(67:67,$B$5* 5 + 9)</f>
        <v/>
      </c>
      <c r="F94" s="181">
        <f t="array" ref="F94">INDEX(67:67,$B$5* 5+1 + 9)</f>
        <v/>
      </c>
      <c r="G94" s="437">
        <f t="array" ref="G94">_xlfn._xlws.FILTER('[1]ALFABETICO SEM'!$M$1:$M$196, ('[1]ALFABETICO SEM'!$L$1:$L$196 = F$91) * ('[1]ALFABETICO SEM'!$N$1:$N$196 = F94), " - ")</f>
        <v/>
      </c>
      <c r="H94" s="178" t="n"/>
      <c r="I94" s="178" t="n"/>
      <c r="J94" s="178" t="n"/>
      <c r="K94" s="178" t="n"/>
      <c r="L94" s="178" t="n"/>
      <c r="M94" s="178" t="n"/>
      <c r="N94" s="131">
        <f t="array" ref="N94">INDEX(67:67,$B$5* 5 + 14)</f>
        <v/>
      </c>
      <c r="O94" s="181">
        <f t="array" ref="O94">INDEX(67:67,$B$5* 5+1 + 14)</f>
        <v/>
      </c>
      <c r="P94" s="437">
        <f t="array" ref="P94">_xlfn._xlws.FILTER('[1]ALFABETICO SEM'!$M$1:$M$196, ('[1]ALFABETICO SEM'!$L$1:$L$196 = O$91) * ('[1]ALFABETICO SEM'!$N$1:$N$196 = O94), " - ")</f>
        <v/>
      </c>
      <c r="Q94" s="178" t="n"/>
      <c r="R94" s="178" t="n"/>
      <c r="S94" s="178" t="n"/>
      <c r="T94" s="178" t="n"/>
      <c r="U94" s="178" t="n"/>
      <c r="V94" s="178" t="n"/>
      <c r="W94" s="131">
        <f t="array" ref="W94">INDEX(67:67,$B$5* 5 + 19)</f>
        <v/>
      </c>
      <c r="X94" s="181">
        <f t="array" ref="X94">INDEX(67:67,$B$5* 5+1 + 19)</f>
        <v/>
      </c>
      <c r="Y94" s="437">
        <f t="array" ref="Y94">_xlfn._xlws.FILTER('[1]ALFABETICO SEM'!$M$1:$M$196, ('[1]ALFABETICO SEM'!$L$1:$L$196 = X$91) * ('[1]ALFABETICO SEM'!$N$1:$N$196 = X94), " - ")</f>
        <v/>
      </c>
      <c r="Z94" s="178" t="n"/>
      <c r="AA94" s="178" t="n"/>
      <c r="AB94" s="178" t="n"/>
      <c r="AC94" s="178" t="n"/>
      <c r="AD94" s="178" t="n"/>
      <c r="AE94" s="178" t="n"/>
      <c r="AF94" s="131">
        <f t="array" ref="AF94">INDEX(67:67,$B$5* 5 + 24)</f>
        <v/>
      </c>
      <c r="AG94" s="181">
        <f t="array" ref="AG94">INDEX(67:67,$B$5* 5+1 + 24)</f>
        <v/>
      </c>
      <c r="AH94" s="437">
        <f t="array" ref="AH94">_xlfn._xlws.FILTER('[1]ALFABETICO SEM'!$M$1:$M$196, ('[1]ALFABETICO SEM'!$L$1:$L$196 = AG$91) * ('[1]ALFABETICO SEM'!$N$1:$N$196 = AG94), " - ")</f>
        <v/>
      </c>
      <c r="AI94" s="178" t="n"/>
      <c r="AJ94" s="178" t="n"/>
      <c r="AK94" s="178" t="n"/>
      <c r="AL94" s="178" t="n"/>
      <c r="AM94" s="178" t="n"/>
      <c r="AN94" s="178" t="n"/>
      <c r="AO94" s="131">
        <f t="array" ref="AO94">INDEX(67:67,$B$5* 5 + 29)</f>
        <v/>
      </c>
      <c r="AP94" s="181">
        <f t="array" ref="AP94">INDEX(67:67,$B$5* 5+1 + 29)</f>
        <v/>
      </c>
      <c r="AQ94" s="437">
        <f t="array" ref="AQ94">_xlfn._xlws.FILTER('[1]ALFABETICO SEM'!$M$1:$M$196, ('[1]ALFABETICO SEM'!$L$1:$L$196 = AP$91) * ('[1]ALFABETICO SEM'!$N$1:$N$196 = AP94), " - ")</f>
        <v/>
      </c>
      <c r="AR94" s="178" t="n"/>
      <c r="AS94" s="178" t="n"/>
      <c r="AT94" s="178" t="n"/>
      <c r="AU94" s="178" t="n"/>
      <c r="AV94" s="178" t="n"/>
      <c r="AW94" s="178" t="n"/>
      <c r="AX94" s="131">
        <f t="array" ref="AX94">INDEX(67:67,$B$5* 5 + 34)</f>
        <v/>
      </c>
      <c r="AY94" s="181">
        <f t="array" ref="AY94">INDEX(67:67,$B$5* 5+1 + 34)</f>
        <v/>
      </c>
      <c r="AZ94" s="437">
        <f t="array" ref="AZ94">_xlfn._xlws.FILTER('[1]ALFABETICO SEM'!$M$1:$M$196, ('[1]ALFABETICO SEM'!$L$1:$L$196 = AY$91) * ('[1]ALFABETICO SEM'!$N$1:$N$196 = AY94), " - ")</f>
        <v/>
      </c>
      <c r="BA94" s="178" t="n"/>
      <c r="BB94" s="178" t="n"/>
      <c r="BC94" s="178" t="n"/>
      <c r="BD94" s="178" t="n"/>
      <c r="BE94" s="178" t="n"/>
      <c r="BF94" s="178" t="n"/>
      <c r="BG94" s="131">
        <f t="array" ref="BG94">INDEX(67:67,B6* 5 + 39)</f>
        <v/>
      </c>
      <c r="BH94" s="435">
        <f t="array" ref="BH94">INDEX(67:67,$B$5* 5+1 + 34)</f>
        <v/>
      </c>
      <c r="BI94" s="437">
        <f t="array" ref="BI94">_xlfn._xlws.FILTER('[1]ALFABETICO SEM'!$M$1:$M$196, ('[1]ALFABETICO SEM'!$L$1:$L$196 = BH$91) * ('[1]ALFABETICO SEM'!$N$1:$N$196 = BH94), " - ")</f>
        <v/>
      </c>
      <c r="BJ94" s="178" t="n"/>
      <c r="BK94" s="178" t="n"/>
      <c r="BL94" s="178" t="n"/>
      <c r="BM94" s="178" t="n"/>
      <c r="BN94" s="178" t="n"/>
      <c r="BO94" s="178" t="n"/>
      <c r="BP94" s="131">
        <f t="array" ref="BP94">INDEX(67:67,$B$5* 5 + 39)</f>
        <v/>
      </c>
      <c r="EH94" s="393" t="n"/>
      <c r="EI94" s="393" t="n"/>
      <c r="EJ94" s="393" t="n"/>
    </row>
    <row r="95" ht="27.75" customHeight="1" s="568">
      <c r="A95" s="3" t="n"/>
      <c r="B95" s="181">
        <f t="array" ref="B95">INDEX(68:68,$B$5* 5 + 5)</f>
        <v/>
      </c>
      <c r="C95" s="437">
        <f t="array" ref="C95">_xlfn._xlws.FILTER('[1]ALFABETICO SEM'!$M$1:$M$196, ('[1]ALFABETICO SEM'!$L$1:$L$196 = B$91) * ('[1]ALFABETICO SEM'!$N$1:$N$196 = B95), " - ")</f>
        <v/>
      </c>
      <c r="D95" s="178" t="n"/>
      <c r="E95" s="178">
        <f t="array" ref="E95">INDEX(68:68,$B$5* 5 + 9)</f>
        <v/>
      </c>
      <c r="F95" s="181">
        <f t="array" ref="F95">INDEX(68:68,$B$5* 5+1 + 9)</f>
        <v/>
      </c>
      <c r="G95" s="437">
        <f t="array" ref="G95">_xlfn._xlws.FILTER('[1]ALFABETICO SEM'!$M$1:$M$196, ('[1]ALFABETICO SEM'!$L$1:$L$196 = F$91) * ('[1]ALFABETICO SEM'!$N$1:$N$196 = F95), " - ")</f>
        <v/>
      </c>
      <c r="H95" s="178" t="n"/>
      <c r="I95" s="178" t="n"/>
      <c r="J95" s="178" t="n"/>
      <c r="K95" s="178" t="n"/>
      <c r="L95" s="178" t="n"/>
      <c r="M95" s="178" t="n"/>
      <c r="N95" s="131">
        <f t="array" ref="N95">INDEX(68:68,$B$5* 5 + 14)</f>
        <v/>
      </c>
      <c r="O95" s="181">
        <f t="array" ref="O95">INDEX(68:68,$B$5* 5+1 + 14)</f>
        <v/>
      </c>
      <c r="P95" s="437">
        <f t="array" ref="P95">_xlfn._xlws.FILTER('[1]ALFABETICO SEM'!$M$1:$M$196, ('[1]ALFABETICO SEM'!$L$1:$L$196 = O$91) * ('[1]ALFABETICO SEM'!$N$1:$N$196 = O95), " - ")</f>
        <v/>
      </c>
      <c r="Q95" s="178" t="n"/>
      <c r="R95" s="178" t="n"/>
      <c r="S95" s="178" t="n"/>
      <c r="T95" s="178" t="n"/>
      <c r="U95" s="178" t="n"/>
      <c r="V95" s="178" t="n"/>
      <c r="W95" s="131">
        <f t="array" ref="W95">INDEX(68:68,$B$5* 5 + 19)</f>
        <v/>
      </c>
      <c r="X95" s="181">
        <f t="array" ref="X95">INDEX(68:68,$B$5* 5+1 + 19)</f>
        <v/>
      </c>
      <c r="Y95" s="437">
        <f t="array" ref="Y95">_xlfn._xlws.FILTER('[1]ALFABETICO SEM'!$M$1:$M$196, ('[1]ALFABETICO SEM'!$L$1:$L$196 = X$91) * ('[1]ALFABETICO SEM'!$N$1:$N$196 = X95), " - ")</f>
        <v/>
      </c>
      <c r="Z95" s="178" t="n"/>
      <c r="AA95" s="178" t="n"/>
      <c r="AB95" s="178" t="n"/>
      <c r="AC95" s="178" t="n"/>
      <c r="AD95" s="178" t="n"/>
      <c r="AE95" s="178" t="n"/>
      <c r="AF95" s="131">
        <f t="array" ref="AF95">INDEX(68:68,$B$5* 5 + 24)</f>
        <v/>
      </c>
      <c r="AG95" s="181">
        <f t="array" ref="AG95">INDEX(68:68,$B$5* 5+1 + 24)</f>
        <v/>
      </c>
      <c r="AH95" s="437">
        <f t="array" ref="AH95">_xlfn._xlws.FILTER('[1]ALFABETICO SEM'!$M$1:$M$196, ('[1]ALFABETICO SEM'!$L$1:$L$196 = AG$91) * ('[1]ALFABETICO SEM'!$N$1:$N$196 = AG95), " - ")</f>
        <v/>
      </c>
      <c r="AI95" s="178" t="n"/>
      <c r="AJ95" s="178" t="n"/>
      <c r="AK95" s="178" t="n"/>
      <c r="AL95" s="178" t="n"/>
      <c r="AM95" s="178" t="n"/>
      <c r="AN95" s="178" t="n"/>
      <c r="AO95" s="131">
        <f t="array" ref="AO95">INDEX(68:68,$B$5* 5 + 29)</f>
        <v/>
      </c>
      <c r="AP95" s="181">
        <f t="array" ref="AP95">INDEX(68:68,$B$5* 5+1 + 29)</f>
        <v/>
      </c>
      <c r="AQ95" s="437">
        <f t="array" ref="AQ95">_xlfn._xlws.FILTER('[1]ALFABETICO SEM'!$M$1:$M$196, ('[1]ALFABETICO SEM'!$L$1:$L$196 = AP$91) * ('[1]ALFABETICO SEM'!$N$1:$N$196 = AP95), " - ")</f>
        <v/>
      </c>
      <c r="AR95" s="178" t="n"/>
      <c r="AS95" s="178" t="n"/>
      <c r="AT95" s="178" t="n"/>
      <c r="AU95" s="178" t="n"/>
      <c r="AV95" s="178" t="n"/>
      <c r="AW95" s="178" t="n"/>
      <c r="AX95" s="131">
        <f t="array" ref="AX95">INDEX(68:68,$B$5* 5 + 34)</f>
        <v/>
      </c>
      <c r="AY95" s="181">
        <f t="array" ref="AY95">INDEX(68:68,$B$5* 5+1 + 34)</f>
        <v/>
      </c>
      <c r="AZ95" s="437">
        <f t="array" ref="AZ95">_xlfn._xlws.FILTER('[1]ALFABETICO SEM'!$M$1:$M$196, ('[1]ALFABETICO SEM'!$L$1:$L$196 = AY$91) * ('[1]ALFABETICO SEM'!$N$1:$N$196 = AY95), " - ")</f>
        <v/>
      </c>
      <c r="BA95" s="178" t="n"/>
      <c r="BB95" s="178" t="n"/>
      <c r="BC95" s="178" t="n"/>
      <c r="BD95" s="178" t="n"/>
      <c r="BE95" s="178" t="n"/>
      <c r="BF95" s="178" t="n"/>
      <c r="BG95" s="131">
        <f t="array" ref="BG95">INDEX(68:68,B7* 5 + 39)</f>
        <v/>
      </c>
      <c r="BH95" s="435">
        <f t="array" ref="BH95">INDEX(68:68,$B$5* 5+1 + 34)</f>
        <v/>
      </c>
      <c r="BI95" s="437">
        <f t="array" ref="BI95">_xlfn._xlws.FILTER('[1]ALFABETICO SEM'!$M$1:$M$196, ('[1]ALFABETICO SEM'!$L$1:$L$196 = BH$91) * ('[1]ALFABETICO SEM'!$N$1:$N$196 = BH95), " - ")</f>
        <v/>
      </c>
      <c r="BJ95" s="178" t="n"/>
      <c r="BK95" s="178" t="n"/>
      <c r="BL95" s="178" t="n"/>
      <c r="BM95" s="178" t="n"/>
      <c r="BN95" s="178" t="n"/>
      <c r="BO95" s="178" t="n"/>
      <c r="BP95" s="131">
        <f t="array" ref="BP95">INDEX(68:68,$B$5* 5 + 39)</f>
        <v/>
      </c>
      <c r="EH95" s="393" t="n"/>
      <c r="EI95" s="393" t="n"/>
      <c r="EJ95" s="393" t="n"/>
    </row>
    <row r="96" ht="27.75" customHeight="1" s="568">
      <c r="A96" s="3" t="n"/>
      <c r="B96" s="181">
        <f t="array" ref="B96">INDEX(69:69,$B$5* 5 + 5)</f>
        <v/>
      </c>
      <c r="C96" s="437">
        <f t="array" ref="C96">_xlfn._xlws.FILTER('[1]ALFABETICO SEM'!$M$1:$M$196, ('[1]ALFABETICO SEM'!$L$1:$L$196 = B$91) * ('[1]ALFABETICO SEM'!$N$1:$N$196 = B96), " - ")</f>
        <v/>
      </c>
      <c r="D96" s="178" t="n"/>
      <c r="E96" s="178">
        <f t="array" ref="E96">INDEX(69:69,$B$5* 5 + 9)</f>
        <v/>
      </c>
      <c r="F96" s="181">
        <f t="array" ref="F96">INDEX(69:69,$B$5* 5+1 + 9)</f>
        <v/>
      </c>
      <c r="G96" s="437">
        <f t="array" ref="G96">_xlfn._xlws.FILTER('[1]ALFABETICO SEM'!$M$1:$M$196, ('[1]ALFABETICO SEM'!$L$1:$L$196 = F$91) * ('[1]ALFABETICO SEM'!$N$1:$N$196 = F96), " - ")</f>
        <v/>
      </c>
      <c r="H96" s="178" t="n"/>
      <c r="I96" s="178" t="n"/>
      <c r="J96" s="178" t="n"/>
      <c r="K96" s="178" t="n"/>
      <c r="L96" s="178" t="n"/>
      <c r="M96" s="178" t="n"/>
      <c r="N96" s="131">
        <f t="array" ref="N96">INDEX(69:69,$B$5* 5 + 14)</f>
        <v/>
      </c>
      <c r="O96" s="181">
        <f t="array" ref="O96">INDEX(69:69,$B$5* 5+1 + 14)</f>
        <v/>
      </c>
      <c r="P96" s="437">
        <f t="array" ref="P96">_xlfn._xlws.FILTER('[1]ALFABETICO SEM'!$M$1:$M$196, ('[1]ALFABETICO SEM'!$L$1:$L$196 = O$91) * ('[1]ALFABETICO SEM'!$N$1:$N$196 = O96), " - ")</f>
        <v/>
      </c>
      <c r="Q96" s="178" t="n"/>
      <c r="R96" s="178" t="n"/>
      <c r="S96" s="178" t="n"/>
      <c r="T96" s="178" t="n"/>
      <c r="U96" s="178" t="n"/>
      <c r="V96" s="178" t="n"/>
      <c r="W96" s="131">
        <f t="array" ref="W96">INDEX(69:69,$B$5* 5 + 19)</f>
        <v/>
      </c>
      <c r="X96" s="181">
        <f t="array" ref="X96">INDEX(69:69,$B$5* 5+1 + 19)</f>
        <v/>
      </c>
      <c r="Y96" s="437">
        <f t="array" ref="Y96">_xlfn._xlws.FILTER('[1]ALFABETICO SEM'!$M$1:$M$196, ('[1]ALFABETICO SEM'!$L$1:$L$196 = X$91) * ('[1]ALFABETICO SEM'!$N$1:$N$196 = X96), " - ")</f>
        <v/>
      </c>
      <c r="Z96" s="178" t="n"/>
      <c r="AA96" s="178" t="n"/>
      <c r="AB96" s="178" t="n"/>
      <c r="AC96" s="178" t="n"/>
      <c r="AD96" s="178" t="n"/>
      <c r="AE96" s="178" t="n"/>
      <c r="AF96" s="131">
        <f t="array" ref="AF96">INDEX(69:69,$B$5* 5 + 24)</f>
        <v/>
      </c>
      <c r="AG96" s="181">
        <f t="array" ref="AG96">INDEX(69:69,$B$5* 5+1 + 24)</f>
        <v/>
      </c>
      <c r="AH96" s="437">
        <f t="array" ref="AH96">_xlfn._xlws.FILTER('[1]ALFABETICO SEM'!$M$1:$M$196, ('[1]ALFABETICO SEM'!$L$1:$L$196 = AG$91) * ('[1]ALFABETICO SEM'!$N$1:$N$196 = AG96), " - ")</f>
        <v/>
      </c>
      <c r="AI96" s="178" t="n"/>
      <c r="AJ96" s="178" t="n"/>
      <c r="AK96" s="178" t="n"/>
      <c r="AL96" s="178" t="n"/>
      <c r="AM96" s="178" t="n"/>
      <c r="AN96" s="178" t="n"/>
      <c r="AO96" s="131">
        <f t="array" ref="AO96">INDEX(69:69,$B$5* 5 + 29)</f>
        <v/>
      </c>
      <c r="AP96" s="181">
        <f t="array" ref="AP96">INDEX(69:69,$B$5* 5+1 + 29)</f>
        <v/>
      </c>
      <c r="AQ96" s="437">
        <f t="array" ref="AQ96">_xlfn._xlws.FILTER('[1]ALFABETICO SEM'!$M$1:$M$196, ('[1]ALFABETICO SEM'!$L$1:$L$196 = AP$91) * ('[1]ALFABETICO SEM'!$N$1:$N$196 = AP96), " - ")</f>
        <v/>
      </c>
      <c r="AR96" s="178" t="n"/>
      <c r="AS96" s="178" t="n"/>
      <c r="AT96" s="178" t="n"/>
      <c r="AU96" s="178" t="n"/>
      <c r="AV96" s="178" t="n"/>
      <c r="AW96" s="178" t="n"/>
      <c r="AX96" s="131">
        <f t="array" ref="AX96">INDEX(69:69,$B$5* 5 + 34)</f>
        <v/>
      </c>
      <c r="AY96" s="181">
        <f t="array" ref="AY96">INDEX(69:69,$B$5* 5+1 + 34)</f>
        <v/>
      </c>
      <c r="AZ96" s="437">
        <f t="array" ref="AZ96">_xlfn._xlws.FILTER('[1]ALFABETICO SEM'!$M$1:$M$196, ('[1]ALFABETICO SEM'!$L$1:$L$196 = AY$91) * ('[1]ALFABETICO SEM'!$N$1:$N$196 = AY96), " - ")</f>
        <v/>
      </c>
      <c r="BA96" s="178" t="n"/>
      <c r="BB96" s="178" t="n"/>
      <c r="BC96" s="178" t="n"/>
      <c r="BD96" s="178" t="n"/>
      <c r="BE96" s="178" t="n"/>
      <c r="BF96" s="178" t="n"/>
      <c r="BG96" s="131">
        <f t="array" ref="BG96">INDEX(69:69,B8* 5 + 39)</f>
        <v/>
      </c>
      <c r="BH96" s="435">
        <f t="array" ref="BH96">INDEX(69:69,$B$5* 5+1 + 34)</f>
        <v/>
      </c>
      <c r="BI96" s="437">
        <f t="array" ref="BI96">_xlfn._xlws.FILTER('[1]ALFABETICO SEM'!$M$1:$M$196, ('[1]ALFABETICO SEM'!$L$1:$L$196 = BH$91) * ('[1]ALFABETICO SEM'!$N$1:$N$196 = BH96), " - ")</f>
        <v/>
      </c>
      <c r="BJ96" s="178" t="n"/>
      <c r="BK96" s="178" t="n"/>
      <c r="BL96" s="178" t="n"/>
      <c r="BM96" s="178" t="n"/>
      <c r="BN96" s="178" t="n"/>
      <c r="BO96" s="178" t="n"/>
      <c r="BP96" s="131">
        <f t="array" ref="BP96">INDEX(69:69,$B$5* 5 + 39)</f>
        <v/>
      </c>
      <c r="EH96" s="393" t="n"/>
      <c r="EI96" s="393" t="n"/>
      <c r="EJ96" s="393" t="n"/>
    </row>
    <row r="97" ht="27.75" customHeight="1" s="568">
      <c r="A97" s="3" t="n"/>
      <c r="B97" s="181">
        <f t="array" ref="B97">INDEX(70:70,$B$5* 5 + 5)</f>
        <v/>
      </c>
      <c r="C97" s="437">
        <f t="array" ref="C97">_xlfn._xlws.FILTER('[1]ALFABETICO SEM'!$M$1:$M$196, ('[1]ALFABETICO SEM'!$L$1:$L$196 = B$91) * ('[1]ALFABETICO SEM'!$N$1:$N$196 = B97), " - ")</f>
        <v/>
      </c>
      <c r="D97" s="178" t="n"/>
      <c r="E97" s="178">
        <f t="array" ref="E97">INDEX(70:70,$B$5* 5 + 9)</f>
        <v/>
      </c>
      <c r="F97" s="181">
        <f t="array" ref="F97">INDEX(70:70,$B$5* 5+1 + 9)</f>
        <v/>
      </c>
      <c r="G97" s="437">
        <f t="array" ref="G97">_xlfn._xlws.FILTER('[1]ALFABETICO SEM'!$M$1:$M$196, ('[1]ALFABETICO SEM'!$L$1:$L$196 = F$91) * ('[1]ALFABETICO SEM'!$N$1:$N$196 = F97), " - ")</f>
        <v/>
      </c>
      <c r="H97" s="178" t="n"/>
      <c r="I97" s="178" t="n"/>
      <c r="J97" s="178" t="n"/>
      <c r="K97" s="178" t="n"/>
      <c r="L97" s="178" t="n"/>
      <c r="M97" s="178" t="n"/>
      <c r="N97" s="131">
        <f t="array" ref="N97">INDEX(70:70,$B$5* 5 + 14)</f>
        <v/>
      </c>
      <c r="O97" s="181">
        <f t="array" ref="O97">INDEX(70:70,$B$5* 5+1 + 14)</f>
        <v/>
      </c>
      <c r="P97" s="437">
        <f t="array" ref="P97">_xlfn._xlws.FILTER('[1]ALFABETICO SEM'!$M$1:$M$196, ('[1]ALFABETICO SEM'!$L$1:$L$196 = O$91) * ('[1]ALFABETICO SEM'!$N$1:$N$196 = O97), " - ")</f>
        <v/>
      </c>
      <c r="Q97" s="178" t="n"/>
      <c r="R97" s="178" t="n"/>
      <c r="S97" s="178" t="n"/>
      <c r="T97" s="178" t="n"/>
      <c r="U97" s="178" t="n"/>
      <c r="V97" s="178" t="n"/>
      <c r="W97" s="131">
        <f t="array" ref="W97">INDEX(70:70,$B$5* 5 + 19)</f>
        <v/>
      </c>
      <c r="X97" s="181">
        <f t="array" ref="X97">INDEX(70:70,$B$5* 5+1 + 19)</f>
        <v/>
      </c>
      <c r="Y97" s="437">
        <f t="array" ref="Y97">_xlfn._xlws.FILTER('[1]ALFABETICO SEM'!$M$1:$M$196, ('[1]ALFABETICO SEM'!$L$1:$L$196 = X$91) * ('[1]ALFABETICO SEM'!$N$1:$N$196 = X97), " - ")</f>
        <v/>
      </c>
      <c r="Z97" s="178" t="n"/>
      <c r="AA97" s="178" t="n"/>
      <c r="AB97" s="178" t="n"/>
      <c r="AC97" s="178" t="n"/>
      <c r="AD97" s="178" t="n"/>
      <c r="AE97" s="178" t="n"/>
      <c r="AF97" s="131">
        <f t="array" ref="AF97">INDEX(70:70,$B$5* 5 + 24)</f>
        <v/>
      </c>
      <c r="AG97" s="181">
        <f t="array" ref="AG97">INDEX(70:70,$B$5* 5+1 + 24)</f>
        <v/>
      </c>
      <c r="AH97" s="437">
        <f t="array" ref="AH97">_xlfn._xlws.FILTER('[1]ALFABETICO SEM'!$M$1:$M$196, ('[1]ALFABETICO SEM'!$L$1:$L$196 = AG$91) * ('[1]ALFABETICO SEM'!$N$1:$N$196 = AG97), " - ")</f>
        <v/>
      </c>
      <c r="AI97" s="178" t="n"/>
      <c r="AJ97" s="178" t="n"/>
      <c r="AK97" s="178" t="n"/>
      <c r="AL97" s="178" t="n"/>
      <c r="AM97" s="178" t="n"/>
      <c r="AN97" s="178" t="n"/>
      <c r="AO97" s="131">
        <f t="array" ref="AO97">INDEX(70:70,$B$5* 5 + 29)</f>
        <v/>
      </c>
      <c r="AP97" s="181">
        <f t="array" ref="AP97">INDEX(70:70,$B$5* 5+1 + 29)</f>
        <v/>
      </c>
      <c r="AQ97" s="437">
        <f t="array" ref="AQ97">_xlfn._xlws.FILTER('[1]ALFABETICO SEM'!$M$1:$M$196, ('[1]ALFABETICO SEM'!$L$1:$L$196 = AP$91) * ('[1]ALFABETICO SEM'!$N$1:$N$196 = AP97), " - ")</f>
        <v/>
      </c>
      <c r="AR97" s="178" t="n"/>
      <c r="AS97" s="178" t="n"/>
      <c r="AT97" s="178" t="n"/>
      <c r="AU97" s="178" t="n"/>
      <c r="AV97" s="178" t="n"/>
      <c r="AW97" s="178" t="n"/>
      <c r="AX97" s="131">
        <f t="array" ref="AX97">INDEX(70:70,$B$5* 5 + 34)</f>
        <v/>
      </c>
      <c r="AY97" s="181">
        <f t="array" ref="AY97">INDEX(70:70,$B$5* 5+1 + 34)</f>
        <v/>
      </c>
      <c r="AZ97" s="437">
        <f t="array" ref="AZ97">_xlfn._xlws.FILTER('[1]ALFABETICO SEM'!$M$1:$M$196, ('[1]ALFABETICO SEM'!$L$1:$L$196 = AY$91) * ('[1]ALFABETICO SEM'!$N$1:$N$196 = AY97), " - ")</f>
        <v/>
      </c>
      <c r="BA97" s="178" t="n"/>
      <c r="BB97" s="178" t="n"/>
      <c r="BC97" s="178" t="n"/>
      <c r="BD97" s="178" t="n"/>
      <c r="BE97" s="178" t="n"/>
      <c r="BF97" s="178" t="n"/>
      <c r="BG97" s="131">
        <f t="array" ref="BG97">INDEX(70:70,B9* 5 + 39)</f>
        <v/>
      </c>
      <c r="BH97" s="435">
        <f t="array" ref="BH97">INDEX(70:70,$B$5* 5+1 + 34)</f>
        <v/>
      </c>
      <c r="BI97" s="437">
        <f t="array" ref="BI97">_xlfn._xlws.FILTER('[1]ALFABETICO SEM'!$M$1:$M$196, ('[1]ALFABETICO SEM'!$L$1:$L$196 = BH$91) * ('[1]ALFABETICO SEM'!$N$1:$N$196 = BH97), " - ")</f>
        <v/>
      </c>
      <c r="BJ97" s="178" t="n"/>
      <c r="BK97" s="178" t="n"/>
      <c r="BL97" s="178" t="n"/>
      <c r="BM97" s="178" t="n"/>
      <c r="BN97" s="178" t="n"/>
      <c r="BO97" s="178" t="n"/>
      <c r="BP97" s="131">
        <f t="array" ref="BP97">INDEX(70:70,$B$5* 5 + 39)</f>
        <v/>
      </c>
      <c r="EH97" s="393" t="n"/>
      <c r="EI97" s="393" t="n"/>
      <c r="EJ97" s="393" t="n"/>
    </row>
    <row r="98" ht="27.75" customHeight="1" s="568">
      <c r="A98" s="1" t="n"/>
      <c r="B98" s="141">
        <f t="array" ref="B98">INDEX(71:71,$B$5* 5 + 5)</f>
        <v/>
      </c>
      <c r="C98" s="438">
        <f t="array" ref="C98">_xlfn._xlws.FILTER('[1]ALFABETICO SEM'!$M$1:$M$196, ('[1]ALFABETICO SEM'!$L$1:$L$196 = B$91) * ('[1]ALFABETICO SEM'!$N$1:$N$196 = B98), " - ")</f>
        <v/>
      </c>
      <c r="D98" s="136" t="n"/>
      <c r="E98" s="136">
        <f t="array" ref="E98">INDEX(71:71,$B$5* 5 + 9)</f>
        <v/>
      </c>
      <c r="F98" s="141">
        <f t="array" ref="F98">INDEX(71:71,$B$5* 5+1 + 9)</f>
        <v/>
      </c>
      <c r="G98" s="438">
        <f t="array" ref="G98">_xlfn._xlws.FILTER('[1]ALFABETICO SEM'!$M$1:$M$196, ('[1]ALFABETICO SEM'!$L$1:$L$196 = F$91) * ('[1]ALFABETICO SEM'!$N$1:$N$196 = F98), " - ")</f>
        <v/>
      </c>
      <c r="H98" s="136" t="n"/>
      <c r="I98" s="136" t="n"/>
      <c r="J98" s="136" t="n"/>
      <c r="K98" s="136" t="n"/>
      <c r="L98" s="136" t="n"/>
      <c r="M98" s="136" t="n"/>
      <c r="N98" s="135">
        <f t="array" ref="N98">INDEX(71:71,$B$5* 5 + 14)</f>
        <v/>
      </c>
      <c r="O98" s="141">
        <f t="array" ref="O98">INDEX(71:71,$B$5* 5+1 + 14)</f>
        <v/>
      </c>
      <c r="P98" s="438">
        <f t="array" ref="P98">_xlfn._xlws.FILTER('[1]ALFABETICO SEM'!$M$1:$M$196, ('[1]ALFABETICO SEM'!$L$1:$L$196 = O$91) * ('[1]ALFABETICO SEM'!$N$1:$N$196 = O98), " - ")</f>
        <v/>
      </c>
      <c r="Q98" s="136" t="n"/>
      <c r="R98" s="136" t="n"/>
      <c r="S98" s="136" t="n"/>
      <c r="T98" s="136" t="n"/>
      <c r="U98" s="136" t="n"/>
      <c r="V98" s="136" t="n"/>
      <c r="W98" s="135">
        <f t="array" ref="W98">INDEX(71:71,$B$5* 5 + 19)</f>
        <v/>
      </c>
      <c r="X98" s="141">
        <f t="array" ref="X98">INDEX(71:71,$B$5* 5+1 + 19)</f>
        <v/>
      </c>
      <c r="Y98" s="438">
        <f t="array" ref="Y98">_xlfn._xlws.FILTER('[1]ALFABETICO SEM'!$M$1:$M$196, ('[1]ALFABETICO SEM'!$L$1:$L$196 = X$91) * ('[1]ALFABETICO SEM'!$N$1:$N$196 = X98), " - ")</f>
        <v/>
      </c>
      <c r="Z98" s="136" t="n"/>
      <c r="AA98" s="136" t="n"/>
      <c r="AB98" s="136" t="n"/>
      <c r="AC98" s="136" t="n"/>
      <c r="AD98" s="136" t="n"/>
      <c r="AE98" s="136" t="n"/>
      <c r="AF98" s="135">
        <f t="array" ref="AF98">INDEX(71:71,$B$5* 5 + 24)</f>
        <v/>
      </c>
      <c r="AG98" s="141">
        <f t="array" ref="AG98">INDEX(71:71,$B$5* 5+1 + 24)</f>
        <v/>
      </c>
      <c r="AH98" s="438">
        <f t="array" ref="AH98">_xlfn._xlws.FILTER('[1]ALFABETICO SEM'!$M$1:$M$196, ('[1]ALFABETICO SEM'!$L$1:$L$196 = AG$91) * ('[1]ALFABETICO SEM'!$N$1:$N$196 = AG98), " - ")</f>
        <v/>
      </c>
      <c r="AI98" s="136" t="n"/>
      <c r="AJ98" s="136" t="n"/>
      <c r="AK98" s="136" t="n"/>
      <c r="AL98" s="136" t="n"/>
      <c r="AM98" s="136" t="n"/>
      <c r="AN98" s="136" t="n"/>
      <c r="AO98" s="135">
        <f t="array" ref="AO98">INDEX(71:71,$B$5* 5 + 29)</f>
        <v/>
      </c>
      <c r="AP98" s="141">
        <f t="array" ref="AP98">INDEX(71:71,$B$5* 5+1 + 29)</f>
        <v/>
      </c>
      <c r="AQ98" s="438">
        <f t="array" ref="AQ98">_xlfn._xlws.FILTER('[1]ALFABETICO SEM'!$M$1:$M$196, ('[1]ALFABETICO SEM'!$L$1:$L$196 = AP$91) * ('[1]ALFABETICO SEM'!$N$1:$N$196 = AP98), " - ")</f>
        <v/>
      </c>
      <c r="AR98" s="136" t="n"/>
      <c r="AS98" s="136" t="n"/>
      <c r="AT98" s="136" t="n"/>
      <c r="AU98" s="136" t="n"/>
      <c r="AV98" s="136" t="n"/>
      <c r="AW98" s="136" t="n"/>
      <c r="AX98" s="135">
        <f t="array" ref="AX98">INDEX(71:71,$B$5* 5 + 34)</f>
        <v/>
      </c>
      <c r="AY98" s="141">
        <f t="array" ref="AY98">INDEX(71:71,$B$5* 5+1 + 34)</f>
        <v/>
      </c>
      <c r="AZ98" s="438">
        <f t="array" ref="AZ98">_xlfn._xlws.FILTER('[1]ALFABETICO SEM'!$M$1:$M$196, ('[1]ALFABETICO SEM'!$L$1:$L$196 = AY$91) * ('[1]ALFABETICO SEM'!$N$1:$N$196 = AY98), " - ")</f>
        <v/>
      </c>
      <c r="BA98" s="136" t="n"/>
      <c r="BB98" s="136" t="n"/>
      <c r="BC98" s="136" t="n"/>
      <c r="BD98" s="136" t="n"/>
      <c r="BE98" s="136" t="n"/>
      <c r="BF98" s="136" t="n"/>
      <c r="BG98" s="135">
        <f t="array" ref="BG98">INDEX(71:71,B10* 5 + 39)</f>
        <v/>
      </c>
      <c r="BH98" s="368">
        <f t="array" ref="BH98">INDEX(71:71,$B$5* 5+1 + 34)</f>
        <v/>
      </c>
      <c r="BI98" s="438">
        <f t="array" ref="BI98">_xlfn._xlws.FILTER('[1]ALFABETICO SEM'!$M$1:$M$196, ('[1]ALFABETICO SEM'!$L$1:$L$196 = BH$91) * ('[1]ALFABETICO SEM'!$N$1:$N$196 = BH98), " - ")</f>
        <v/>
      </c>
      <c r="BJ98" s="136" t="n"/>
      <c r="BK98" s="136" t="n"/>
      <c r="BL98" s="136" t="n"/>
      <c r="BM98" s="136" t="n"/>
      <c r="BN98" s="136" t="n"/>
      <c r="BO98" s="136" t="n"/>
      <c r="BP98" s="135">
        <f t="array" ref="BP98">INDEX(71:71,$B$5* 5 + 39)</f>
        <v/>
      </c>
      <c r="EH98" s="393" t="n"/>
      <c r="EI98" s="393" t="n"/>
      <c r="EJ98" s="393" t="n"/>
    </row>
    <row r="99" ht="27.75" customHeight="1" s="568">
      <c r="A99" s="1" t="n"/>
      <c r="EH99" s="393" t="n"/>
      <c r="EI99" s="393" t="n"/>
      <c r="EJ99" s="393" t="n"/>
    </row>
    <row r="100" ht="30" customHeight="1" s="568">
      <c r="EH100" s="393" t="n"/>
      <c r="EI100" s="393" t="n"/>
      <c r="EJ100" s="393" t="n"/>
    </row>
    <row r="101" ht="31.5" customHeight="1" s="568">
      <c r="B101" s="161" t="inlineStr">
        <is>
          <t>FACTOR</t>
        </is>
      </c>
      <c r="C101" s="156" t="inlineStr">
        <is>
          <t>DIVIDENDO</t>
        </is>
      </c>
      <c r="D101" s="174" t="inlineStr">
        <is>
          <t>BS</t>
        </is>
      </c>
      <c r="F101" s="159" t="inlineStr">
        <is>
          <t>BOLETO</t>
        </is>
      </c>
      <c r="G101" s="160" t="n"/>
      <c r="H101" s="162" t="n">
        <v>100</v>
      </c>
      <c r="I101" s="163" t="n"/>
      <c r="BI101" s="356" t="n"/>
      <c r="BN101" s="356" t="n"/>
      <c r="EH101" s="393" t="n"/>
      <c r="EI101" s="393" t="n"/>
      <c r="EJ101" s="393" t="n"/>
    </row>
    <row r="102" ht="30" customHeight="1" s="568">
      <c r="B102" s="158">
        <f>1/5</f>
        <v/>
      </c>
      <c r="C102" s="158">
        <f>1/5</f>
        <v/>
      </c>
      <c r="D102" s="157">
        <f>(DIVIDENDO[[#This Row],[FACTOR]]*$H$101)+$H$101</f>
        <v/>
      </c>
      <c r="BC102" s="356" t="n"/>
      <c r="BH102" s="356" t="n"/>
      <c r="EH102" s="393" t="n"/>
      <c r="EI102" s="393" t="n"/>
      <c r="EJ102" s="393" t="n"/>
    </row>
    <row r="103" ht="30" customHeight="1" s="568">
      <c r="B103" s="158">
        <f>2/5</f>
        <v/>
      </c>
      <c r="C103" s="158">
        <f>2/5</f>
        <v/>
      </c>
      <c r="D103" s="157">
        <f>(DIVIDENDO[[#This Row],[FACTOR]]*$H$101)+$H$101</f>
        <v/>
      </c>
      <c r="BC103" s="356" t="n"/>
      <c r="BH103" s="356" t="n"/>
      <c r="EH103" s="393" t="n"/>
      <c r="EI103" s="393" t="n"/>
      <c r="EJ103" s="393" t="n"/>
    </row>
    <row r="104" ht="30" customHeight="1" s="568">
      <c r="B104" s="158">
        <f>1/2</f>
        <v/>
      </c>
      <c r="C104" s="158">
        <f>1/2</f>
        <v/>
      </c>
      <c r="D104" s="157">
        <f>(DIVIDENDO[[#This Row],[FACTOR]]*$H$101)+$H$101</f>
        <v/>
      </c>
      <c r="BC104" s="356" t="n"/>
      <c r="BH104" s="356" t="n"/>
      <c r="EH104" s="393" t="n"/>
      <c r="EI104" s="393" t="n"/>
      <c r="EJ104" s="393" t="n"/>
    </row>
    <row r="105" ht="30" customHeight="1" s="568">
      <c r="B105" s="158">
        <f>3/5</f>
        <v/>
      </c>
      <c r="C105" s="158">
        <f>3/5</f>
        <v/>
      </c>
      <c r="D105" s="157">
        <f>(DIVIDENDO[[#This Row],[FACTOR]]*$H$101)+$H$101</f>
        <v/>
      </c>
      <c r="BC105" s="356" t="n"/>
      <c r="BH105" s="356" t="n"/>
      <c r="EH105" s="393" t="n"/>
      <c r="EI105" s="393" t="n"/>
      <c r="EJ105" s="393" t="n"/>
    </row>
    <row r="106" ht="30" customHeight="1" s="568">
      <c r="B106" s="158">
        <f>4/5</f>
        <v/>
      </c>
      <c r="C106" s="158">
        <f>4/5</f>
        <v/>
      </c>
      <c r="D106" s="157">
        <f>(DIVIDENDO[[#This Row],[FACTOR]]*$H$101)+$H$101</f>
        <v/>
      </c>
      <c r="BC106" s="356" t="n"/>
      <c r="BH106" s="356" t="n"/>
      <c r="EH106" s="393" t="n"/>
      <c r="EI106" s="393" t="n"/>
      <c r="EJ106" s="393" t="n"/>
    </row>
    <row r="107" ht="30" customHeight="1" s="568">
      <c r="B107" s="158" t="n">
        <v>1</v>
      </c>
      <c r="C107" s="158" t="n">
        <v>1</v>
      </c>
      <c r="D107" s="157">
        <f>(DIVIDENDO[[#This Row],[FACTOR]]*$H$101)+$H$101</f>
        <v/>
      </c>
      <c r="BC107" s="356" t="n"/>
      <c r="BH107" s="356" t="n"/>
      <c r="EH107" s="393" t="n"/>
      <c r="EI107" s="393" t="n"/>
      <c r="EJ107" s="393" t="n"/>
    </row>
    <row r="108" ht="30" customHeight="1" s="568">
      <c r="B108" s="158">
        <f>7/5</f>
        <v/>
      </c>
      <c r="C108" s="158" t="inlineStr">
        <is>
          <t>7/5</t>
        </is>
      </c>
      <c r="D108" s="157">
        <f>(DIVIDENDO[[#This Row],[FACTOR]]*$H$101)+$H$101</f>
        <v/>
      </c>
      <c r="EH108" s="393" t="n"/>
      <c r="EI108" s="393" t="n"/>
      <c r="EJ108" s="393" t="n"/>
    </row>
    <row r="109" ht="30" customHeight="1" s="568">
      <c r="B109" s="158">
        <f>3/2</f>
        <v/>
      </c>
      <c r="C109" s="158" t="inlineStr">
        <is>
          <t>3/2</t>
        </is>
      </c>
      <c r="D109" s="157">
        <f>(DIVIDENDO[[#This Row],[FACTOR]]*$H$101)+$H$101</f>
        <v/>
      </c>
      <c r="EH109" s="393" t="n"/>
      <c r="EI109" s="393" t="n"/>
      <c r="EJ109" s="393" t="n"/>
    </row>
    <row r="110" ht="30" customHeight="1" s="568">
      <c r="B110" s="158">
        <f>8/5</f>
        <v/>
      </c>
      <c r="C110" s="158" t="inlineStr">
        <is>
          <t>8/5</t>
        </is>
      </c>
      <c r="D110" s="157">
        <f>(DIVIDENDO[[#This Row],[FACTOR]]*$H$101)+$H$101</f>
        <v/>
      </c>
      <c r="EH110" s="393" t="n"/>
      <c r="EI110" s="393" t="n"/>
      <c r="EJ110" s="393" t="n"/>
    </row>
    <row r="111" ht="30" customHeight="1" s="568">
      <c r="B111" s="158">
        <f>9/5</f>
        <v/>
      </c>
      <c r="C111" s="158" t="inlineStr">
        <is>
          <t>9/5</t>
        </is>
      </c>
      <c r="D111" s="157">
        <f>(DIVIDENDO[[#This Row],[FACTOR]]*$H$101)+$H$101</f>
        <v/>
      </c>
      <c r="EH111" s="393" t="n"/>
      <c r="EI111" s="393" t="n"/>
      <c r="EJ111" s="393" t="n"/>
    </row>
    <row r="112" ht="30" customHeight="1" s="568">
      <c r="B112" s="158" t="n">
        <v>2</v>
      </c>
      <c r="C112" s="158" t="n">
        <v>2</v>
      </c>
      <c r="D112" s="157">
        <f>(DIVIDENDO[[#This Row],[FACTOR]]*$H$101)+$H$101</f>
        <v/>
      </c>
      <c r="EH112" s="393" t="n"/>
      <c r="EI112" s="393" t="n"/>
      <c r="EJ112" s="393" t="n"/>
    </row>
    <row r="113" ht="30" customHeight="1" s="568">
      <c r="B113" s="158">
        <f>5/2</f>
        <v/>
      </c>
      <c r="C113" s="158" t="inlineStr">
        <is>
          <t>5/2</t>
        </is>
      </c>
      <c r="D113" s="157">
        <f>(DIVIDENDO[[#This Row],[FACTOR]]*$H$101)+$H$101</f>
        <v/>
      </c>
      <c r="EH113" s="393" t="n"/>
      <c r="EI113" s="393" t="n"/>
      <c r="EJ113" s="393" t="n"/>
    </row>
    <row r="114" ht="30" customHeight="1" s="568">
      <c r="B114" s="158">
        <f>7/2</f>
        <v/>
      </c>
      <c r="C114" s="158" t="inlineStr">
        <is>
          <t>7/2</t>
        </is>
      </c>
      <c r="D114" s="157">
        <f>(DIVIDENDO[[#This Row],[FACTOR]]*$H$101)+$H$101</f>
        <v/>
      </c>
      <c r="BF114" s="356" t="n"/>
      <c r="BK114" s="356" t="n"/>
      <c r="EH114" s="393" t="n"/>
      <c r="EI114" s="393" t="n"/>
      <c r="EJ114" s="393" t="n"/>
    </row>
    <row r="115" ht="30" customHeight="1" s="568">
      <c r="B115" s="158" t="n">
        <v>4</v>
      </c>
      <c r="C115" s="158" t="n">
        <v>4</v>
      </c>
      <c r="D115" s="157">
        <f>(DIVIDENDO[[#This Row],[FACTOR]]*$H$101)+$H$101</f>
        <v/>
      </c>
      <c r="BF115" s="356" t="n"/>
      <c r="BK115" s="356" t="n"/>
      <c r="EH115" s="393" t="n"/>
      <c r="EI115" s="393" t="n"/>
      <c r="EJ115" s="393" t="n"/>
    </row>
    <row r="116" ht="30" customHeight="1" s="568">
      <c r="B116" s="158">
        <f>9/2</f>
        <v/>
      </c>
      <c r="C116" s="158" t="inlineStr">
        <is>
          <t>9/2</t>
        </is>
      </c>
      <c r="D116" s="157">
        <f>(DIVIDENDO[[#This Row],[FACTOR]]*$H$101)+$H$101</f>
        <v/>
      </c>
      <c r="BF116" s="356" t="n"/>
      <c r="BK116" s="356" t="n"/>
      <c r="EH116" s="393" t="n"/>
      <c r="EI116" s="393" t="n"/>
      <c r="EJ116" s="393" t="n"/>
    </row>
    <row r="117" ht="30" customHeight="1" s="568">
      <c r="B117" s="158" t="n">
        <v>5</v>
      </c>
      <c r="C117" s="158" t="n">
        <v>5</v>
      </c>
      <c r="D117" s="157">
        <f>(DIVIDENDO[[#This Row],[FACTOR]]*$H$101)+$H$101</f>
        <v/>
      </c>
      <c r="BF117" s="356" t="n"/>
      <c r="BK117" s="356" t="n"/>
      <c r="EH117" s="393" t="n"/>
      <c r="EI117" s="393" t="n"/>
      <c r="EJ117" s="393" t="n"/>
    </row>
    <row r="118" ht="30" customHeight="1" s="568">
      <c r="B118" s="158" t="n">
        <v>6</v>
      </c>
      <c r="C118" s="158" t="n">
        <v>6</v>
      </c>
      <c r="D118" s="157">
        <f>(DIVIDENDO[[#This Row],[FACTOR]]*$H$101)+$H$101</f>
        <v/>
      </c>
      <c r="BF118" s="356" t="n"/>
      <c r="BK118" s="356" t="n"/>
      <c r="EH118" s="393" t="n"/>
      <c r="EI118" s="393" t="n"/>
      <c r="EJ118" s="393" t="n"/>
    </row>
    <row r="119" ht="30" customHeight="1" s="568">
      <c r="B119" s="158" t="n">
        <v>7</v>
      </c>
      <c r="C119" s="158" t="n">
        <v>7</v>
      </c>
      <c r="D119" s="157">
        <f>(DIVIDENDO[[#This Row],[FACTOR]]*$H$101)+$H$101</f>
        <v/>
      </c>
      <c r="BF119" s="356" t="n"/>
      <c r="BK119" s="356" t="n"/>
      <c r="EH119" s="393" t="n"/>
      <c r="EI119" s="393" t="n"/>
      <c r="EJ119" s="393" t="n"/>
    </row>
    <row r="120" ht="30" customHeight="1" s="568">
      <c r="B120" s="158" t="n">
        <v>9</v>
      </c>
      <c r="C120" s="158" t="n">
        <v>9</v>
      </c>
      <c r="D120" s="157">
        <f>(DIVIDENDO[[#This Row],[FACTOR]]*$H$101)+$H$101</f>
        <v/>
      </c>
      <c r="EH120" s="393" t="n"/>
      <c r="EI120" s="393" t="n"/>
      <c r="EJ120" s="393" t="n"/>
    </row>
    <row r="121" ht="30" customHeight="1" s="568">
      <c r="B121" s="158" t="n">
        <v>10</v>
      </c>
      <c r="C121" s="158" t="n">
        <v>10</v>
      </c>
      <c r="D121" s="157">
        <f>(DIVIDENDO[[#This Row],[FACTOR]]*$H$101)+$H$101</f>
        <v/>
      </c>
      <c r="EH121" s="393" t="n"/>
      <c r="EI121" s="393" t="n"/>
      <c r="EJ121" s="393" t="n"/>
    </row>
    <row r="122" ht="30" customHeight="1" s="568">
      <c r="B122" s="158" t="n">
        <v>11</v>
      </c>
      <c r="C122" s="158" t="n">
        <v>11</v>
      </c>
      <c r="D122" s="157">
        <f>(DIVIDENDO[[#This Row],[FACTOR]]*$H$101)+$H$101</f>
        <v/>
      </c>
      <c r="EH122" s="393" t="n"/>
      <c r="EI122" s="393" t="n"/>
      <c r="EJ122" s="393" t="n"/>
    </row>
    <row r="123" ht="30" customHeight="1" s="568">
      <c r="B123" s="158" t="n">
        <v>12</v>
      </c>
      <c r="C123" s="158" t="n">
        <v>12</v>
      </c>
      <c r="D123" s="157">
        <f>(DIVIDENDO[[#This Row],[FACTOR]]*$H$101)+$H$101</f>
        <v/>
      </c>
      <c r="EH123" s="393" t="n"/>
      <c r="EI123" s="393" t="n"/>
      <c r="EJ123" s="393" t="n"/>
    </row>
    <row r="124" ht="30" customHeight="1" s="568">
      <c r="B124" s="158" t="n">
        <v>13</v>
      </c>
      <c r="C124" s="158" t="n">
        <v>13</v>
      </c>
      <c r="D124" s="157">
        <f>(DIVIDENDO[[#This Row],[FACTOR]]*$H$101)+$H$101</f>
        <v/>
      </c>
      <c r="EH124" s="393" t="n"/>
      <c r="EI124" s="393" t="n"/>
      <c r="EJ124" s="393" t="n"/>
    </row>
    <row r="125" ht="30" customHeight="1" s="568">
      <c r="B125" s="158" t="n">
        <v>14</v>
      </c>
      <c r="C125" s="158" t="n">
        <v>14</v>
      </c>
      <c r="D125" s="157">
        <f>(DIVIDENDO[[#This Row],[FACTOR]]*$H$101)+$H$101</f>
        <v/>
      </c>
      <c r="EH125" s="393" t="n"/>
      <c r="EI125" s="393" t="n"/>
      <c r="EJ125" s="393" t="n"/>
    </row>
    <row r="126" ht="30" customHeight="1" s="568">
      <c r="B126" s="158" t="n">
        <v>16</v>
      </c>
      <c r="C126" s="158" t="n">
        <v>16</v>
      </c>
      <c r="D126" s="157">
        <f>(DIVIDENDO[[#This Row],[FACTOR]]*$H$101)+$H$101</f>
        <v/>
      </c>
      <c r="EH126" s="393" t="n"/>
      <c r="EI126" s="393" t="n"/>
      <c r="EJ126" s="393" t="n"/>
    </row>
    <row r="127" ht="30" customHeight="1" s="568">
      <c r="B127" s="158" t="n">
        <v>17</v>
      </c>
      <c r="C127" s="158" t="n">
        <v>17</v>
      </c>
      <c r="D127" s="157">
        <f>(DIVIDENDO[[#This Row],[FACTOR]]*$H$101)+$H$101</f>
        <v/>
      </c>
      <c r="EH127" s="393" t="n"/>
      <c r="EI127" s="393" t="n"/>
      <c r="EJ127" s="393" t="n"/>
    </row>
    <row r="128" ht="30" customHeight="1" s="568">
      <c r="B128" s="158" t="n">
        <v>18</v>
      </c>
      <c r="C128" s="158" t="n">
        <v>18</v>
      </c>
      <c r="D128" s="157">
        <f>(DIVIDENDO[[#This Row],[FACTOR]]*$H$101)+$H$101</f>
        <v/>
      </c>
      <c r="EH128" s="393" t="n"/>
      <c r="EI128" s="393" t="n"/>
      <c r="EJ128" s="393" t="n"/>
    </row>
    <row r="129" ht="30" customHeight="1" s="568">
      <c r="B129" s="158" t="n">
        <v>19</v>
      </c>
      <c r="C129" s="158" t="n">
        <v>19</v>
      </c>
      <c r="D129" s="157">
        <f>(DIVIDENDO[[#This Row],[FACTOR]]*$H$101)+$H$101</f>
        <v/>
      </c>
      <c r="EH129" s="393" t="n"/>
      <c r="EI129" s="393" t="n"/>
      <c r="EJ129" s="393" t="n"/>
    </row>
    <row r="130" ht="30" customHeight="1" s="568">
      <c r="EH130" s="393" t="n"/>
      <c r="EI130" s="393" t="n"/>
      <c r="EJ130" s="393" t="n"/>
    </row>
    <row r="131" ht="30" customHeight="1" s="568">
      <c r="EH131" s="393" t="n"/>
      <c r="EI131" s="393" t="n"/>
      <c r="EJ131" s="393" t="n"/>
    </row>
    <row r="132" ht="30" customHeight="1" s="568">
      <c r="EH132" s="393" t="n"/>
      <c r="EI132" s="393" t="n"/>
      <c r="EJ132" s="393" t="n"/>
    </row>
    <row r="133" ht="30" customHeight="1" s="568">
      <c r="EH133" s="393" t="n"/>
      <c r="EI133" s="393" t="n"/>
      <c r="EJ133" s="393" t="n"/>
    </row>
    <row r="134" ht="30" customHeight="1" s="568">
      <c r="EH134" s="393" t="n"/>
      <c r="EI134" s="393" t="n"/>
      <c r="EJ134" s="393" t="n"/>
    </row>
    <row r="135" ht="30" customHeight="1" s="568">
      <c r="EH135" s="393" t="n"/>
      <c r="EI135" s="393" t="n"/>
      <c r="EJ135" s="393" t="n"/>
    </row>
    <row r="136" ht="30" customHeight="1" s="568">
      <c r="EH136" s="393" t="n"/>
      <c r="EI136" s="393" t="n"/>
      <c r="EJ136" s="393" t="n"/>
    </row>
    <row r="137" ht="30" customHeight="1" s="568">
      <c r="EH137" s="393" t="n"/>
      <c r="EI137" s="393" t="n"/>
      <c r="EJ137" s="393" t="n"/>
    </row>
    <row r="138" ht="30" customHeight="1" s="568">
      <c r="EH138" s="393" t="n"/>
      <c r="EI138" s="393" t="n"/>
      <c r="EJ138" s="393" t="n"/>
    </row>
    <row r="139" ht="30" customHeight="1" s="568">
      <c r="EH139" s="393" t="n"/>
      <c r="EI139" s="393" t="n"/>
      <c r="EJ139" s="393" t="n"/>
    </row>
    <row r="140" ht="30" customHeight="1" s="568">
      <c r="EH140" s="393" t="n"/>
      <c r="EI140" s="393" t="n"/>
      <c r="EJ140" s="393" t="n"/>
    </row>
    <row r="141" ht="30" customHeight="1" s="568">
      <c r="EH141" s="393" t="n"/>
      <c r="EI141" s="393" t="n"/>
      <c r="EJ141" s="393" t="n"/>
    </row>
    <row r="142" ht="30" customHeight="1" s="568">
      <c r="EH142" s="393" t="n"/>
      <c r="EI142" s="393" t="n"/>
      <c r="EJ142" s="393" t="n"/>
    </row>
    <row r="143" ht="30" customHeight="1" s="568">
      <c r="EH143" s="393" t="n"/>
      <c r="EI143" s="393" t="n"/>
      <c r="EJ143" s="393" t="n"/>
    </row>
    <row r="144" ht="30" customHeight="1" s="568">
      <c r="EH144" s="393" t="n"/>
      <c r="EI144" s="393" t="n"/>
      <c r="EJ144" s="393" t="n"/>
    </row>
    <row r="145" ht="30" customHeight="1" s="568">
      <c r="EH145" s="393" t="n"/>
      <c r="EI145" s="393" t="n"/>
      <c r="EJ145" s="393" t="n"/>
    </row>
    <row r="146" ht="30" customHeight="1" s="568">
      <c r="EH146" s="393" t="n"/>
      <c r="EI146" s="393" t="n"/>
      <c r="EJ146" s="393" t="n"/>
    </row>
    <row r="147" ht="30" customHeight="1" s="568">
      <c r="EH147" s="393" t="n"/>
      <c r="EI147" s="393" t="n"/>
      <c r="EJ147" s="393" t="n"/>
    </row>
    <row r="148" ht="30" customHeight="1" s="568">
      <c r="EH148" s="393" t="n"/>
      <c r="EI148" s="393" t="n"/>
      <c r="EJ148" s="393" t="n"/>
    </row>
    <row r="149" ht="30" customHeight="1" s="568">
      <c r="EH149" s="393" t="n"/>
      <c r="EI149" s="393" t="n"/>
      <c r="EJ149" s="393" t="n"/>
    </row>
    <row r="150" ht="30" customHeight="1" s="568">
      <c r="EH150" s="393" t="n"/>
      <c r="EI150" s="393" t="n"/>
      <c r="EJ150" s="393" t="n"/>
    </row>
    <row r="151" ht="30" customHeight="1" s="568">
      <c r="EH151" s="393" t="n"/>
      <c r="EI151" s="393" t="n"/>
      <c r="EJ151" s="393" t="n"/>
    </row>
    <row r="152" ht="30" customHeight="1" s="568">
      <c r="EH152" s="393" t="n"/>
      <c r="EI152" s="393" t="n"/>
      <c r="EJ152" s="393" t="n"/>
    </row>
    <row r="153" ht="30" customHeight="1" s="568"/>
    <row r="154" ht="30" customHeight="1" s="568"/>
    <row r="155" ht="30" customHeight="1" s="568"/>
    <row r="156" ht="30" customHeight="1" s="568"/>
    <row r="157" ht="30" customHeight="1" s="568"/>
    <row r="158" ht="30" customHeight="1" s="568"/>
    <row r="159" ht="30" customHeight="1" s="568"/>
    <row r="160" ht="30" customHeight="1" s="568"/>
    <row r="161" ht="30" customHeight="1" s="568"/>
    <row r="162" ht="30" customHeight="1" s="568"/>
    <row r="163" ht="30" customHeight="1" s="568"/>
    <row r="164" ht="30" customHeight="1" s="568"/>
    <row r="165" ht="30" customHeight="1" s="568"/>
    <row r="166" ht="30" customHeight="1" s="568"/>
    <row r="167" ht="30" customHeight="1" s="568"/>
    <row r="168" ht="30" customHeight="1" s="568"/>
    <row r="169" ht="30" customHeight="1" s="568"/>
    <row r="170" ht="30" customHeight="1" s="568"/>
    <row r="171" ht="30" customHeight="1" s="568"/>
    <row r="172" ht="30" customHeight="1" s="568"/>
    <row r="173" ht="30" customHeight="1" s="568"/>
    <row r="174" ht="30" customHeight="1" s="568"/>
    <row r="175" ht="30" customHeight="1" s="568"/>
    <row r="176" ht="30" customHeight="1" s="568"/>
    <row r="177" ht="30" customHeight="1" s="568"/>
    <row r="178" ht="30" customHeight="1" s="568"/>
    <row r="179" ht="30" customHeight="1" s="568"/>
    <row r="180" ht="30" customHeight="1" s="568"/>
    <row r="181" ht="30" customHeight="1" s="568"/>
    <row r="182" ht="30" customHeight="1" s="568"/>
    <row r="183" ht="30" customHeight="1" s="568"/>
    <row r="184" ht="30" customHeight="1" s="568"/>
    <row r="185" ht="30" customHeight="1" s="568"/>
    <row r="186" ht="30" customHeight="1" s="568"/>
    <row r="187" ht="30" customHeight="1" s="568"/>
    <row r="188" ht="30" customHeight="1" s="568"/>
    <row r="189" ht="30" customHeight="1" s="568"/>
    <row r="190" ht="30" customHeight="1" s="568"/>
    <row r="191" ht="30" customHeight="1" s="568"/>
    <row r="192" ht="30" customHeight="1" s="568"/>
    <row r="193" ht="30" customHeight="1" s="568"/>
    <row r="194" ht="30" customHeight="1" s="568"/>
    <row r="195" ht="30" customHeight="1" s="568"/>
    <row r="196" ht="30" customHeight="1" s="568"/>
    <row r="197" ht="30" customHeight="1" s="568"/>
    <row r="198" ht="30" customHeight="1" s="568"/>
    <row r="199" ht="30" customHeight="1" s="568"/>
    <row r="200" ht="30" customHeight="1" s="568"/>
    <row r="201" ht="30" customHeight="1" s="568"/>
    <row r="202" ht="30" customHeight="1" s="568"/>
    <row r="203" ht="30" customHeight="1" s="568"/>
    <row r="204" ht="30" customHeight="1" s="568"/>
    <row r="205" ht="30" customHeight="1" s="568"/>
    <row r="206" ht="30" customHeight="1" s="568"/>
    <row r="207" ht="30" customHeight="1" s="568"/>
    <row r="208" ht="30" customHeight="1" s="568"/>
  </sheetData>
  <mergeCells count="8">
    <mergeCell ref="CT58:CU58"/>
    <mergeCell ref="CT60:CU60"/>
    <mergeCell ref="CT61:CU61"/>
    <mergeCell ref="AN61:AW61"/>
    <mergeCell ref="AN60:AW60"/>
    <mergeCell ref="T3:AB3"/>
    <mergeCell ref="CT59:CU59"/>
    <mergeCell ref="AH3:AM3"/>
  </mergeCells>
  <conditionalFormatting sqref="B85:B90 F85:F90 F93:F98 O85:O90 O93:O98 X85:X90 X93:X98 AG85:AG90 AG93:AG98 AP85:AP90">
    <cfRule type="cellIs" priority="174" operator="equal" dxfId="9">
      <formula>10</formula>
    </cfRule>
    <cfRule type="cellIs" priority="173" operator="equal" dxfId="10">
      <formula>11</formula>
    </cfRule>
    <cfRule type="cellIs" priority="182" operator="equal" dxfId="1">
      <formula>2</formula>
    </cfRule>
    <cfRule type="cellIs" priority="180" operator="equal" dxfId="3">
      <formula>4</formula>
    </cfRule>
    <cfRule type="cellIs" priority="179" operator="equal" dxfId="4">
      <formula>5</formula>
    </cfRule>
    <cfRule type="cellIs" priority="181" operator="equal" dxfId="2">
      <formula>3</formula>
    </cfRule>
    <cfRule type="cellIs" priority="172" operator="equal" dxfId="11">
      <formula>12</formula>
    </cfRule>
    <cfRule type="cellIs" priority="177" operator="equal" dxfId="6">
      <formula>7</formula>
    </cfRule>
    <cfRule type="cellIs" priority="170" operator="equal" dxfId="13">
      <formula>14</formula>
    </cfRule>
    <cfRule type="cellIs" priority="171" operator="equal" dxfId="12">
      <formula>13</formula>
    </cfRule>
    <cfRule type="cellIs" priority="183" operator="equal" dxfId="0">
      <formula>1</formula>
    </cfRule>
    <cfRule type="cellIs" priority="178" operator="equal" dxfId="5">
      <formula>6</formula>
    </cfRule>
    <cfRule type="cellIs" priority="176" operator="equal" dxfId="7">
      <formula>8</formula>
    </cfRule>
    <cfRule type="cellIs" priority="175" operator="equal" dxfId="8">
      <formula>9</formula>
    </cfRule>
  </conditionalFormatting>
  <conditionalFormatting sqref="B93:B98">
    <cfRule type="cellIs" priority="159" operator="equal" dxfId="10">
      <formula>11</formula>
    </cfRule>
    <cfRule type="cellIs" priority="163" operator="equal" dxfId="6">
      <formula>7</formula>
    </cfRule>
    <cfRule type="cellIs" priority="162" operator="equal" dxfId="7">
      <formula>8</formula>
    </cfRule>
    <cfRule type="cellIs" priority="161" operator="equal" dxfId="8">
      <formula>9</formula>
    </cfRule>
    <cfRule type="cellIs" priority="160" operator="equal" dxfId="9">
      <formula>10</formula>
    </cfRule>
    <cfRule type="cellIs" priority="166" operator="equal" dxfId="3">
      <formula>4</formula>
    </cfRule>
    <cfRule type="cellIs" priority="158" operator="equal" dxfId="11">
      <formula>12</formula>
    </cfRule>
    <cfRule type="cellIs" priority="157" operator="equal" dxfId="12">
      <formula>13</formula>
    </cfRule>
    <cfRule type="cellIs" priority="156" operator="equal" dxfId="13">
      <formula>14</formula>
    </cfRule>
    <cfRule type="cellIs" priority="164" operator="equal" dxfId="5">
      <formula>6</formula>
    </cfRule>
    <cfRule type="cellIs" priority="169" operator="equal" dxfId="0">
      <formula>1</formula>
    </cfRule>
    <cfRule type="cellIs" priority="168" operator="equal" dxfId="1">
      <formula>2</formula>
    </cfRule>
    <cfRule type="cellIs" priority="167" operator="equal" dxfId="2">
      <formula>3</formula>
    </cfRule>
    <cfRule type="cellIs" priority="165" operator="equal" dxfId="4">
      <formula>5</formula>
    </cfRule>
  </conditionalFormatting>
  <conditionalFormatting sqref="C8:C57">
    <cfRule type="expression" priority="184" dxfId="124">
      <formula>$CM8&gt;$CN8</formula>
    </cfRule>
  </conditionalFormatting>
  <conditionalFormatting sqref="D8:D57">
    <cfRule type="containsText" priority="139" operator="containsText" dxfId="122" text="PENDIENTE">
      <formula>NOT(ISERROR(SEARCH("PENDIENTE",D8)))</formula>
    </cfRule>
    <cfRule type="containsText" priority="187" operator="containsText" dxfId="123" text="PREMIO">
      <formula>NOT(ISERROR(SEARCH("PREMIO",D8)))</formula>
    </cfRule>
    <cfRule type="containsText" priority="185" operator="containsText" dxfId="121" text="NO ENVIÓ">
      <formula>NOT(ISERROR(SEARCH("NO ENVIÓ",D8)))</formula>
    </cfRule>
    <cfRule type="containsText" priority="186" operator="containsText" dxfId="120" text="MEETING">
      <formula>NOT(ISERROR(SEARCH("MEETING",D8)))</formula>
    </cfRule>
  </conditionalFormatting>
  <conditionalFormatting sqref="E8:E57">
    <cfRule type="expression" priority="140" dxfId="19">
      <formula>AND(H8="F")</formula>
    </cfRule>
    <cfRule type="expression" priority="141" dxfId="18">
      <formula>AND(H8="SF")</formula>
    </cfRule>
  </conditionalFormatting>
  <conditionalFormatting sqref="J8:J57">
    <cfRule type="expression" priority="30" dxfId="18">
      <formula>AND(M8="SF")</formula>
    </cfRule>
    <cfRule type="expression" priority="29" dxfId="19">
      <formula>AND(M8="F")</formula>
    </cfRule>
  </conditionalFormatting>
  <conditionalFormatting sqref="O8:O57">
    <cfRule type="expression" priority="27" dxfId="19">
      <formula>AND(R8="F")</formula>
    </cfRule>
    <cfRule type="expression" priority="28" dxfId="18">
      <formula>AND(R8="SF")</formula>
    </cfRule>
  </conditionalFormatting>
  <conditionalFormatting sqref="T8:T57">
    <cfRule type="expression" priority="25" dxfId="19">
      <formula>AND(W8="F")</formula>
    </cfRule>
    <cfRule type="expression" priority="26" dxfId="18">
      <formula>AND(W8="SF")</formula>
    </cfRule>
  </conditionalFormatting>
  <conditionalFormatting sqref="Y8:Y57">
    <cfRule type="expression" priority="23" dxfId="19">
      <formula>AND(AB8="F")</formula>
    </cfRule>
    <cfRule type="expression" priority="24" dxfId="18">
      <formula>AND(AB8="SF")</formula>
    </cfRule>
  </conditionalFormatting>
  <conditionalFormatting sqref="AD8:AD57">
    <cfRule type="expression" priority="22" dxfId="18">
      <formula>AND(AG8="SF")</formula>
    </cfRule>
    <cfRule type="expression" priority="21" dxfId="19">
      <formula>AND(AG8="F")</formula>
    </cfRule>
  </conditionalFormatting>
  <conditionalFormatting sqref="AI8:AI57">
    <cfRule type="expression" priority="19" dxfId="19">
      <formula>AND(AL8="F")</formula>
    </cfRule>
    <cfRule type="expression" priority="20" dxfId="18">
      <formula>AND(AL8="SF")</formula>
    </cfRule>
  </conditionalFormatting>
  <conditionalFormatting sqref="AN8:AN57">
    <cfRule type="expression" priority="18" dxfId="18">
      <formula>AND(AQ8="SF")</formula>
    </cfRule>
    <cfRule type="expression" priority="17" dxfId="19">
      <formula>AND(AQ8="F")</formula>
    </cfRule>
  </conditionalFormatting>
  <conditionalFormatting sqref="AP93:AP98">
    <cfRule type="cellIs" priority="126" operator="equal" dxfId="6">
      <formula>7</formula>
    </cfRule>
    <cfRule type="cellIs" priority="130" operator="equal" dxfId="2">
      <formula>3</formula>
    </cfRule>
    <cfRule type="cellIs" priority="124" operator="equal" dxfId="8">
      <formula>9</formula>
    </cfRule>
    <cfRule type="cellIs" priority="123" operator="equal" dxfId="9">
      <formula>10</formula>
    </cfRule>
    <cfRule type="cellIs" priority="122" operator="equal" dxfId="10">
      <formula>11</formula>
    </cfRule>
    <cfRule type="cellIs" priority="121" operator="equal" dxfId="11">
      <formula>12</formula>
    </cfRule>
    <cfRule type="cellIs" priority="120" operator="equal" dxfId="12">
      <formula>13</formula>
    </cfRule>
    <cfRule type="cellIs" priority="119" operator="equal" dxfId="13">
      <formula>14</formula>
    </cfRule>
    <cfRule type="cellIs" priority="125" operator="equal" dxfId="7">
      <formula>8</formula>
    </cfRule>
    <cfRule type="cellIs" priority="132" operator="equal" dxfId="0">
      <formula>1</formula>
    </cfRule>
    <cfRule type="cellIs" priority="131" operator="equal" dxfId="1">
      <formula>2</formula>
    </cfRule>
    <cfRule type="cellIs" priority="129" operator="equal" dxfId="3">
      <formula>4</formula>
    </cfRule>
    <cfRule type="cellIs" priority="128" operator="equal" dxfId="4">
      <formula>5</formula>
    </cfRule>
    <cfRule type="cellIs" priority="127" operator="equal" dxfId="5">
      <formula>6</formula>
    </cfRule>
  </conditionalFormatting>
  <conditionalFormatting sqref="AS8:AS57">
    <cfRule type="expression" priority="16" dxfId="18">
      <formula>AND(AV8="SF")</formula>
    </cfRule>
    <cfRule type="expression" priority="15" dxfId="19">
      <formula>AND(AV8="F")</formula>
    </cfRule>
  </conditionalFormatting>
  <conditionalFormatting sqref="AX8:AX57">
    <cfRule type="expression" priority="14" dxfId="18">
      <formula>AND(BA8="SF")</formula>
    </cfRule>
    <cfRule type="expression" priority="13" dxfId="19">
      <formula>AND(BA8="F")</formula>
    </cfRule>
  </conditionalFormatting>
  <conditionalFormatting sqref="AY85:AY90">
    <cfRule type="cellIs" priority="142" operator="equal" dxfId="13">
      <formula>14</formula>
    </cfRule>
    <cfRule type="cellIs" priority="146" operator="equal" dxfId="9">
      <formula>10</formula>
    </cfRule>
    <cfRule type="cellIs" priority="147" operator="equal" dxfId="8">
      <formula>9</formula>
    </cfRule>
    <cfRule type="cellIs" priority="148" operator="equal" dxfId="7">
      <formula>8</formula>
    </cfRule>
    <cfRule type="cellIs" priority="149" operator="equal" dxfId="6">
      <formula>7</formula>
    </cfRule>
    <cfRule type="cellIs" priority="150" operator="equal" dxfId="5">
      <formula>6</formula>
    </cfRule>
    <cfRule type="cellIs" priority="151" operator="equal" dxfId="4">
      <formula>5</formula>
    </cfRule>
    <cfRule type="cellIs" priority="154" operator="equal" dxfId="1">
      <formula>2</formula>
    </cfRule>
    <cfRule type="cellIs" priority="152" operator="equal" dxfId="3">
      <formula>4</formula>
    </cfRule>
    <cfRule type="cellIs" priority="153" operator="equal" dxfId="2">
      <formula>3</formula>
    </cfRule>
    <cfRule type="cellIs" priority="143" operator="equal" dxfId="12">
      <formula>13</formula>
    </cfRule>
    <cfRule type="cellIs" priority="144" operator="equal" dxfId="11">
      <formula>12</formula>
    </cfRule>
    <cfRule type="cellIs" priority="145" operator="equal" dxfId="10">
      <formula>11</formula>
    </cfRule>
    <cfRule type="cellIs" priority="155" operator="equal" dxfId="0">
      <formula>1</formula>
    </cfRule>
  </conditionalFormatting>
  <conditionalFormatting sqref="AY93:AY98">
    <cfRule type="cellIs" priority="114" operator="equal" dxfId="4">
      <formula>5</formula>
    </cfRule>
    <cfRule type="cellIs" priority="115" operator="equal" dxfId="3">
      <formula>4</formula>
    </cfRule>
    <cfRule type="cellIs" priority="116" operator="equal" dxfId="2">
      <formula>3</formula>
    </cfRule>
    <cfRule type="cellIs" priority="117" operator="equal" dxfId="1">
      <formula>2</formula>
    </cfRule>
    <cfRule type="cellIs" priority="118" operator="equal" dxfId="0">
      <formula>1</formula>
    </cfRule>
    <cfRule type="cellIs" priority="105" operator="equal" dxfId="13">
      <formula>14</formula>
    </cfRule>
    <cfRule type="cellIs" priority="106" operator="equal" dxfId="12">
      <formula>13</formula>
    </cfRule>
    <cfRule type="cellIs" priority="107" operator="equal" dxfId="11">
      <formula>12</formula>
    </cfRule>
    <cfRule type="cellIs" priority="108" operator="equal" dxfId="10">
      <formula>11</formula>
    </cfRule>
    <cfRule type="cellIs" priority="109" operator="equal" dxfId="9">
      <formula>10</formula>
    </cfRule>
    <cfRule type="cellIs" priority="110" operator="equal" dxfId="8">
      <formula>9</formula>
    </cfRule>
    <cfRule type="cellIs" priority="111" operator="equal" dxfId="7">
      <formula>8</formula>
    </cfRule>
    <cfRule type="cellIs" priority="112" operator="equal" dxfId="6">
      <formula>7</formula>
    </cfRule>
    <cfRule type="cellIs" priority="113" operator="equal" dxfId="5">
      <formula>6</formula>
    </cfRule>
  </conditionalFormatting>
  <conditionalFormatting sqref="BC8:BC57">
    <cfRule type="expression" priority="12" dxfId="18">
      <formula>AND(BF8="SF")</formula>
    </cfRule>
    <cfRule type="expression" priority="11" dxfId="19">
      <formula>AND(BF8="F")</formula>
    </cfRule>
  </conditionalFormatting>
  <conditionalFormatting sqref="BH8:BH57">
    <cfRule type="expression" priority="10" dxfId="18">
      <formula>AND(BK8="SF")</formula>
    </cfRule>
    <cfRule type="expression" priority="9" dxfId="19">
      <formula>AND(BK8="F")</formula>
    </cfRule>
  </conditionalFormatting>
  <conditionalFormatting sqref="BH85:BH90">
    <cfRule type="cellIs" priority="100" operator="equal" dxfId="4">
      <formula>5</formula>
    </cfRule>
    <cfRule type="cellIs" priority="103" operator="equal" dxfId="1">
      <formula>2</formula>
    </cfRule>
    <cfRule type="cellIs" priority="92" operator="equal" dxfId="12">
      <formula>13</formula>
    </cfRule>
    <cfRule type="cellIs" priority="102" operator="equal" dxfId="2">
      <formula>3</formula>
    </cfRule>
    <cfRule type="cellIs" priority="101" operator="equal" dxfId="3">
      <formula>4</formula>
    </cfRule>
    <cfRule type="cellIs" priority="98" operator="equal" dxfId="6">
      <formula>7</formula>
    </cfRule>
    <cfRule type="cellIs" priority="93" operator="equal" dxfId="11">
      <formula>12</formula>
    </cfRule>
    <cfRule type="cellIs" priority="94" operator="equal" dxfId="10">
      <formula>11</formula>
    </cfRule>
    <cfRule type="cellIs" priority="95" operator="equal" dxfId="9">
      <formula>10</formula>
    </cfRule>
    <cfRule type="cellIs" priority="96" operator="equal" dxfId="8">
      <formula>9</formula>
    </cfRule>
    <cfRule type="cellIs" priority="97" operator="equal" dxfId="7">
      <formula>8</formula>
    </cfRule>
    <cfRule type="cellIs" priority="99" operator="equal" dxfId="5">
      <formula>6</formula>
    </cfRule>
    <cfRule type="cellIs" priority="104" operator="equal" dxfId="0">
      <formula>1</formula>
    </cfRule>
    <cfRule type="cellIs" priority="91" operator="equal" dxfId="13">
      <formula>14</formula>
    </cfRule>
  </conditionalFormatting>
  <conditionalFormatting sqref="BH93:BH98">
    <cfRule type="cellIs" priority="78" operator="equal" dxfId="12">
      <formula>13</formula>
    </cfRule>
    <cfRule type="cellIs" priority="77" operator="equal" dxfId="13">
      <formula>14</formula>
    </cfRule>
    <cfRule type="cellIs" priority="81" operator="equal" dxfId="9">
      <formula>10</formula>
    </cfRule>
    <cfRule type="cellIs" priority="79" operator="equal" dxfId="11">
      <formula>12</formula>
    </cfRule>
    <cfRule type="cellIs" priority="80" operator="equal" dxfId="10">
      <formula>11</formula>
    </cfRule>
    <cfRule type="cellIs" priority="90" operator="equal" dxfId="0">
      <formula>1</formula>
    </cfRule>
    <cfRule type="cellIs" priority="89" operator="equal" dxfId="1">
      <formula>2</formula>
    </cfRule>
    <cfRule type="cellIs" priority="88" operator="equal" dxfId="2">
      <formula>3</formula>
    </cfRule>
    <cfRule type="cellIs" priority="87" operator="equal" dxfId="3">
      <formula>4</formula>
    </cfRule>
    <cfRule type="cellIs" priority="86" operator="equal" dxfId="4">
      <formula>5</formula>
    </cfRule>
    <cfRule type="cellIs" priority="85" operator="equal" dxfId="5">
      <formula>6</formula>
    </cfRule>
    <cfRule type="cellIs" priority="84" operator="equal" dxfId="6">
      <formula>7</formula>
    </cfRule>
    <cfRule type="cellIs" priority="83" operator="equal" dxfId="7">
      <formula>8</formula>
    </cfRule>
    <cfRule type="cellIs" priority="82" operator="equal" dxfId="8">
      <formula>9</formula>
    </cfRule>
  </conditionalFormatting>
  <conditionalFormatting sqref="BM8:BM57">
    <cfRule type="expression" priority="7" dxfId="19">
      <formula>AND(BP8="F")</formula>
    </cfRule>
    <cfRule type="expression" priority="8" dxfId="18">
      <formula>AND(BP8="SF")</formula>
    </cfRule>
  </conditionalFormatting>
  <conditionalFormatting sqref="BR8:BR57">
    <cfRule type="expression" priority="5" dxfId="19">
      <formula>AND(BU8="F")</formula>
    </cfRule>
    <cfRule type="expression" priority="6" dxfId="18">
      <formula>AND(BU8="SF")</formula>
    </cfRule>
  </conditionalFormatting>
  <conditionalFormatting sqref="BW8:BW57">
    <cfRule type="expression" priority="4" dxfId="18">
      <formula>AND(BZ8="SF")</formula>
    </cfRule>
    <cfRule type="expression" priority="3" dxfId="19">
      <formula>AND(BZ8="F")</formula>
    </cfRule>
  </conditionalFormatting>
  <conditionalFormatting sqref="CB8:CB57">
    <cfRule type="expression" priority="1" dxfId="19">
      <formula>AND(CE8="F")</formula>
    </cfRule>
    <cfRule type="expression" priority="2" dxfId="18">
      <formula>AND(CE8="SF")</formula>
    </cfRule>
  </conditionalFormatting>
  <pageMargins left="0.25" right="0.25" top="0.75" bottom="0.75" header="0.3" footer="0.3"/>
  <pageSetup orientation="landscape" paperSize="3" scale="27" fitToHeight="0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T191"/>
  <sheetViews>
    <sheetView showGridLines="0" topLeftCell="A142" zoomScale="97" zoomScaleNormal="97" zoomScaleSheetLayoutView="96" workbookViewId="0">
      <selection activeCell="C156" sqref="C156"/>
    </sheetView>
  </sheetViews>
  <sheetFormatPr baseColWidth="10" defaultRowHeight="15" outlineLevelRow="2"/>
  <cols>
    <col width="2.5703125" customWidth="1" style="568" min="1" max="1"/>
    <col width="5.140625" customWidth="1" style="10" min="2" max="2"/>
    <col width="10.7109375" customWidth="1" style="568" min="3" max="3"/>
    <col width="39.7109375" customWidth="1" style="568" min="4" max="4"/>
    <col width="7.7109375" customWidth="1" style="568" min="5" max="6"/>
    <col width="11.7109375" customWidth="1" style="568" min="7" max="7"/>
    <col width="6.7109375" customWidth="1" style="568" min="8" max="9"/>
    <col width="11.7109375" customWidth="1" style="568" min="10" max="10"/>
    <col width="7.7109375" customWidth="1" style="568" min="11" max="12"/>
    <col width="12.7109375" customWidth="1" style="568" min="13" max="13"/>
    <col width="7.7109375" customWidth="1" style="568" min="14" max="15"/>
    <col width="12.7109375" customWidth="1" style="568" min="16" max="16"/>
    <col width="15.7109375" customWidth="1" style="568" min="17" max="17"/>
    <col width="2.85546875" customWidth="1" style="568" min="18" max="18"/>
    <col width="13" bestFit="1" customWidth="1" style="568" min="41" max="41"/>
  </cols>
  <sheetData>
    <row r="1" ht="3.75" customHeight="1" s="568">
      <c r="R1" s="3" t="n"/>
    </row>
    <row r="2" ht="56.25" customFormat="1" customHeight="1" s="283">
      <c r="A2" s="282" t="n"/>
      <c r="B2" s="582" t="inlineStr">
        <is>
          <t>CAMPEONATO DE MARCAS                            RANKING GENERAL</t>
        </is>
      </c>
      <c r="C2" s="557" t="n"/>
      <c r="D2" s="557" t="n"/>
      <c r="E2" s="557" t="n"/>
      <c r="F2" s="557" t="n"/>
      <c r="G2" s="557" t="n"/>
      <c r="H2" s="557" t="n"/>
      <c r="I2" s="557" t="n"/>
      <c r="J2" s="557" t="n"/>
      <c r="K2" s="557" t="n"/>
      <c r="L2" s="557" t="n"/>
      <c r="M2" s="557" t="n"/>
      <c r="N2" s="557" t="n"/>
      <c r="O2" s="557" t="n"/>
      <c r="P2" s="557" t="n"/>
      <c r="Q2" s="581" t="n"/>
    </row>
    <row r="3" ht="39" customHeight="1" s="568">
      <c r="A3" s="1" t="n"/>
      <c r="B3" s="349">
        <f>CONTROL!D2</f>
        <v/>
      </c>
      <c r="C3" s="284" t="n"/>
      <c r="D3" s="284" t="n"/>
      <c r="E3" s="284" t="n"/>
      <c r="F3" s="284" t="n"/>
      <c r="G3" s="284" t="n"/>
      <c r="H3" s="284" t="n"/>
      <c r="I3" s="284" t="n"/>
      <c r="J3" s="284" t="n"/>
      <c r="K3" s="284" t="n"/>
      <c r="L3" s="284" t="n"/>
      <c r="M3" s="284" t="n"/>
      <c r="N3" s="580">
        <f>'SEM 2'!D3</f>
        <v/>
      </c>
      <c r="O3" s="557" t="n"/>
      <c r="P3" s="557" t="n"/>
      <c r="Q3" s="581" t="n"/>
      <c r="R3" s="3" t="n"/>
    </row>
    <row r="4" ht="20.25" customFormat="1" customHeight="1" s="576">
      <c r="A4" s="285" t="n"/>
      <c r="B4" s="286" t="n">
        <v>0</v>
      </c>
      <c r="C4" s="287" t="inlineStr">
        <is>
          <t>COD</t>
        </is>
      </c>
      <c r="D4" s="288" t="inlineStr">
        <is>
          <t>NOMBRE PARTICIPANTE</t>
        </is>
      </c>
      <c r="E4" s="289" t="inlineStr">
        <is>
          <t>UNA MARCA</t>
        </is>
      </c>
      <c r="F4" s="290" t="n"/>
      <c r="G4" s="290" t="n"/>
      <c r="H4" s="289" t="inlineStr">
        <is>
          <t>DOS MARCAS</t>
        </is>
      </c>
      <c r="I4" s="290" t="n"/>
      <c r="J4" s="290" t="n"/>
      <c r="K4" s="289" t="inlineStr">
        <is>
          <t>TRES MARCAS</t>
        </is>
      </c>
      <c r="L4" s="289" t="n"/>
      <c r="M4" s="289" t="n"/>
      <c r="N4" s="291" t="inlineStr">
        <is>
          <t>FIJAS</t>
        </is>
      </c>
      <c r="O4" s="292" t="n"/>
      <c r="P4" s="293" t="n"/>
      <c r="Q4" s="294" t="inlineStr">
        <is>
          <t>PUNTOS</t>
        </is>
      </c>
      <c r="R4" s="3" t="n"/>
    </row>
    <row r="5" ht="23.1" customFormat="1" customHeight="1" s="393">
      <c r="A5" s="295" t="n"/>
      <c r="B5" s="296" t="n">
        <v>1</v>
      </c>
      <c r="C5" s="611">
        <f t="array" ref="C5:C54">_xlfn.SORTBY(SEMANA2[COD],SEMANA2[Columna33],-1)</f>
        <v/>
      </c>
      <c r="D5" s="469">
        <f>_xlfn.XLOOKUP(C5,CODIGOS_Y_PAGOS[CODIGO],CODIGOS_Y_PAGOS[NOMBRE PARTICIPANTE],"")</f>
        <v/>
      </c>
      <c r="E5" s="298">
        <f>IF(D5="","",_xlfn.XLOOKUP($C5,BASE01[COD],BASE01[Columna14],"")+_xlfn.XLOOKUP($C5,SEMANA2[COD],SEMANA2[Columna14],""))</f>
        <v/>
      </c>
      <c r="F5" s="298">
        <f>IF(D5="","",_xlfn.XLOOKUP($C5,BASE01[COD],BASE01[Columna19],"")+_xlfn.XLOOKUP($C5,SEMANA2[COD],SEMANA2[Columna19],""))</f>
        <v/>
      </c>
      <c r="G5" s="299">
        <f>IFERROR(+F5/E5,"")</f>
        <v/>
      </c>
      <c r="H5" s="300">
        <f>IF(D5="","",_xlfn.XLOOKUP($C5,BASE01[COD],BASE01[Columna29],"")+_xlfn.XLOOKUP($C5,SEMANA2[COD],SEMANA2[Columna29],""))</f>
        <v/>
      </c>
      <c r="I5" s="300">
        <f>IF(D5="","",_xlfn.XLOOKUP($C5,BASE01[COD],BASE01[Columna30],"")+_xlfn.XLOOKUP($C5,SEMANA2[COD],SEMANA2[Columna30],""))</f>
        <v/>
      </c>
      <c r="J5" s="301">
        <f>IFERROR(+I5/H5,"")</f>
        <v/>
      </c>
      <c r="K5" s="302">
        <f>IF(D5="","",_xlfn.XLOOKUP($C5,BASE01[COD],BASE01[Columna32],"")+_xlfn.XLOOKUP($C5,SEMANA2[COD],SEMANA2[Columna32],""))</f>
        <v/>
      </c>
      <c r="L5" s="302">
        <f>IF(D5="","",_xlfn.XLOOKUP($C5,BASE01[COD],BASE01[Columna34],"")+_xlfn.XLOOKUP($C5,SEMANA2[COD],SEMANA2[Columna34],""))</f>
        <v/>
      </c>
      <c r="M5" s="303">
        <f>IFERROR(+L5/K5,"")</f>
        <v/>
      </c>
      <c r="N5" s="304">
        <f>IF(D5="","",_xlfn.XLOOKUP($C5,BASE01[COD],BASE01[Columna36],"")+_xlfn.XLOOKUP($C5,SEMANA2[COD],SEMANA2[Columna36],""))</f>
        <v/>
      </c>
      <c r="O5" s="304">
        <f>IF(D5="","",_xlfn.XLOOKUP($C5,BASE01[COD],BASE01[Columna37],"")+_xlfn.XLOOKUP($C5,SEMANA2[COD],SEMANA2[Columna37],""))</f>
        <v/>
      </c>
      <c r="P5" s="305">
        <f>IFERROR(+O5/N5,0)</f>
        <v/>
      </c>
      <c r="Q5" s="306">
        <f>_xlfn.XLOOKUP(C5,SEMANA2[COD],SEMANA2[Columna33],"")</f>
        <v/>
      </c>
      <c r="R5" s="3" t="n"/>
      <c r="U5" s="393">
        <f t="array" ref="U5:U54">_xlfn.SORTBY(C5:C54,Q5:Q54,-1)</f>
        <v/>
      </c>
      <c r="V5" s="393">
        <f>U5</f>
        <v/>
      </c>
    </row>
    <row r="6" ht="23.1" customFormat="1" customHeight="1" s="393">
      <c r="A6" s="295" t="n"/>
      <c r="B6" s="296">
        <f>+B5+1</f>
        <v/>
      </c>
      <c r="C6" s="611" t="inlineStr">
        <is>
          <t>COD 21</t>
        </is>
      </c>
      <c r="D6" s="469">
        <f>_xlfn.XLOOKUP(C6,CODIGOS_Y_PAGOS[CODIGO],CODIGOS_Y_PAGOS[NOMBRE PARTICIPANTE],"")</f>
        <v/>
      </c>
      <c r="E6" s="298">
        <f>IF(D6="","",_xlfn.XLOOKUP($C6,BASE01[COD],BASE01[Columna14],"")+_xlfn.XLOOKUP($C6,SEMANA2[COD],SEMANA2[Columna14],""))</f>
        <v/>
      </c>
      <c r="F6" s="298">
        <f>IF(D6="","",_xlfn.XLOOKUP($C6,BASE01[COD],BASE01[Columna19],"")+_xlfn.XLOOKUP($C6,SEMANA2[COD],SEMANA2[Columna19],""))</f>
        <v/>
      </c>
      <c r="G6" s="299">
        <f>IFERROR(+F6/E6,"")</f>
        <v/>
      </c>
      <c r="H6" s="300">
        <f>IF(D6="","",_xlfn.XLOOKUP($C6,BASE01[COD],BASE01[Columna29],"")+_xlfn.XLOOKUP($C6,SEMANA2[COD],SEMANA2[Columna29],""))</f>
        <v/>
      </c>
      <c r="I6" s="300">
        <f>IF(D6="","",_xlfn.XLOOKUP($C6,BASE01[COD],BASE01[Columna30],"")+_xlfn.XLOOKUP($C6,SEMANA2[COD],SEMANA2[Columna30],""))</f>
        <v/>
      </c>
      <c r="J6" s="301">
        <f>IFERROR(+I6/H6,"")</f>
        <v/>
      </c>
      <c r="K6" s="302">
        <f>IF(D6="","",_xlfn.XLOOKUP($C6,BASE01[COD],BASE01[Columna32],"")+_xlfn.XLOOKUP($C6,SEMANA2[COD],SEMANA2[Columna32],""))</f>
        <v/>
      </c>
      <c r="L6" s="302">
        <f>IF(D6="","",_xlfn.XLOOKUP($C6,BASE01[COD],BASE01[Columna34],"")+_xlfn.XLOOKUP($C6,SEMANA2[COD],SEMANA2[Columna34],""))</f>
        <v/>
      </c>
      <c r="M6" s="303">
        <f>IFERROR(+L6/K6,"")</f>
        <v/>
      </c>
      <c r="N6" s="304">
        <f>IF(D6="","",_xlfn.XLOOKUP($C6,BASE01[COD],BASE01[Columna36],"")+_xlfn.XLOOKUP($C6,SEMANA2[COD],SEMANA2[Columna36],""))</f>
        <v/>
      </c>
      <c r="O6" s="304">
        <f>IF(D6="","",_xlfn.XLOOKUP($C6,BASE01[COD],BASE01[Columna37],"")+_xlfn.XLOOKUP($C6,SEMANA2[COD],SEMANA2[Columna37],""))</f>
        <v/>
      </c>
      <c r="P6" s="305">
        <f>IFERROR(+O6/N6,0)</f>
        <v/>
      </c>
      <c r="Q6" s="306">
        <f>_xlfn.XLOOKUP(C6,SEMANA2[COD],SEMANA2[Columna33],"")</f>
        <v/>
      </c>
      <c r="R6" s="3" t="n"/>
      <c r="U6" s="393" t="inlineStr">
        <is>
          <t>COD 21</t>
        </is>
      </c>
      <c r="V6" s="393">
        <f>U6</f>
        <v/>
      </c>
    </row>
    <row r="7" ht="23.1" customFormat="1" customHeight="1" s="393">
      <c r="A7" s="295" t="n"/>
      <c r="B7" s="296">
        <f>+B6+1</f>
        <v/>
      </c>
      <c r="C7" s="611" t="inlineStr">
        <is>
          <t>COD 10</t>
        </is>
      </c>
      <c r="D7" s="469">
        <f>_xlfn.XLOOKUP(C7,CODIGOS_Y_PAGOS[CODIGO],CODIGOS_Y_PAGOS[NOMBRE PARTICIPANTE],"")</f>
        <v/>
      </c>
      <c r="E7" s="298">
        <f>IF(D7="","",_xlfn.XLOOKUP($C7,BASE01[COD],BASE01[Columna14],"")+_xlfn.XLOOKUP($C7,SEMANA2[COD],SEMANA2[Columna14],""))</f>
        <v/>
      </c>
      <c r="F7" s="298">
        <f>IF(D7="","",_xlfn.XLOOKUP($C7,BASE01[COD],BASE01[Columna19],"")+_xlfn.XLOOKUP($C7,SEMANA2[COD],SEMANA2[Columna19],""))</f>
        <v/>
      </c>
      <c r="G7" s="299">
        <f>IFERROR(+F7/E7,"")</f>
        <v/>
      </c>
      <c r="H7" s="300">
        <f>IF(D7="","",_xlfn.XLOOKUP($C7,BASE01[COD],BASE01[Columna29],"")+_xlfn.XLOOKUP($C7,SEMANA2[COD],SEMANA2[Columna29],""))</f>
        <v/>
      </c>
      <c r="I7" s="300">
        <f>IF(D7="","",_xlfn.XLOOKUP($C7,BASE01[COD],BASE01[Columna30],"")+_xlfn.XLOOKUP($C7,SEMANA2[COD],SEMANA2[Columna30],""))</f>
        <v/>
      </c>
      <c r="J7" s="301">
        <f>IFERROR(+I7/H7,"")</f>
        <v/>
      </c>
      <c r="K7" s="302">
        <f>IF(D7="","",_xlfn.XLOOKUP($C7,BASE01[COD],BASE01[Columna32],"")+_xlfn.XLOOKUP($C7,SEMANA2[COD],SEMANA2[Columna32],""))</f>
        <v/>
      </c>
      <c r="L7" s="302">
        <f>IF(D7="","",_xlfn.XLOOKUP($C7,BASE01[COD],BASE01[Columna34],"")+_xlfn.XLOOKUP($C7,SEMANA2[COD],SEMANA2[Columna34],""))</f>
        <v/>
      </c>
      <c r="M7" s="303">
        <f>IFERROR(+L7/K7,"")</f>
        <v/>
      </c>
      <c r="N7" s="304">
        <f>IF(D7="","",_xlfn.XLOOKUP($C7,BASE01[COD],BASE01[Columna36],"")+_xlfn.XLOOKUP($C7,SEMANA2[COD],SEMANA2[Columna36],""))</f>
        <v/>
      </c>
      <c r="O7" s="304">
        <f>IF(D7="","",_xlfn.XLOOKUP($C7,BASE01[COD],BASE01[Columna37],"")+_xlfn.XLOOKUP($C7,SEMANA2[COD],SEMANA2[Columna37],""))</f>
        <v/>
      </c>
      <c r="P7" s="305">
        <f>IFERROR(+O7/N7,0)</f>
        <v/>
      </c>
      <c r="Q7" s="306">
        <f>_xlfn.XLOOKUP(C7,SEMANA2[COD],SEMANA2[Columna33],"")</f>
        <v/>
      </c>
      <c r="R7" s="3" t="n"/>
      <c r="U7" s="393" t="inlineStr">
        <is>
          <t>COD 10</t>
        </is>
      </c>
      <c r="V7" s="393">
        <f>U7</f>
        <v/>
      </c>
    </row>
    <row r="8" ht="23.1" customFormat="1" customHeight="1" s="393">
      <c r="A8" s="295" t="n"/>
      <c r="B8" s="296">
        <f>+B7+1</f>
        <v/>
      </c>
      <c r="C8" s="611" t="inlineStr">
        <is>
          <t>COD 25</t>
        </is>
      </c>
      <c r="D8" s="469">
        <f>_xlfn.XLOOKUP(C8,CODIGOS_Y_PAGOS[CODIGO],CODIGOS_Y_PAGOS[NOMBRE PARTICIPANTE],"")</f>
        <v/>
      </c>
      <c r="E8" s="298">
        <f>IF(D8="","",_xlfn.XLOOKUP($C8,BASE01[COD],BASE01[Columna14],"")+_xlfn.XLOOKUP($C8,SEMANA2[COD],SEMANA2[Columna14],""))</f>
        <v/>
      </c>
      <c r="F8" s="298">
        <f>IF(D8="","",_xlfn.XLOOKUP($C8,BASE01[COD],BASE01[Columna19],"")+_xlfn.XLOOKUP($C8,SEMANA2[COD],SEMANA2[Columna19],""))</f>
        <v/>
      </c>
      <c r="G8" s="299">
        <f>IFERROR(+F8/E8,"")</f>
        <v/>
      </c>
      <c r="H8" s="300">
        <f>IF(D8="","",_xlfn.XLOOKUP($C8,BASE01[COD],BASE01[Columna29],"")+_xlfn.XLOOKUP($C8,SEMANA2[COD],SEMANA2[Columna29],""))</f>
        <v/>
      </c>
      <c r="I8" s="300">
        <f>IF(D8="","",_xlfn.XLOOKUP($C8,BASE01[COD],BASE01[Columna30],"")+_xlfn.XLOOKUP($C8,SEMANA2[COD],SEMANA2[Columna30],""))</f>
        <v/>
      </c>
      <c r="J8" s="301">
        <f>IFERROR(+I8/H8,"")</f>
        <v/>
      </c>
      <c r="K8" s="302">
        <f>IF(D8="","",_xlfn.XLOOKUP($C8,BASE01[COD],BASE01[Columna32],"")+_xlfn.XLOOKUP($C8,SEMANA2[COD],SEMANA2[Columna32],""))</f>
        <v/>
      </c>
      <c r="L8" s="302">
        <f>IF(D8="","",_xlfn.XLOOKUP($C8,BASE01[COD],BASE01[Columna34],"")+_xlfn.XLOOKUP($C8,SEMANA2[COD],SEMANA2[Columna34],""))</f>
        <v/>
      </c>
      <c r="M8" s="303">
        <f>IFERROR(+L8/K8,"")</f>
        <v/>
      </c>
      <c r="N8" s="304">
        <f>IF(D8="","",_xlfn.XLOOKUP($C8,BASE01[COD],BASE01[Columna36],"")+_xlfn.XLOOKUP($C8,SEMANA2[COD],SEMANA2[Columna36],""))</f>
        <v/>
      </c>
      <c r="O8" s="304">
        <f>IF(D8="","",_xlfn.XLOOKUP($C8,BASE01[COD],BASE01[Columna37],"")+_xlfn.XLOOKUP($C8,SEMANA2[COD],SEMANA2[Columna37],""))</f>
        <v/>
      </c>
      <c r="P8" s="305">
        <f>IFERROR(+O8/N8,0)</f>
        <v/>
      </c>
      <c r="Q8" s="306">
        <f>_xlfn.XLOOKUP(C8,SEMANA2[COD],SEMANA2[Columna33],"")</f>
        <v/>
      </c>
      <c r="R8" s="3" t="n"/>
      <c r="U8" s="393" t="inlineStr">
        <is>
          <t>COD 25</t>
        </is>
      </c>
      <c r="V8" s="393">
        <f>U8</f>
        <v/>
      </c>
    </row>
    <row r="9" ht="23.1" customFormat="1" customHeight="1" s="393">
      <c r="A9" s="295" t="n"/>
      <c r="B9" s="296">
        <f>+B8+1</f>
        <v/>
      </c>
      <c r="C9" s="611" t="inlineStr">
        <is>
          <t>COD 05</t>
        </is>
      </c>
      <c r="D9" s="469">
        <f>_xlfn.XLOOKUP(C9,CODIGOS_Y_PAGOS[CODIGO],CODIGOS_Y_PAGOS[NOMBRE PARTICIPANTE],"")</f>
        <v/>
      </c>
      <c r="E9" s="298">
        <f>IF(D9="","",_xlfn.XLOOKUP($C9,BASE01[COD],BASE01[Columna14],"")+_xlfn.XLOOKUP($C9,SEMANA2[COD],SEMANA2[Columna14],""))</f>
        <v/>
      </c>
      <c r="F9" s="298">
        <f>IF(D9="","",_xlfn.XLOOKUP($C9,BASE01[COD],BASE01[Columna19],"")+_xlfn.XLOOKUP($C9,SEMANA2[COD],SEMANA2[Columna19],""))</f>
        <v/>
      </c>
      <c r="G9" s="299">
        <f>IFERROR(+F9/E9,"")</f>
        <v/>
      </c>
      <c r="H9" s="300">
        <f>IF(D9="","",_xlfn.XLOOKUP($C9,BASE01[COD],BASE01[Columna29],"")+_xlfn.XLOOKUP($C9,SEMANA2[COD],SEMANA2[Columna29],""))</f>
        <v/>
      </c>
      <c r="I9" s="300">
        <f>IF(D9="","",_xlfn.XLOOKUP($C9,BASE01[COD],BASE01[Columna30],"")+_xlfn.XLOOKUP($C9,SEMANA2[COD],SEMANA2[Columna30],""))</f>
        <v/>
      </c>
      <c r="J9" s="301">
        <f>IFERROR(+I9/H9,"")</f>
        <v/>
      </c>
      <c r="K9" s="302">
        <f>IF(D9="","",_xlfn.XLOOKUP($C9,BASE01[COD],BASE01[Columna32],"")+_xlfn.XLOOKUP($C9,SEMANA2[COD],SEMANA2[Columna32],""))</f>
        <v/>
      </c>
      <c r="L9" s="302">
        <f>IF(D9="","",_xlfn.XLOOKUP($C9,BASE01[COD],BASE01[Columna34],"")+_xlfn.XLOOKUP($C9,SEMANA2[COD],SEMANA2[Columna34],""))</f>
        <v/>
      </c>
      <c r="M9" s="303">
        <f>IFERROR(+L9/K9,"")</f>
        <v/>
      </c>
      <c r="N9" s="304">
        <f>IF(D9="","",_xlfn.XLOOKUP($C9,BASE01[COD],BASE01[Columna36],"")+_xlfn.XLOOKUP($C9,SEMANA2[COD],SEMANA2[Columna36],""))</f>
        <v/>
      </c>
      <c r="O9" s="304">
        <f>IF(D9="","",_xlfn.XLOOKUP($C9,BASE01[COD],BASE01[Columna37],"")+_xlfn.XLOOKUP($C9,SEMANA2[COD],SEMANA2[Columna37],""))</f>
        <v/>
      </c>
      <c r="P9" s="305">
        <f>IFERROR(+O9/N9,0)</f>
        <v/>
      </c>
      <c r="Q9" s="306">
        <f>_xlfn.XLOOKUP(C9,SEMANA2[COD],SEMANA2[Columna33],"")</f>
        <v/>
      </c>
      <c r="R9" s="3" t="n"/>
      <c r="U9" s="393" t="inlineStr">
        <is>
          <t>COD 05</t>
        </is>
      </c>
      <c r="V9" s="393">
        <f>U9</f>
        <v/>
      </c>
    </row>
    <row r="10" ht="23.1" customFormat="1" customHeight="1" s="393">
      <c r="A10" s="295" t="n"/>
      <c r="B10" s="296">
        <f>+B9+1</f>
        <v/>
      </c>
      <c r="C10" s="611" t="inlineStr">
        <is>
          <t>COD 09</t>
        </is>
      </c>
      <c r="D10" s="469">
        <f>_xlfn.XLOOKUP(C10,CODIGOS_Y_PAGOS[CODIGO],CODIGOS_Y_PAGOS[NOMBRE PARTICIPANTE],"")</f>
        <v/>
      </c>
      <c r="E10" s="298">
        <f>IF(D10="","",_xlfn.XLOOKUP($C10,BASE01[COD],BASE01[Columna14],"")+_xlfn.XLOOKUP($C10,SEMANA2[COD],SEMANA2[Columna14],""))</f>
        <v/>
      </c>
      <c r="F10" s="298">
        <f>IF(D10="","",_xlfn.XLOOKUP($C10,BASE01[COD],BASE01[Columna19],"")+_xlfn.XLOOKUP($C10,SEMANA2[COD],SEMANA2[Columna19],""))</f>
        <v/>
      </c>
      <c r="G10" s="299">
        <f>IFERROR(+F10/E10,"")</f>
        <v/>
      </c>
      <c r="H10" s="300">
        <f>IF(D10="","",_xlfn.XLOOKUP($C10,BASE01[COD],BASE01[Columna29],"")+_xlfn.XLOOKUP($C10,SEMANA2[COD],SEMANA2[Columna29],""))</f>
        <v/>
      </c>
      <c r="I10" s="300">
        <f>IF(D10="","",_xlfn.XLOOKUP($C10,BASE01[COD],BASE01[Columna30],"")+_xlfn.XLOOKUP($C10,SEMANA2[COD],SEMANA2[Columna30],""))</f>
        <v/>
      </c>
      <c r="J10" s="301">
        <f>IFERROR(+I10/H10,"")</f>
        <v/>
      </c>
      <c r="K10" s="302">
        <f>IF(D10="","",_xlfn.XLOOKUP($C10,BASE01[COD],BASE01[Columna32],"")+_xlfn.XLOOKUP($C10,SEMANA2[COD],SEMANA2[Columna32],""))</f>
        <v/>
      </c>
      <c r="L10" s="302">
        <f>IF(D10="","",_xlfn.XLOOKUP($C10,BASE01[COD],BASE01[Columna34],"")+_xlfn.XLOOKUP($C10,SEMANA2[COD],SEMANA2[Columna34],""))</f>
        <v/>
      </c>
      <c r="M10" s="303">
        <f>IFERROR(+L10/K10,"")</f>
        <v/>
      </c>
      <c r="N10" s="304">
        <f>IF(D10="","",_xlfn.XLOOKUP($C10,BASE01[COD],BASE01[Columna36],"")+_xlfn.XLOOKUP($C10,SEMANA2[COD],SEMANA2[Columna36],""))</f>
        <v/>
      </c>
      <c r="O10" s="304">
        <f>IF(D10="","",_xlfn.XLOOKUP($C10,BASE01[COD],BASE01[Columna37],"")+_xlfn.XLOOKUP($C10,SEMANA2[COD],SEMANA2[Columna37],""))</f>
        <v/>
      </c>
      <c r="P10" s="305">
        <f>IFERROR(+O10/N10,0)</f>
        <v/>
      </c>
      <c r="Q10" s="306">
        <f>_xlfn.XLOOKUP(C10,SEMANA2[COD],SEMANA2[Columna33],"")</f>
        <v/>
      </c>
      <c r="R10" s="3" t="n"/>
      <c r="U10" s="393" t="inlineStr">
        <is>
          <t>COD 09</t>
        </is>
      </c>
      <c r="V10" s="393">
        <f>U10</f>
        <v/>
      </c>
    </row>
    <row r="11" ht="23.1" customFormat="1" customHeight="1" s="393">
      <c r="A11" s="295" t="n"/>
      <c r="B11" s="307">
        <f>+B10+1</f>
        <v/>
      </c>
      <c r="C11" s="611" t="inlineStr">
        <is>
          <t>COD 27</t>
        </is>
      </c>
      <c r="D11" s="469">
        <f>_xlfn.XLOOKUP(C11,CODIGOS_Y_PAGOS[CODIGO],CODIGOS_Y_PAGOS[NOMBRE PARTICIPANTE],"")</f>
        <v/>
      </c>
      <c r="E11" s="298">
        <f>IF(D11="","",_xlfn.XLOOKUP($C11,BASE01[COD],BASE01[Columna14],"")+_xlfn.XLOOKUP($C11,SEMANA2[COD],SEMANA2[Columna14],""))</f>
        <v/>
      </c>
      <c r="F11" s="298">
        <f>IF(D11="","",_xlfn.XLOOKUP($C11,BASE01[COD],BASE01[Columna19],"")+_xlfn.XLOOKUP($C11,SEMANA2[COD],SEMANA2[Columna19],""))</f>
        <v/>
      </c>
      <c r="G11" s="299">
        <f>IFERROR(+F11/E11,"")</f>
        <v/>
      </c>
      <c r="H11" s="300">
        <f>IF(D11="","",_xlfn.XLOOKUP($C11,BASE01[COD],BASE01[Columna29],"")+_xlfn.XLOOKUP($C11,SEMANA2[COD],SEMANA2[Columna29],""))</f>
        <v/>
      </c>
      <c r="I11" s="300">
        <f>IF(D11="","",_xlfn.XLOOKUP($C11,BASE01[COD],BASE01[Columna30],"")+_xlfn.XLOOKUP($C11,SEMANA2[COD],SEMANA2[Columna30],""))</f>
        <v/>
      </c>
      <c r="J11" s="301">
        <f>IFERROR(+I11/H11,"")</f>
        <v/>
      </c>
      <c r="K11" s="302">
        <f>IF(D11="","",_xlfn.XLOOKUP($C11,BASE01[COD],BASE01[Columna32],"")+_xlfn.XLOOKUP($C11,SEMANA2[COD],SEMANA2[Columna32],""))</f>
        <v/>
      </c>
      <c r="L11" s="302">
        <f>IF(D11="","",_xlfn.XLOOKUP($C11,BASE01[COD],BASE01[Columna34],"")+_xlfn.XLOOKUP($C11,SEMANA2[COD],SEMANA2[Columna34],""))</f>
        <v/>
      </c>
      <c r="M11" s="303">
        <f>IFERROR(+L11/K11,"")</f>
        <v/>
      </c>
      <c r="N11" s="304">
        <f>IF(D11="","",_xlfn.XLOOKUP($C11,BASE01[COD],BASE01[Columna36],"")+_xlfn.XLOOKUP($C11,SEMANA2[COD],SEMANA2[Columna36],""))</f>
        <v/>
      </c>
      <c r="O11" s="304">
        <f>IF(D11="","",_xlfn.XLOOKUP($C11,BASE01[COD],BASE01[Columna37],"")+_xlfn.XLOOKUP($C11,SEMANA2[COD],SEMANA2[Columna37],""))</f>
        <v/>
      </c>
      <c r="P11" s="305">
        <f>IFERROR(+O11/N11,0)</f>
        <v/>
      </c>
      <c r="Q11" s="306">
        <f>_xlfn.XLOOKUP(C11,SEMANA2[COD],SEMANA2[Columna33],"")</f>
        <v/>
      </c>
      <c r="R11" s="3" t="n"/>
      <c r="U11" s="393" t="inlineStr">
        <is>
          <t>COD 27</t>
        </is>
      </c>
      <c r="V11" s="393">
        <f>U11</f>
        <v/>
      </c>
    </row>
    <row r="12" ht="23.1" customFormat="1" customHeight="1" s="393">
      <c r="A12" s="295" t="n"/>
      <c r="B12" s="296">
        <f>+B11+1</f>
        <v/>
      </c>
      <c r="C12" s="611" t="inlineStr">
        <is>
          <t>COD 22</t>
        </is>
      </c>
      <c r="D12" s="469">
        <f>_xlfn.XLOOKUP(C12,CODIGOS_Y_PAGOS[CODIGO],CODIGOS_Y_PAGOS[NOMBRE PARTICIPANTE],"")</f>
        <v/>
      </c>
      <c r="E12" s="298">
        <f>IF(D12="","",_xlfn.XLOOKUP($C12,BASE01[COD],BASE01[Columna14],"")+_xlfn.XLOOKUP($C12,SEMANA2[COD],SEMANA2[Columna14],""))</f>
        <v/>
      </c>
      <c r="F12" s="298">
        <f>IF(D12="","",_xlfn.XLOOKUP($C12,BASE01[COD],BASE01[Columna19],"")+_xlfn.XLOOKUP($C12,SEMANA2[COD],SEMANA2[Columna19],""))</f>
        <v/>
      </c>
      <c r="G12" s="299">
        <f>IFERROR(+F12/E12,"")</f>
        <v/>
      </c>
      <c r="H12" s="300">
        <f>IF(D12="","",_xlfn.XLOOKUP($C12,BASE01[COD],BASE01[Columna29],"")+_xlfn.XLOOKUP($C12,SEMANA2[COD],SEMANA2[Columna29],""))</f>
        <v/>
      </c>
      <c r="I12" s="300">
        <f>IF(D12="","",_xlfn.XLOOKUP($C12,BASE01[COD],BASE01[Columna30],"")+_xlfn.XLOOKUP($C12,SEMANA2[COD],SEMANA2[Columna30],""))</f>
        <v/>
      </c>
      <c r="J12" s="301">
        <f>IFERROR(+I12/H12,"")</f>
        <v/>
      </c>
      <c r="K12" s="302">
        <f>IF(D12="","",_xlfn.XLOOKUP($C12,BASE01[COD],BASE01[Columna32],"")+_xlfn.XLOOKUP($C12,SEMANA2[COD],SEMANA2[Columna32],""))</f>
        <v/>
      </c>
      <c r="L12" s="302">
        <f>IF(D12="","",_xlfn.XLOOKUP($C12,BASE01[COD],BASE01[Columna34],"")+_xlfn.XLOOKUP($C12,SEMANA2[COD],SEMANA2[Columna34],""))</f>
        <v/>
      </c>
      <c r="M12" s="303">
        <f>IFERROR(+L12/K12,"")</f>
        <v/>
      </c>
      <c r="N12" s="304">
        <f>IF(D12="","",_xlfn.XLOOKUP($C12,BASE01[COD],BASE01[Columna36],"")+_xlfn.XLOOKUP($C12,SEMANA2[COD],SEMANA2[Columna36],""))</f>
        <v/>
      </c>
      <c r="O12" s="304">
        <f>IF(D12="","",_xlfn.XLOOKUP($C12,BASE01[COD],BASE01[Columna37],"")+_xlfn.XLOOKUP($C12,SEMANA2[COD],SEMANA2[Columna37],""))</f>
        <v/>
      </c>
      <c r="P12" s="305">
        <f>IFERROR(+O12/N12,0)</f>
        <v/>
      </c>
      <c r="Q12" s="306">
        <f>_xlfn.XLOOKUP(C12,SEMANA2[COD],SEMANA2[Columna33],"")</f>
        <v/>
      </c>
      <c r="R12" s="3" t="n"/>
      <c r="U12" s="393" t="inlineStr">
        <is>
          <t>COD 22</t>
        </is>
      </c>
      <c r="V12" s="393">
        <f>U12</f>
        <v/>
      </c>
    </row>
    <row r="13" ht="23.1" customFormat="1" customHeight="1" s="393">
      <c r="A13" s="295" t="n"/>
      <c r="B13" s="296">
        <f>+B12+1</f>
        <v/>
      </c>
      <c r="C13" s="611" t="inlineStr">
        <is>
          <t>COD 01</t>
        </is>
      </c>
      <c r="D13" s="469">
        <f>_xlfn.XLOOKUP(C13,CODIGOS_Y_PAGOS[CODIGO],CODIGOS_Y_PAGOS[NOMBRE PARTICIPANTE],"")</f>
        <v/>
      </c>
      <c r="E13" s="298">
        <f>IF(D13="","",_xlfn.XLOOKUP($C13,BASE01[COD],BASE01[Columna14],"")+_xlfn.XLOOKUP($C13,SEMANA2[COD],SEMANA2[Columna14],""))</f>
        <v/>
      </c>
      <c r="F13" s="298">
        <f>IF(D13="","",_xlfn.XLOOKUP($C13,BASE01[COD],BASE01[Columna19],"")+_xlfn.XLOOKUP($C13,SEMANA2[COD],SEMANA2[Columna19],""))</f>
        <v/>
      </c>
      <c r="G13" s="299">
        <f>IFERROR(+F13/E13,"")</f>
        <v/>
      </c>
      <c r="H13" s="300">
        <f>IF(D13="","",_xlfn.XLOOKUP($C13,BASE01[COD],BASE01[Columna29],"")+_xlfn.XLOOKUP($C13,SEMANA2[COD],SEMANA2[Columna29],""))</f>
        <v/>
      </c>
      <c r="I13" s="300">
        <f>IF(D13="","",_xlfn.XLOOKUP($C13,BASE01[COD],BASE01[Columna30],"")+_xlfn.XLOOKUP($C13,SEMANA2[COD],SEMANA2[Columna30],""))</f>
        <v/>
      </c>
      <c r="J13" s="301">
        <f>IFERROR(+I13/H13,"")</f>
        <v/>
      </c>
      <c r="K13" s="302">
        <f>IF(D13="","",_xlfn.XLOOKUP($C13,BASE01[COD],BASE01[Columna32],"")+_xlfn.XLOOKUP($C13,SEMANA2[COD],SEMANA2[Columna32],""))</f>
        <v/>
      </c>
      <c r="L13" s="302">
        <f>IF(D13="","",_xlfn.XLOOKUP($C13,BASE01[COD],BASE01[Columna34],"")+_xlfn.XLOOKUP($C13,SEMANA2[COD],SEMANA2[Columna34],""))</f>
        <v/>
      </c>
      <c r="M13" s="303">
        <f>IFERROR(+L13/K13,"")</f>
        <v/>
      </c>
      <c r="N13" s="304">
        <f>IF(D13="","",_xlfn.XLOOKUP($C13,BASE01[COD],BASE01[Columna36],"")+_xlfn.XLOOKUP($C13,SEMANA2[COD],SEMANA2[Columna36],""))</f>
        <v/>
      </c>
      <c r="O13" s="304">
        <f>IF(D13="","",_xlfn.XLOOKUP($C13,BASE01[COD],BASE01[Columna37],"")+_xlfn.XLOOKUP($C13,SEMANA2[COD],SEMANA2[Columna37],""))</f>
        <v/>
      </c>
      <c r="P13" s="305">
        <f>IFERROR(+O13/N13,0)</f>
        <v/>
      </c>
      <c r="Q13" s="306">
        <f>_xlfn.XLOOKUP(C13,SEMANA2[COD],SEMANA2[Columna33],"")</f>
        <v/>
      </c>
      <c r="R13" s="3" t="n"/>
      <c r="U13" s="393" t="inlineStr">
        <is>
          <t>COD 01</t>
        </is>
      </c>
      <c r="V13" s="393">
        <f>U13</f>
        <v/>
      </c>
    </row>
    <row r="14" ht="23.1" customFormat="1" customHeight="1" s="393">
      <c r="A14" s="295" t="n"/>
      <c r="B14" s="296">
        <f>+B13+1</f>
        <v/>
      </c>
      <c r="C14" s="611" t="inlineStr">
        <is>
          <t>COD 11</t>
        </is>
      </c>
      <c r="D14" s="469">
        <f>_xlfn.XLOOKUP(C14,CODIGOS_Y_PAGOS[CODIGO],CODIGOS_Y_PAGOS[NOMBRE PARTICIPANTE],"")</f>
        <v/>
      </c>
      <c r="E14" s="298">
        <f>IF(D14="","",_xlfn.XLOOKUP($C14,BASE01[COD],BASE01[Columna14],"")+_xlfn.XLOOKUP($C14,SEMANA2[COD],SEMANA2[Columna14],""))</f>
        <v/>
      </c>
      <c r="F14" s="298">
        <f>IF(D14="","",_xlfn.XLOOKUP($C14,BASE01[COD],BASE01[Columna19],"")+_xlfn.XLOOKUP($C14,SEMANA2[COD],SEMANA2[Columna19],""))</f>
        <v/>
      </c>
      <c r="G14" s="299">
        <f>IFERROR(+F14/E14,"")</f>
        <v/>
      </c>
      <c r="H14" s="300">
        <f>IF(D14="","",_xlfn.XLOOKUP($C14,BASE01[COD],BASE01[Columna29],"")+_xlfn.XLOOKUP($C14,SEMANA2[COD],SEMANA2[Columna29],""))</f>
        <v/>
      </c>
      <c r="I14" s="300">
        <f>IF(D14="","",_xlfn.XLOOKUP($C14,BASE01[COD],BASE01[Columna30],"")+_xlfn.XLOOKUP($C14,SEMANA2[COD],SEMANA2[Columna30],""))</f>
        <v/>
      </c>
      <c r="J14" s="301">
        <f>IFERROR(+I14/H14,"")</f>
        <v/>
      </c>
      <c r="K14" s="302">
        <f>IF(D14="","",_xlfn.XLOOKUP($C14,BASE01[COD],BASE01[Columna32],"")+_xlfn.XLOOKUP($C14,SEMANA2[COD],SEMANA2[Columna32],""))</f>
        <v/>
      </c>
      <c r="L14" s="302">
        <f>IF(D14="","",_xlfn.XLOOKUP($C14,BASE01[COD],BASE01[Columna34],"")+_xlfn.XLOOKUP($C14,SEMANA2[COD],SEMANA2[Columna34],""))</f>
        <v/>
      </c>
      <c r="M14" s="303">
        <f>IFERROR(+L14/K14,"")</f>
        <v/>
      </c>
      <c r="N14" s="304">
        <f>IF(D14="","",_xlfn.XLOOKUP($C14,BASE01[COD],BASE01[Columna36],"")+_xlfn.XLOOKUP($C14,SEMANA2[COD],SEMANA2[Columna36],""))</f>
        <v/>
      </c>
      <c r="O14" s="304">
        <f>IF(D14="","",_xlfn.XLOOKUP($C14,BASE01[COD],BASE01[Columna37],"")+_xlfn.XLOOKUP($C14,SEMANA2[COD],SEMANA2[Columna37],""))</f>
        <v/>
      </c>
      <c r="P14" s="305">
        <f>IFERROR(+O14/N14,0)</f>
        <v/>
      </c>
      <c r="Q14" s="306">
        <f>_xlfn.XLOOKUP(C14,SEMANA2[COD],SEMANA2[Columna33],"")</f>
        <v/>
      </c>
      <c r="R14" s="3" t="n"/>
      <c r="U14" s="393" t="inlineStr">
        <is>
          <t>COD 11</t>
        </is>
      </c>
      <c r="V14" s="393">
        <f>U14</f>
        <v/>
      </c>
    </row>
    <row r="15" ht="23.1" customFormat="1" customHeight="1" s="393">
      <c r="A15" s="295" t="n"/>
      <c r="B15" s="296">
        <f>+B14+1</f>
        <v/>
      </c>
      <c r="C15" s="611" t="inlineStr">
        <is>
          <t>COD 23</t>
        </is>
      </c>
      <c r="D15" s="469">
        <f>_xlfn.XLOOKUP(C15,CODIGOS_Y_PAGOS[CODIGO],CODIGOS_Y_PAGOS[NOMBRE PARTICIPANTE],"")</f>
        <v/>
      </c>
      <c r="E15" s="298">
        <f>IF(D15="","",_xlfn.XLOOKUP($C15,BASE01[COD],BASE01[Columna14],"")+_xlfn.XLOOKUP($C15,SEMANA2[COD],SEMANA2[Columna14],""))</f>
        <v/>
      </c>
      <c r="F15" s="298">
        <f>IF(D15="","",_xlfn.XLOOKUP($C15,BASE01[COD],BASE01[Columna19],"")+_xlfn.XLOOKUP($C15,SEMANA2[COD],SEMANA2[Columna19],""))</f>
        <v/>
      </c>
      <c r="G15" s="299">
        <f>IFERROR(+F15/E15,"")</f>
        <v/>
      </c>
      <c r="H15" s="300">
        <f>IF(D15="","",_xlfn.XLOOKUP($C15,BASE01[COD],BASE01[Columna29],"")+_xlfn.XLOOKUP($C15,SEMANA2[COD],SEMANA2[Columna29],""))</f>
        <v/>
      </c>
      <c r="I15" s="300">
        <f>IF(D15="","",_xlfn.XLOOKUP($C15,BASE01[COD],BASE01[Columna30],"")+_xlfn.XLOOKUP($C15,SEMANA2[COD],SEMANA2[Columna30],""))</f>
        <v/>
      </c>
      <c r="J15" s="301">
        <f>IFERROR(+I15/H15,"")</f>
        <v/>
      </c>
      <c r="K15" s="302">
        <f>IF(D15="","",_xlfn.XLOOKUP($C15,BASE01[COD],BASE01[Columna32],"")+_xlfn.XLOOKUP($C15,SEMANA2[COD],SEMANA2[Columna32],""))</f>
        <v/>
      </c>
      <c r="L15" s="302">
        <f>IF(D15="","",_xlfn.XLOOKUP($C15,BASE01[COD],BASE01[Columna34],"")+_xlfn.XLOOKUP($C15,SEMANA2[COD],SEMANA2[Columna34],""))</f>
        <v/>
      </c>
      <c r="M15" s="303">
        <f>IFERROR(+L15/K15,"")</f>
        <v/>
      </c>
      <c r="N15" s="304">
        <f>IF(D15="","",_xlfn.XLOOKUP($C15,BASE01[COD],BASE01[Columna36],"")+_xlfn.XLOOKUP($C15,SEMANA2[COD],SEMANA2[Columna36],""))</f>
        <v/>
      </c>
      <c r="O15" s="304">
        <f>IF(D15="","",_xlfn.XLOOKUP($C15,BASE01[COD],BASE01[Columna37],"")+_xlfn.XLOOKUP($C15,SEMANA2[COD],SEMANA2[Columna37],""))</f>
        <v/>
      </c>
      <c r="P15" s="305">
        <f>IFERROR(+O15/N15,0)</f>
        <v/>
      </c>
      <c r="Q15" s="306">
        <f>_xlfn.XLOOKUP(C15,SEMANA2[COD],SEMANA2[Columna33],"")</f>
        <v/>
      </c>
      <c r="R15" s="3" t="n"/>
      <c r="U15" s="393" t="inlineStr">
        <is>
          <t>COD 23</t>
        </is>
      </c>
      <c r="V15" s="393">
        <f>U15</f>
        <v/>
      </c>
    </row>
    <row r="16" ht="23.1" customFormat="1" customHeight="1" s="393">
      <c r="A16" s="295" t="n"/>
      <c r="B16" s="296">
        <f>+B15+1</f>
        <v/>
      </c>
      <c r="C16" s="611" t="inlineStr">
        <is>
          <t>COD 08</t>
        </is>
      </c>
      <c r="D16" s="469">
        <f>_xlfn.XLOOKUP(C16,CODIGOS_Y_PAGOS[CODIGO],CODIGOS_Y_PAGOS[NOMBRE PARTICIPANTE],"")</f>
        <v/>
      </c>
      <c r="E16" s="298">
        <f>IF(D16="","",_xlfn.XLOOKUP($C16,BASE01[COD],BASE01[Columna14],"")+_xlfn.XLOOKUP($C16,SEMANA2[COD],SEMANA2[Columna14],""))</f>
        <v/>
      </c>
      <c r="F16" s="298">
        <f>IF(D16="","",_xlfn.XLOOKUP($C16,BASE01[COD],BASE01[Columna19],"")+_xlfn.XLOOKUP($C16,SEMANA2[COD],SEMANA2[Columna19],""))</f>
        <v/>
      </c>
      <c r="G16" s="299">
        <f>IFERROR(+F16/E16,"")</f>
        <v/>
      </c>
      <c r="H16" s="300">
        <f>IF(D16="","",_xlfn.XLOOKUP($C16,BASE01[COD],BASE01[Columna29],"")+_xlfn.XLOOKUP($C16,SEMANA2[COD],SEMANA2[Columna29],""))</f>
        <v/>
      </c>
      <c r="I16" s="300">
        <f>IF(D16="","",_xlfn.XLOOKUP($C16,BASE01[COD],BASE01[Columna30],"")+_xlfn.XLOOKUP($C16,SEMANA2[COD],SEMANA2[Columna30],""))</f>
        <v/>
      </c>
      <c r="J16" s="301">
        <f>IFERROR(+I16/H16,"")</f>
        <v/>
      </c>
      <c r="K16" s="302">
        <f>IF(D16="","",_xlfn.XLOOKUP($C16,BASE01[COD],BASE01[Columna32],"")+_xlfn.XLOOKUP($C16,SEMANA2[COD],SEMANA2[Columna32],""))</f>
        <v/>
      </c>
      <c r="L16" s="302">
        <f>IF(D16="","",_xlfn.XLOOKUP($C16,BASE01[COD],BASE01[Columna34],"")+_xlfn.XLOOKUP($C16,SEMANA2[COD],SEMANA2[Columna34],""))</f>
        <v/>
      </c>
      <c r="M16" s="303">
        <f>IFERROR(+L16/K16,"")</f>
        <v/>
      </c>
      <c r="N16" s="304">
        <f>IF(D16="","",_xlfn.XLOOKUP($C16,BASE01[COD],BASE01[Columna36],"")+_xlfn.XLOOKUP($C16,SEMANA2[COD],SEMANA2[Columna36],""))</f>
        <v/>
      </c>
      <c r="O16" s="304">
        <f>IF(D16="","",_xlfn.XLOOKUP($C16,BASE01[COD],BASE01[Columna37],"")+_xlfn.XLOOKUP($C16,SEMANA2[COD],SEMANA2[Columna37],""))</f>
        <v/>
      </c>
      <c r="P16" s="305">
        <f>IFERROR(+O16/N16,0)</f>
        <v/>
      </c>
      <c r="Q16" s="306">
        <f>_xlfn.XLOOKUP(C16,SEMANA2[COD],SEMANA2[Columna33],"")</f>
        <v/>
      </c>
      <c r="R16" s="3" t="n"/>
      <c r="U16" s="393" t="inlineStr">
        <is>
          <t>COD 08</t>
        </is>
      </c>
      <c r="V16" s="393">
        <f>U16</f>
        <v/>
      </c>
    </row>
    <row r="17" ht="23.1" customFormat="1" customHeight="1" s="393">
      <c r="A17" s="295" t="n"/>
      <c r="B17" s="296">
        <f>+B16+1</f>
        <v/>
      </c>
      <c r="C17" s="611" t="inlineStr">
        <is>
          <t>COD 03</t>
        </is>
      </c>
      <c r="D17" s="469">
        <f>_xlfn.XLOOKUP(C17,CODIGOS_Y_PAGOS[CODIGO],CODIGOS_Y_PAGOS[NOMBRE PARTICIPANTE],"")</f>
        <v/>
      </c>
      <c r="E17" s="298">
        <f>IF(D17="","",_xlfn.XLOOKUP($C17,BASE01[COD],BASE01[Columna14],"")+_xlfn.XLOOKUP($C17,SEMANA2[COD],SEMANA2[Columna14],""))</f>
        <v/>
      </c>
      <c r="F17" s="298">
        <f>IF(D17="","",_xlfn.XLOOKUP($C17,BASE01[COD],BASE01[Columna19],"")+_xlfn.XLOOKUP($C17,SEMANA2[COD],SEMANA2[Columna19],""))</f>
        <v/>
      </c>
      <c r="G17" s="299">
        <f>IFERROR(+F17/E17,"")</f>
        <v/>
      </c>
      <c r="H17" s="300">
        <f>IF(D17="","",_xlfn.XLOOKUP($C17,BASE01[COD],BASE01[Columna29],"")+_xlfn.XLOOKUP($C17,SEMANA2[COD],SEMANA2[Columna29],""))</f>
        <v/>
      </c>
      <c r="I17" s="300">
        <f>IF(D17="","",_xlfn.XLOOKUP($C17,BASE01[COD],BASE01[Columna30],"")+_xlfn.XLOOKUP($C17,SEMANA2[COD],SEMANA2[Columna30],""))</f>
        <v/>
      </c>
      <c r="J17" s="301">
        <f>IFERROR(+I17/H17,"")</f>
        <v/>
      </c>
      <c r="K17" s="302">
        <f>IF(D17="","",_xlfn.XLOOKUP($C17,BASE01[COD],BASE01[Columna32],"")+_xlfn.XLOOKUP($C17,SEMANA2[COD],SEMANA2[Columna32],""))</f>
        <v/>
      </c>
      <c r="L17" s="302">
        <f>IF(D17="","",_xlfn.XLOOKUP($C17,BASE01[COD],BASE01[Columna34],"")+_xlfn.XLOOKUP($C17,SEMANA2[COD],SEMANA2[Columna34],""))</f>
        <v/>
      </c>
      <c r="M17" s="303">
        <f>IFERROR(+L17/K17,"")</f>
        <v/>
      </c>
      <c r="N17" s="304">
        <f>IF(D17="","",_xlfn.XLOOKUP($C17,BASE01[COD],BASE01[Columna36],"")+_xlfn.XLOOKUP($C17,SEMANA2[COD],SEMANA2[Columna36],""))</f>
        <v/>
      </c>
      <c r="O17" s="304">
        <f>IF(D17="","",_xlfn.XLOOKUP($C17,BASE01[COD],BASE01[Columna37],"")+_xlfn.XLOOKUP($C17,SEMANA2[COD],SEMANA2[Columna37],""))</f>
        <v/>
      </c>
      <c r="P17" s="305">
        <f>IFERROR(+O17/N17,0)</f>
        <v/>
      </c>
      <c r="Q17" s="306">
        <f>_xlfn.XLOOKUP(C17,SEMANA2[COD],SEMANA2[Columna33],"")</f>
        <v/>
      </c>
      <c r="R17" s="3" t="n"/>
      <c r="U17" s="393" t="inlineStr">
        <is>
          <t>COD 03</t>
        </is>
      </c>
      <c r="V17" s="393">
        <f>U17</f>
        <v/>
      </c>
    </row>
    <row r="18" ht="23.1" customFormat="1" customHeight="1" s="393">
      <c r="A18" s="295" t="n"/>
      <c r="B18" s="296">
        <f>+B17+1</f>
        <v/>
      </c>
      <c r="C18" s="611" t="inlineStr">
        <is>
          <t>COD 16</t>
        </is>
      </c>
      <c r="D18" s="469">
        <f>_xlfn.XLOOKUP(C18,CODIGOS_Y_PAGOS[CODIGO],CODIGOS_Y_PAGOS[NOMBRE PARTICIPANTE],"")</f>
        <v/>
      </c>
      <c r="E18" s="298">
        <f>IF(D18="","",_xlfn.XLOOKUP($C18,BASE01[COD],BASE01[Columna14],"")+_xlfn.XLOOKUP($C18,SEMANA2[COD],SEMANA2[Columna14],""))</f>
        <v/>
      </c>
      <c r="F18" s="298">
        <f>IF(D18="","",_xlfn.XLOOKUP($C18,BASE01[COD],BASE01[Columna19],"")+_xlfn.XLOOKUP($C18,SEMANA2[COD],SEMANA2[Columna19],""))</f>
        <v/>
      </c>
      <c r="G18" s="299">
        <f>IFERROR(+F18/E18,"")</f>
        <v/>
      </c>
      <c r="H18" s="300">
        <f>IF(D18="","",_xlfn.XLOOKUP($C18,BASE01[COD],BASE01[Columna29],"")+_xlfn.XLOOKUP($C18,SEMANA2[COD],SEMANA2[Columna29],""))</f>
        <v/>
      </c>
      <c r="I18" s="300">
        <f>IF(D18="","",_xlfn.XLOOKUP($C18,BASE01[COD],BASE01[Columna30],"")+_xlfn.XLOOKUP($C18,SEMANA2[COD],SEMANA2[Columna30],""))</f>
        <v/>
      </c>
      <c r="J18" s="301">
        <f>IFERROR(+I18/H18,"")</f>
        <v/>
      </c>
      <c r="K18" s="302">
        <f>IF(D18="","",_xlfn.XLOOKUP($C18,BASE01[COD],BASE01[Columna32],"")+_xlfn.XLOOKUP($C18,SEMANA2[COD],SEMANA2[Columna32],""))</f>
        <v/>
      </c>
      <c r="L18" s="302">
        <f>IF(D18="","",_xlfn.XLOOKUP($C18,BASE01[COD],BASE01[Columna34],"")+_xlfn.XLOOKUP($C18,SEMANA2[COD],SEMANA2[Columna34],""))</f>
        <v/>
      </c>
      <c r="M18" s="303">
        <f>IFERROR(+L18/K18,"")</f>
        <v/>
      </c>
      <c r="N18" s="304">
        <f>IF(D18="","",_xlfn.XLOOKUP($C18,BASE01[COD],BASE01[Columna36],"")+_xlfn.XLOOKUP($C18,SEMANA2[COD],SEMANA2[Columna36],""))</f>
        <v/>
      </c>
      <c r="O18" s="304">
        <f>IF(D18="","",_xlfn.XLOOKUP($C18,BASE01[COD],BASE01[Columna37],"")+_xlfn.XLOOKUP($C18,SEMANA2[COD],SEMANA2[Columna37],""))</f>
        <v/>
      </c>
      <c r="P18" s="305">
        <f>IFERROR(+O18/N18,0)</f>
        <v/>
      </c>
      <c r="Q18" s="306">
        <f>_xlfn.XLOOKUP(C18,SEMANA2[COD],SEMANA2[Columna33],"")</f>
        <v/>
      </c>
      <c r="R18" s="3" t="n"/>
      <c r="U18" s="393" t="inlineStr">
        <is>
          <t>COD 16</t>
        </is>
      </c>
      <c r="V18" s="393">
        <f>U18</f>
        <v/>
      </c>
    </row>
    <row r="19" ht="23.1" customFormat="1" customHeight="1" s="393">
      <c r="A19" s="295" t="n"/>
      <c r="B19" s="296">
        <f>+B18+1</f>
        <v/>
      </c>
      <c r="C19" s="611" t="inlineStr">
        <is>
          <t>COD 15</t>
        </is>
      </c>
      <c r="D19" s="469">
        <f>_xlfn.XLOOKUP(C19,CODIGOS_Y_PAGOS[CODIGO],CODIGOS_Y_PAGOS[NOMBRE PARTICIPANTE],"")</f>
        <v/>
      </c>
      <c r="E19" s="298">
        <f>IF(D19="","",_xlfn.XLOOKUP($C19,BASE01[COD],BASE01[Columna14],"")+_xlfn.XLOOKUP($C19,SEMANA2[COD],SEMANA2[Columna14],""))</f>
        <v/>
      </c>
      <c r="F19" s="298">
        <f>IF(D19="","",_xlfn.XLOOKUP($C19,BASE01[COD],BASE01[Columna19],"")+_xlfn.XLOOKUP($C19,SEMANA2[COD],SEMANA2[Columna19],""))</f>
        <v/>
      </c>
      <c r="G19" s="299">
        <f>IFERROR(+F19/E19,"")</f>
        <v/>
      </c>
      <c r="H19" s="300">
        <f>IF(D19="","",_xlfn.XLOOKUP($C19,BASE01[COD],BASE01[Columna29],"")+_xlfn.XLOOKUP($C19,SEMANA2[COD],SEMANA2[Columna29],""))</f>
        <v/>
      </c>
      <c r="I19" s="300">
        <f>IF(D19="","",_xlfn.XLOOKUP($C19,BASE01[COD],BASE01[Columna30],"")+_xlfn.XLOOKUP($C19,SEMANA2[COD],SEMANA2[Columna30],""))</f>
        <v/>
      </c>
      <c r="J19" s="301">
        <f>IFERROR(+I19/H19,"")</f>
        <v/>
      </c>
      <c r="K19" s="302">
        <f>IF(D19="","",_xlfn.XLOOKUP($C19,BASE01[COD],BASE01[Columna32],"")+_xlfn.XLOOKUP($C19,SEMANA2[COD],SEMANA2[Columna32],""))</f>
        <v/>
      </c>
      <c r="L19" s="302">
        <f>IF(D19="","",_xlfn.XLOOKUP($C19,BASE01[COD],BASE01[Columna34],"")+_xlfn.XLOOKUP($C19,SEMANA2[COD],SEMANA2[Columna34],""))</f>
        <v/>
      </c>
      <c r="M19" s="303">
        <f>IFERROR(+L19/K19,"")</f>
        <v/>
      </c>
      <c r="N19" s="304">
        <f>IF(D19="","",_xlfn.XLOOKUP($C19,BASE01[COD],BASE01[Columna36],"")+_xlfn.XLOOKUP($C19,SEMANA2[COD],SEMANA2[Columna36],""))</f>
        <v/>
      </c>
      <c r="O19" s="304">
        <f>IF(D19="","",_xlfn.XLOOKUP($C19,BASE01[COD],BASE01[Columna37],"")+_xlfn.XLOOKUP($C19,SEMANA2[COD],SEMANA2[Columna37],""))</f>
        <v/>
      </c>
      <c r="P19" s="305">
        <f>IFERROR(+O19/N19,0)</f>
        <v/>
      </c>
      <c r="Q19" s="306">
        <f>_xlfn.XLOOKUP(C19,SEMANA2[COD],SEMANA2[Columna33],"")</f>
        <v/>
      </c>
      <c r="R19" s="3" t="n"/>
      <c r="U19" s="393" t="inlineStr">
        <is>
          <t>COD 15</t>
        </is>
      </c>
      <c r="V19" s="393">
        <f>U19</f>
        <v/>
      </c>
    </row>
    <row r="20" ht="23.1" customFormat="1" customHeight="1" s="393">
      <c r="A20" s="295" t="n"/>
      <c r="B20" s="296">
        <f>+B19+1</f>
        <v/>
      </c>
      <c r="C20" s="611" t="inlineStr">
        <is>
          <t>COD 28</t>
        </is>
      </c>
      <c r="D20" s="469">
        <f>_xlfn.XLOOKUP(C20,CODIGOS_Y_PAGOS[CODIGO],CODIGOS_Y_PAGOS[NOMBRE PARTICIPANTE],"")</f>
        <v/>
      </c>
      <c r="E20" s="298">
        <f>IF(D20="","",_xlfn.XLOOKUP($C20,BASE01[COD],BASE01[Columna14],"")+_xlfn.XLOOKUP($C20,SEMANA2[COD],SEMANA2[Columna14],""))</f>
        <v/>
      </c>
      <c r="F20" s="298">
        <f>IF(D20="","",_xlfn.XLOOKUP($C20,BASE01[COD],BASE01[Columna19],"")+_xlfn.XLOOKUP($C20,SEMANA2[COD],SEMANA2[Columna19],""))</f>
        <v/>
      </c>
      <c r="G20" s="299">
        <f>IFERROR(+F20/E20,"")</f>
        <v/>
      </c>
      <c r="H20" s="300">
        <f>IF(D20="","",_xlfn.XLOOKUP($C20,BASE01[COD],BASE01[Columna29],"")+_xlfn.XLOOKUP($C20,SEMANA2[COD],SEMANA2[Columna29],""))</f>
        <v/>
      </c>
      <c r="I20" s="300">
        <f>IF(D20="","",_xlfn.XLOOKUP($C20,BASE01[COD],BASE01[Columna30],"")+_xlfn.XLOOKUP($C20,SEMANA2[COD],SEMANA2[Columna30],""))</f>
        <v/>
      </c>
      <c r="J20" s="301">
        <f>IFERROR(+I20/H20,"")</f>
        <v/>
      </c>
      <c r="K20" s="302">
        <f>IF(D20="","",_xlfn.XLOOKUP($C20,BASE01[COD],BASE01[Columna32],"")+_xlfn.XLOOKUP($C20,SEMANA2[COD],SEMANA2[Columna32],""))</f>
        <v/>
      </c>
      <c r="L20" s="302">
        <f>IF(D20="","",_xlfn.XLOOKUP($C20,BASE01[COD],BASE01[Columna34],"")+_xlfn.XLOOKUP($C20,SEMANA2[COD],SEMANA2[Columna34],""))</f>
        <v/>
      </c>
      <c r="M20" s="303">
        <f>IFERROR(+L20/K20,"")</f>
        <v/>
      </c>
      <c r="N20" s="304">
        <f>IF(D20="","",_xlfn.XLOOKUP($C20,BASE01[COD],BASE01[Columna36],"")+_xlfn.XLOOKUP($C20,SEMANA2[COD],SEMANA2[Columna36],""))</f>
        <v/>
      </c>
      <c r="O20" s="304">
        <f>IF(D20="","",_xlfn.XLOOKUP($C20,BASE01[COD],BASE01[Columna37],"")+_xlfn.XLOOKUP($C20,SEMANA2[COD],SEMANA2[Columna37],""))</f>
        <v/>
      </c>
      <c r="P20" s="305">
        <f>IFERROR(+O20/N20,0)</f>
        <v/>
      </c>
      <c r="Q20" s="306">
        <f>_xlfn.XLOOKUP(C20,SEMANA2[COD],SEMANA2[Columna33],"")</f>
        <v/>
      </c>
      <c r="R20" s="3" t="n"/>
      <c r="U20" s="393" t="inlineStr">
        <is>
          <t>COD 28</t>
        </is>
      </c>
      <c r="V20" s="393">
        <f>U20</f>
        <v/>
      </c>
    </row>
    <row r="21" ht="23.1" customFormat="1" customHeight="1" s="393">
      <c r="A21" s="295" t="n"/>
      <c r="B21" s="296">
        <f>+B20+1</f>
        <v/>
      </c>
      <c r="C21" s="611" t="inlineStr">
        <is>
          <t>COD 29</t>
        </is>
      </c>
      <c r="D21" s="469">
        <f>_xlfn.XLOOKUP(C21,CODIGOS_Y_PAGOS[CODIGO],CODIGOS_Y_PAGOS[NOMBRE PARTICIPANTE],"")</f>
        <v/>
      </c>
      <c r="E21" s="298">
        <f>IF(D21="","",_xlfn.XLOOKUP($C21,BASE01[COD],BASE01[Columna14],"")+_xlfn.XLOOKUP($C21,SEMANA2[COD],SEMANA2[Columna14],""))</f>
        <v/>
      </c>
      <c r="F21" s="298">
        <f>IF(D21="","",_xlfn.XLOOKUP($C21,BASE01[COD],BASE01[Columna19],"")+_xlfn.XLOOKUP($C21,SEMANA2[COD],SEMANA2[Columna19],""))</f>
        <v/>
      </c>
      <c r="G21" s="299">
        <f>IFERROR(+F21/E21,"")</f>
        <v/>
      </c>
      <c r="H21" s="300">
        <f>IF(D21="","",_xlfn.XLOOKUP($C21,BASE01[COD],BASE01[Columna29],"")+_xlfn.XLOOKUP($C21,SEMANA2[COD],SEMANA2[Columna29],""))</f>
        <v/>
      </c>
      <c r="I21" s="300">
        <f>IF(D21="","",_xlfn.XLOOKUP($C21,BASE01[COD],BASE01[Columna30],"")+_xlfn.XLOOKUP($C21,SEMANA2[COD],SEMANA2[Columna30],""))</f>
        <v/>
      </c>
      <c r="J21" s="301">
        <f>IFERROR(+I21/H21,"")</f>
        <v/>
      </c>
      <c r="K21" s="302">
        <f>IF(D21="","",_xlfn.XLOOKUP($C21,BASE01[COD],BASE01[Columna32],"")+_xlfn.XLOOKUP($C21,SEMANA2[COD],SEMANA2[Columna32],""))</f>
        <v/>
      </c>
      <c r="L21" s="302">
        <f>IF(D21="","",_xlfn.XLOOKUP($C21,BASE01[COD],BASE01[Columna34],"")+_xlfn.XLOOKUP($C21,SEMANA2[COD],SEMANA2[Columna34],""))</f>
        <v/>
      </c>
      <c r="M21" s="303">
        <f>IFERROR(+L21/K21,"")</f>
        <v/>
      </c>
      <c r="N21" s="304">
        <f>IF(D21="","",_xlfn.XLOOKUP($C21,BASE01[COD],BASE01[Columna36],"")+_xlfn.XLOOKUP($C21,SEMANA2[COD],SEMANA2[Columna36],""))</f>
        <v/>
      </c>
      <c r="O21" s="304">
        <f>IF(D21="","",_xlfn.XLOOKUP($C21,BASE01[COD],BASE01[Columna37],"")+_xlfn.XLOOKUP($C21,SEMANA2[COD],SEMANA2[Columna37],""))</f>
        <v/>
      </c>
      <c r="P21" s="305">
        <f>IFERROR(+O21/N21,0)</f>
        <v/>
      </c>
      <c r="Q21" s="306">
        <f>_xlfn.XLOOKUP(C21,SEMANA2[COD],SEMANA2[Columna33],"")</f>
        <v/>
      </c>
      <c r="R21" s="3" t="n"/>
      <c r="U21" s="393" t="inlineStr">
        <is>
          <t>COD 29</t>
        </is>
      </c>
      <c r="V21" s="393">
        <f>U21</f>
        <v/>
      </c>
    </row>
    <row r="22" ht="23.1" customFormat="1" customHeight="1" s="393">
      <c r="A22" s="295" t="n"/>
      <c r="B22" s="296">
        <f>+B21+1</f>
        <v/>
      </c>
      <c r="C22" s="611" t="inlineStr">
        <is>
          <t>COD 34</t>
        </is>
      </c>
      <c r="D22" s="469">
        <f>_xlfn.XLOOKUP(C22,CODIGOS_Y_PAGOS[CODIGO],CODIGOS_Y_PAGOS[NOMBRE PARTICIPANTE],"")</f>
        <v/>
      </c>
      <c r="E22" s="298">
        <f>IF(D22="","",_xlfn.XLOOKUP($C22,BASE01[COD],BASE01[Columna14],"")+_xlfn.XLOOKUP($C22,SEMANA2[COD],SEMANA2[Columna14],""))</f>
        <v/>
      </c>
      <c r="F22" s="298">
        <f>IF(D22="","",_xlfn.XLOOKUP($C22,BASE01[COD],BASE01[Columna19],"")+_xlfn.XLOOKUP($C22,SEMANA2[COD],SEMANA2[Columna19],""))</f>
        <v/>
      </c>
      <c r="G22" s="299">
        <f>IFERROR(+F22/E22,"")</f>
        <v/>
      </c>
      <c r="H22" s="300">
        <f>IF(D22="","",_xlfn.XLOOKUP($C22,BASE01[COD],BASE01[Columna29],"")+_xlfn.XLOOKUP($C22,SEMANA2[COD],SEMANA2[Columna29],""))</f>
        <v/>
      </c>
      <c r="I22" s="300">
        <f>IF(D22="","",_xlfn.XLOOKUP($C22,BASE01[COD],BASE01[Columna30],"")+_xlfn.XLOOKUP($C22,SEMANA2[COD],SEMANA2[Columna30],""))</f>
        <v/>
      </c>
      <c r="J22" s="301">
        <f>IFERROR(+I22/H22,"")</f>
        <v/>
      </c>
      <c r="K22" s="302">
        <f>IF(D22="","",_xlfn.XLOOKUP($C22,BASE01[COD],BASE01[Columna32],"")+_xlfn.XLOOKUP($C22,SEMANA2[COD],SEMANA2[Columna32],""))</f>
        <v/>
      </c>
      <c r="L22" s="302">
        <f>IF(D22="","",_xlfn.XLOOKUP($C22,BASE01[COD],BASE01[Columna34],"")+_xlfn.XLOOKUP($C22,SEMANA2[COD],SEMANA2[Columna34],""))</f>
        <v/>
      </c>
      <c r="M22" s="303">
        <f>IFERROR(+L22/K22,"")</f>
        <v/>
      </c>
      <c r="N22" s="304">
        <f>IF(D22="","",_xlfn.XLOOKUP($C22,BASE01[COD],BASE01[Columna36],"")+_xlfn.XLOOKUP($C22,SEMANA2[COD],SEMANA2[Columna36],""))</f>
        <v/>
      </c>
      <c r="O22" s="304">
        <f>IF(D22="","",_xlfn.XLOOKUP($C22,BASE01[COD],BASE01[Columna37],"")+_xlfn.XLOOKUP($C22,SEMANA2[COD],SEMANA2[Columna37],""))</f>
        <v/>
      </c>
      <c r="P22" s="305">
        <f>IFERROR(+O22/N22,0)</f>
        <v/>
      </c>
      <c r="Q22" s="306">
        <f>_xlfn.XLOOKUP(C22,SEMANA2[COD],SEMANA2[Columna33],"")</f>
        <v/>
      </c>
      <c r="R22" s="3" t="n"/>
      <c r="U22" s="393" t="inlineStr">
        <is>
          <t>COD 34</t>
        </is>
      </c>
      <c r="V22" s="393">
        <f>U22</f>
        <v/>
      </c>
    </row>
    <row r="23" ht="23.1" customFormat="1" customHeight="1" s="393">
      <c r="A23" s="295" t="n"/>
      <c r="B23" s="296">
        <f>+B22+1</f>
        <v/>
      </c>
      <c r="C23" s="611" t="inlineStr">
        <is>
          <t>COD 19</t>
        </is>
      </c>
      <c r="D23" s="469">
        <f>_xlfn.XLOOKUP(C23,CODIGOS_Y_PAGOS[CODIGO],CODIGOS_Y_PAGOS[NOMBRE PARTICIPANTE],"")</f>
        <v/>
      </c>
      <c r="E23" s="298">
        <f>IF(D23="","",_xlfn.XLOOKUP($C23,BASE01[COD],BASE01[Columna14],"")+_xlfn.XLOOKUP($C23,SEMANA2[COD],SEMANA2[Columna14],""))</f>
        <v/>
      </c>
      <c r="F23" s="298">
        <f>IF(D23="","",_xlfn.XLOOKUP($C23,BASE01[COD],BASE01[Columna19],"")+_xlfn.XLOOKUP($C23,SEMANA2[COD],SEMANA2[Columna19],""))</f>
        <v/>
      </c>
      <c r="G23" s="299">
        <f>IFERROR(+F23/E23,"")</f>
        <v/>
      </c>
      <c r="H23" s="300">
        <f>IF(D23="","",_xlfn.XLOOKUP($C23,BASE01[COD],BASE01[Columna29],"")+_xlfn.XLOOKUP($C23,SEMANA2[COD],SEMANA2[Columna29],""))</f>
        <v/>
      </c>
      <c r="I23" s="300">
        <f>IF(D23="","",_xlfn.XLOOKUP($C23,BASE01[COD],BASE01[Columna30],"")+_xlfn.XLOOKUP($C23,SEMANA2[COD],SEMANA2[Columna30],""))</f>
        <v/>
      </c>
      <c r="J23" s="301">
        <f>IFERROR(+I23/H23,"")</f>
        <v/>
      </c>
      <c r="K23" s="302">
        <f>IF(D23="","",_xlfn.XLOOKUP($C23,BASE01[COD],BASE01[Columna32],"")+_xlfn.XLOOKUP($C23,SEMANA2[COD],SEMANA2[Columna32],""))</f>
        <v/>
      </c>
      <c r="L23" s="302">
        <f>IF(D23="","",_xlfn.XLOOKUP($C23,BASE01[COD],BASE01[Columna34],"")+_xlfn.XLOOKUP($C23,SEMANA2[COD],SEMANA2[Columna34],""))</f>
        <v/>
      </c>
      <c r="M23" s="303">
        <f>IFERROR(+L23/K23,"")</f>
        <v/>
      </c>
      <c r="N23" s="304">
        <f>IF(D23="","",_xlfn.XLOOKUP($C23,BASE01[COD],BASE01[Columna36],"")+_xlfn.XLOOKUP($C23,SEMANA2[COD],SEMANA2[Columna36],""))</f>
        <v/>
      </c>
      <c r="O23" s="304">
        <f>IF(D23="","",_xlfn.XLOOKUP($C23,BASE01[COD],BASE01[Columna37],"")+_xlfn.XLOOKUP($C23,SEMANA2[COD],SEMANA2[Columna37],""))</f>
        <v/>
      </c>
      <c r="P23" s="305">
        <f>IFERROR(+O23/N23,0)</f>
        <v/>
      </c>
      <c r="Q23" s="306">
        <f>_xlfn.XLOOKUP(C23,SEMANA2[COD],SEMANA2[Columna33],"")</f>
        <v/>
      </c>
      <c r="R23" s="3" t="n"/>
      <c r="U23" s="393" t="inlineStr">
        <is>
          <t>COD 19</t>
        </is>
      </c>
      <c r="V23" s="393">
        <f>U23</f>
        <v/>
      </c>
    </row>
    <row r="24" ht="23.1" customFormat="1" customHeight="1" s="393">
      <c r="A24" s="295" t="n"/>
      <c r="B24" s="296">
        <f>+B23+1</f>
        <v/>
      </c>
      <c r="C24" s="611" t="inlineStr">
        <is>
          <t>COD 32</t>
        </is>
      </c>
      <c r="D24" s="469">
        <f>_xlfn.XLOOKUP(C24,CODIGOS_Y_PAGOS[CODIGO],CODIGOS_Y_PAGOS[NOMBRE PARTICIPANTE],"")</f>
        <v/>
      </c>
      <c r="E24" s="298">
        <f>IF(D24="","",_xlfn.XLOOKUP($C24,BASE01[COD],BASE01[Columna14],"")+_xlfn.XLOOKUP($C24,SEMANA2[COD],SEMANA2[Columna14],""))</f>
        <v/>
      </c>
      <c r="F24" s="298">
        <f>IF(D24="","",_xlfn.XLOOKUP($C24,BASE01[COD],BASE01[Columna19],"")+_xlfn.XLOOKUP($C24,SEMANA2[COD],SEMANA2[Columna19],""))</f>
        <v/>
      </c>
      <c r="G24" s="299">
        <f>IFERROR(+F24/E24,"")</f>
        <v/>
      </c>
      <c r="H24" s="300">
        <f>IF(D24="","",_xlfn.XLOOKUP($C24,BASE01[COD],BASE01[Columna29],"")+_xlfn.XLOOKUP($C24,SEMANA2[COD],SEMANA2[Columna29],""))</f>
        <v/>
      </c>
      <c r="I24" s="300">
        <f>IF(D24="","",_xlfn.XLOOKUP($C24,BASE01[COD],BASE01[Columna30],"")+_xlfn.XLOOKUP($C24,SEMANA2[COD],SEMANA2[Columna30],""))</f>
        <v/>
      </c>
      <c r="J24" s="301">
        <f>IFERROR(+I24/H24,"")</f>
        <v/>
      </c>
      <c r="K24" s="302">
        <f>IF(D24="","",_xlfn.XLOOKUP($C24,BASE01[COD],BASE01[Columna32],"")+_xlfn.XLOOKUP($C24,SEMANA2[COD],SEMANA2[Columna32],""))</f>
        <v/>
      </c>
      <c r="L24" s="302">
        <f>IF(D24="","",_xlfn.XLOOKUP($C24,BASE01[COD],BASE01[Columna34],"")+_xlfn.XLOOKUP($C24,SEMANA2[COD],SEMANA2[Columna34],""))</f>
        <v/>
      </c>
      <c r="M24" s="303">
        <f>IFERROR(+L24/K24,"")</f>
        <v/>
      </c>
      <c r="N24" s="304">
        <f>IF(D24="","",_xlfn.XLOOKUP($C24,BASE01[COD],BASE01[Columna36],"")+_xlfn.XLOOKUP($C24,SEMANA2[COD],SEMANA2[Columna36],""))</f>
        <v/>
      </c>
      <c r="O24" s="304">
        <f>IF(D24="","",_xlfn.XLOOKUP($C24,BASE01[COD],BASE01[Columna37],"")+_xlfn.XLOOKUP($C24,SEMANA2[COD],SEMANA2[Columna37],""))</f>
        <v/>
      </c>
      <c r="P24" s="305">
        <f>IFERROR(+O24/N24,0)</f>
        <v/>
      </c>
      <c r="Q24" s="306">
        <f>_xlfn.XLOOKUP(C24,SEMANA2[COD],SEMANA2[Columna33],"")</f>
        <v/>
      </c>
      <c r="R24" s="3" t="n"/>
      <c r="U24" s="393" t="inlineStr">
        <is>
          <t>COD 32</t>
        </is>
      </c>
      <c r="V24" s="393">
        <f>U24</f>
        <v/>
      </c>
    </row>
    <row r="25" ht="23.1" customFormat="1" customHeight="1" s="393">
      <c r="A25" s="295" t="n"/>
      <c r="B25" s="307">
        <f>+B24+1</f>
        <v/>
      </c>
      <c r="C25" s="611" t="inlineStr">
        <is>
          <t>COD 04</t>
        </is>
      </c>
      <c r="D25" s="469">
        <f>_xlfn.XLOOKUP(C25,CODIGOS_Y_PAGOS[CODIGO],CODIGOS_Y_PAGOS[NOMBRE PARTICIPANTE],"")</f>
        <v/>
      </c>
      <c r="E25" s="298">
        <f>IF(D25="","",_xlfn.XLOOKUP($C25,BASE01[COD],BASE01[Columna14],"")+_xlfn.XLOOKUP($C25,SEMANA2[COD],SEMANA2[Columna14],""))</f>
        <v/>
      </c>
      <c r="F25" s="298">
        <f>IF(D25="","",_xlfn.XLOOKUP($C25,BASE01[COD],BASE01[Columna19],"")+_xlfn.XLOOKUP($C25,SEMANA2[COD],SEMANA2[Columna19],""))</f>
        <v/>
      </c>
      <c r="G25" s="299">
        <f>IFERROR(+F25/E25,"")</f>
        <v/>
      </c>
      <c r="H25" s="300">
        <f>IF(D25="","",_xlfn.XLOOKUP($C25,BASE01[COD],BASE01[Columna29],"")+_xlfn.XLOOKUP($C25,SEMANA2[COD],SEMANA2[Columna29],""))</f>
        <v/>
      </c>
      <c r="I25" s="300">
        <f>IF(D25="","",_xlfn.XLOOKUP($C25,BASE01[COD],BASE01[Columna30],"")+_xlfn.XLOOKUP($C25,SEMANA2[COD],SEMANA2[Columna30],""))</f>
        <v/>
      </c>
      <c r="J25" s="301">
        <f>IFERROR(+I25/H25,"")</f>
        <v/>
      </c>
      <c r="K25" s="302">
        <f>IF(D25="","",_xlfn.XLOOKUP($C25,BASE01[COD],BASE01[Columna32],"")+_xlfn.XLOOKUP($C25,SEMANA2[COD],SEMANA2[Columna32],""))</f>
        <v/>
      </c>
      <c r="L25" s="302">
        <f>IF(D25="","",_xlfn.XLOOKUP($C25,BASE01[COD],BASE01[Columna34],"")+_xlfn.XLOOKUP($C25,SEMANA2[COD],SEMANA2[Columna34],""))</f>
        <v/>
      </c>
      <c r="M25" s="303">
        <f>IFERROR(+L25/K25,"")</f>
        <v/>
      </c>
      <c r="N25" s="304">
        <f>IF(D25="","",_xlfn.XLOOKUP($C25,BASE01[COD],BASE01[Columna36],"")+_xlfn.XLOOKUP($C25,SEMANA2[COD],SEMANA2[Columna36],""))</f>
        <v/>
      </c>
      <c r="O25" s="304">
        <f>IF(D25="","",_xlfn.XLOOKUP($C25,BASE01[COD],BASE01[Columna37],"")+_xlfn.XLOOKUP($C25,SEMANA2[COD],SEMANA2[Columna37],""))</f>
        <v/>
      </c>
      <c r="P25" s="305">
        <f>IFERROR(+O25/N25,0)</f>
        <v/>
      </c>
      <c r="Q25" s="306">
        <f>_xlfn.XLOOKUP(C25,SEMANA2[COD],SEMANA2[Columna33],"")</f>
        <v/>
      </c>
      <c r="R25" s="3" t="n"/>
      <c r="U25" s="393" t="inlineStr">
        <is>
          <t>COD 04</t>
        </is>
      </c>
      <c r="V25" s="393">
        <f>U25</f>
        <v/>
      </c>
    </row>
    <row r="26" ht="23.1" customFormat="1" customHeight="1" s="393">
      <c r="A26" s="295" t="n"/>
      <c r="B26" s="308">
        <f>+B25+1</f>
        <v/>
      </c>
      <c r="C26" s="611" t="inlineStr">
        <is>
          <t>COD 06</t>
        </is>
      </c>
      <c r="D26" s="469">
        <f>_xlfn.XLOOKUP(C26,CODIGOS_Y_PAGOS[CODIGO],CODIGOS_Y_PAGOS[NOMBRE PARTICIPANTE],"")</f>
        <v/>
      </c>
      <c r="E26" s="298">
        <f>IF(D26="","",_xlfn.XLOOKUP($C26,BASE01[COD],BASE01[Columna14],"")+_xlfn.XLOOKUP($C26,SEMANA2[COD],SEMANA2[Columna14],""))</f>
        <v/>
      </c>
      <c r="F26" s="298">
        <f>IF(D26="","",_xlfn.XLOOKUP($C26,BASE01[COD],BASE01[Columna19],"")+_xlfn.XLOOKUP($C26,SEMANA2[COD],SEMANA2[Columna19],""))</f>
        <v/>
      </c>
      <c r="G26" s="299">
        <f>IFERROR(+F26/E26,"")</f>
        <v/>
      </c>
      <c r="H26" s="300">
        <f>IF(D26="","",_xlfn.XLOOKUP($C26,BASE01[COD],BASE01[Columna29],"")+_xlfn.XLOOKUP($C26,SEMANA2[COD],SEMANA2[Columna29],""))</f>
        <v/>
      </c>
      <c r="I26" s="300">
        <f>IF(D26="","",_xlfn.XLOOKUP($C26,BASE01[COD],BASE01[Columna30],"")+_xlfn.XLOOKUP($C26,SEMANA2[COD],SEMANA2[Columna30],""))</f>
        <v/>
      </c>
      <c r="J26" s="301">
        <f>IFERROR(+I26/H26,"")</f>
        <v/>
      </c>
      <c r="K26" s="302">
        <f>IF(D26="","",_xlfn.XLOOKUP($C26,BASE01[COD],BASE01[Columna32],"")+_xlfn.XLOOKUP($C26,SEMANA2[COD],SEMANA2[Columna32],""))</f>
        <v/>
      </c>
      <c r="L26" s="302">
        <f>IF(D26="","",_xlfn.XLOOKUP($C26,BASE01[COD],BASE01[Columna34],"")+_xlfn.XLOOKUP($C26,SEMANA2[COD],SEMANA2[Columna34],""))</f>
        <v/>
      </c>
      <c r="M26" s="303">
        <f>IFERROR(+L26/K26,"")</f>
        <v/>
      </c>
      <c r="N26" s="304">
        <f>IF(D26="","",_xlfn.XLOOKUP($C26,BASE01[COD],BASE01[Columna36],"")+_xlfn.XLOOKUP($C26,SEMANA2[COD],SEMANA2[Columna36],""))</f>
        <v/>
      </c>
      <c r="O26" s="304">
        <f>IF(D26="","",_xlfn.XLOOKUP($C26,BASE01[COD],BASE01[Columna37],"")+_xlfn.XLOOKUP($C26,SEMANA2[COD],SEMANA2[Columna37],""))</f>
        <v/>
      </c>
      <c r="P26" s="305">
        <f>IFERROR(+O26/N26,0)</f>
        <v/>
      </c>
      <c r="Q26" s="306">
        <f>_xlfn.XLOOKUP(C26,SEMANA2[COD],SEMANA2[Columna33],"")</f>
        <v/>
      </c>
      <c r="R26" s="3" t="n"/>
      <c r="U26" s="393" t="inlineStr">
        <is>
          <t>COD 06</t>
        </is>
      </c>
      <c r="V26" s="393">
        <f>U26</f>
        <v/>
      </c>
    </row>
    <row r="27" ht="23.1" customFormat="1" customHeight="1" s="393">
      <c r="A27" s="295" t="n"/>
      <c r="B27" s="307">
        <f>+B26+1</f>
        <v/>
      </c>
      <c r="C27" s="611" t="inlineStr">
        <is>
          <t>COD 36</t>
        </is>
      </c>
      <c r="D27" s="469">
        <f>_xlfn.XLOOKUP(C27,CODIGOS_Y_PAGOS[CODIGO],CODIGOS_Y_PAGOS[NOMBRE PARTICIPANTE],"")</f>
        <v/>
      </c>
      <c r="E27" s="298">
        <f>IF(D27="","",_xlfn.XLOOKUP($C27,BASE01[COD],BASE01[Columna14],"")+_xlfn.XLOOKUP($C27,SEMANA2[COD],SEMANA2[Columna14],""))</f>
        <v/>
      </c>
      <c r="F27" s="298">
        <f>IF(D27="","",_xlfn.XLOOKUP($C27,BASE01[COD],BASE01[Columna19],"")+_xlfn.XLOOKUP($C27,SEMANA2[COD],SEMANA2[Columna19],""))</f>
        <v/>
      </c>
      <c r="G27" s="299">
        <f>IFERROR(+F27/E27,"")</f>
        <v/>
      </c>
      <c r="H27" s="300">
        <f>IF(D27="","",_xlfn.XLOOKUP($C27,BASE01[COD],BASE01[Columna29],"")+_xlfn.XLOOKUP($C27,SEMANA2[COD],SEMANA2[Columna29],""))</f>
        <v/>
      </c>
      <c r="I27" s="300">
        <f>IF(D27="","",_xlfn.XLOOKUP($C27,BASE01[COD],BASE01[Columna30],"")+_xlfn.XLOOKUP($C27,SEMANA2[COD],SEMANA2[Columna30],""))</f>
        <v/>
      </c>
      <c r="J27" s="301">
        <f>IFERROR(+I27/H27,"")</f>
        <v/>
      </c>
      <c r="K27" s="302">
        <f>IF(D27="","",_xlfn.XLOOKUP($C27,BASE01[COD],BASE01[Columna32],"")+_xlfn.XLOOKUP($C27,SEMANA2[COD],SEMANA2[Columna32],""))</f>
        <v/>
      </c>
      <c r="L27" s="302">
        <f>IF(D27="","",_xlfn.XLOOKUP($C27,BASE01[COD],BASE01[Columna34],"")+_xlfn.XLOOKUP($C27,SEMANA2[COD],SEMANA2[Columna34],""))</f>
        <v/>
      </c>
      <c r="M27" s="303">
        <f>IFERROR(+L27/K27,"")</f>
        <v/>
      </c>
      <c r="N27" s="304">
        <f>IF(D27="","",_xlfn.XLOOKUP($C27,BASE01[COD],BASE01[Columna36],"")+_xlfn.XLOOKUP($C27,SEMANA2[COD],SEMANA2[Columna36],""))</f>
        <v/>
      </c>
      <c r="O27" s="304">
        <f>IF(D27="","",_xlfn.XLOOKUP($C27,BASE01[COD],BASE01[Columna37],"")+_xlfn.XLOOKUP($C27,SEMANA2[COD],SEMANA2[Columna37],""))</f>
        <v/>
      </c>
      <c r="P27" s="305">
        <f>IFERROR(+O27/N27,0)</f>
        <v/>
      </c>
      <c r="Q27" s="306">
        <f>_xlfn.XLOOKUP(C27,SEMANA2[COD],SEMANA2[Columna33],"")</f>
        <v/>
      </c>
      <c r="R27" s="3" t="n"/>
      <c r="U27" s="393" t="inlineStr">
        <is>
          <t>COD 36</t>
        </is>
      </c>
      <c r="V27" s="393">
        <f>U27</f>
        <v/>
      </c>
    </row>
    <row r="28" ht="23.1" customFormat="1" customHeight="1" s="393">
      <c r="A28" s="295" t="n"/>
      <c r="B28" s="307">
        <f>+B27+1</f>
        <v/>
      </c>
      <c r="C28" s="611" t="inlineStr">
        <is>
          <t>COD 37</t>
        </is>
      </c>
      <c r="D28" s="469">
        <f>_xlfn.XLOOKUP(C28,CODIGOS_Y_PAGOS[CODIGO],CODIGOS_Y_PAGOS[NOMBRE PARTICIPANTE],"")</f>
        <v/>
      </c>
      <c r="E28" s="298">
        <f>IF(D28="","",_xlfn.XLOOKUP($C28,BASE01[COD],BASE01[Columna14],"")+_xlfn.XLOOKUP($C28,SEMANA2[COD],SEMANA2[Columna14],""))</f>
        <v/>
      </c>
      <c r="F28" s="298">
        <f>IF(D28="","",_xlfn.XLOOKUP($C28,BASE01[COD],BASE01[Columna19],"")+_xlfn.XLOOKUP($C28,SEMANA2[COD],SEMANA2[Columna19],""))</f>
        <v/>
      </c>
      <c r="G28" s="299">
        <f>IFERROR(+F28/E28,"")</f>
        <v/>
      </c>
      <c r="H28" s="300">
        <f>IF(D28="","",_xlfn.XLOOKUP($C28,BASE01[COD],BASE01[Columna29],"")+_xlfn.XLOOKUP($C28,SEMANA2[COD],SEMANA2[Columna29],""))</f>
        <v/>
      </c>
      <c r="I28" s="300">
        <f>IF(D28="","",_xlfn.XLOOKUP($C28,BASE01[COD],BASE01[Columna30],"")+_xlfn.XLOOKUP($C28,SEMANA2[COD],SEMANA2[Columna30],""))</f>
        <v/>
      </c>
      <c r="J28" s="301">
        <f>IFERROR(+I28/H28,"")</f>
        <v/>
      </c>
      <c r="K28" s="302">
        <f>IF(D28="","",_xlfn.XLOOKUP($C28,BASE01[COD],BASE01[Columna32],"")+_xlfn.XLOOKUP($C28,SEMANA2[COD],SEMANA2[Columna32],""))</f>
        <v/>
      </c>
      <c r="L28" s="302">
        <f>IF(D28="","",_xlfn.XLOOKUP($C28,BASE01[COD],BASE01[Columna34],"")+_xlfn.XLOOKUP($C28,SEMANA2[COD],SEMANA2[Columna34],""))</f>
        <v/>
      </c>
      <c r="M28" s="303">
        <f>IFERROR(+L28/K28,"")</f>
        <v/>
      </c>
      <c r="N28" s="304">
        <f>IF(D28="","",_xlfn.XLOOKUP($C28,BASE01[COD],BASE01[Columna36],"")+_xlfn.XLOOKUP($C28,SEMANA2[COD],SEMANA2[Columna36],""))</f>
        <v/>
      </c>
      <c r="O28" s="304">
        <f>IF(D28="","",_xlfn.XLOOKUP($C28,BASE01[COD],BASE01[Columna37],"")+_xlfn.XLOOKUP($C28,SEMANA2[COD],SEMANA2[Columna37],""))</f>
        <v/>
      </c>
      <c r="P28" s="305">
        <f>IFERROR(+O28/N28,0)</f>
        <v/>
      </c>
      <c r="Q28" s="306">
        <f>_xlfn.XLOOKUP(C28,SEMANA2[COD],SEMANA2[Columna33],"")</f>
        <v/>
      </c>
      <c r="R28" s="3" t="n"/>
      <c r="U28" s="393" t="inlineStr">
        <is>
          <t>COD 37</t>
        </is>
      </c>
      <c r="V28" s="393">
        <f>U28</f>
        <v/>
      </c>
    </row>
    <row r="29" ht="23.1" customFormat="1" customHeight="1" s="393">
      <c r="A29" s="295" t="n"/>
      <c r="B29" s="307">
        <f>+B28+1</f>
        <v/>
      </c>
      <c r="C29" s="611" t="inlineStr">
        <is>
          <t>COD 33</t>
        </is>
      </c>
      <c r="D29" s="469">
        <f>_xlfn.XLOOKUP(C29,CODIGOS_Y_PAGOS[CODIGO],CODIGOS_Y_PAGOS[NOMBRE PARTICIPANTE],"")</f>
        <v/>
      </c>
      <c r="E29" s="298">
        <f>IF(D29="","",_xlfn.XLOOKUP($C29,BASE01[COD],BASE01[Columna14],"")+_xlfn.XLOOKUP($C29,SEMANA2[COD],SEMANA2[Columna14],""))</f>
        <v/>
      </c>
      <c r="F29" s="298">
        <f>IF(D29="","",_xlfn.XLOOKUP($C29,BASE01[COD],BASE01[Columna19],"")+_xlfn.XLOOKUP($C29,SEMANA2[COD],SEMANA2[Columna19],""))</f>
        <v/>
      </c>
      <c r="G29" s="299">
        <f>IFERROR(+F29/E29,"")</f>
        <v/>
      </c>
      <c r="H29" s="300">
        <f>IF(D29="","",_xlfn.XLOOKUP($C29,BASE01[COD],BASE01[Columna29],"")+_xlfn.XLOOKUP($C29,SEMANA2[COD],SEMANA2[Columna29],""))</f>
        <v/>
      </c>
      <c r="I29" s="300">
        <f>IF(D29="","",_xlfn.XLOOKUP($C29,BASE01[COD],BASE01[Columna30],"")+_xlfn.XLOOKUP($C29,SEMANA2[COD],SEMANA2[Columna30],""))</f>
        <v/>
      </c>
      <c r="J29" s="301">
        <f>IFERROR(+I29/H29,"")</f>
        <v/>
      </c>
      <c r="K29" s="302">
        <f>IF(D29="","",_xlfn.XLOOKUP($C29,BASE01[COD],BASE01[Columna32],"")+_xlfn.XLOOKUP($C29,SEMANA2[COD],SEMANA2[Columna32],""))</f>
        <v/>
      </c>
      <c r="L29" s="302">
        <f>IF(D29="","",_xlfn.XLOOKUP($C29,BASE01[COD],BASE01[Columna34],"")+_xlfn.XLOOKUP($C29,SEMANA2[COD],SEMANA2[Columna34],""))</f>
        <v/>
      </c>
      <c r="M29" s="303">
        <f>IFERROR(+L29/K29,"")</f>
        <v/>
      </c>
      <c r="N29" s="304">
        <f>IF(D29="","",_xlfn.XLOOKUP($C29,BASE01[COD],BASE01[Columna36],"")+_xlfn.XLOOKUP($C29,SEMANA2[COD],SEMANA2[Columna36],""))</f>
        <v/>
      </c>
      <c r="O29" s="304">
        <f>IF(D29="","",_xlfn.XLOOKUP($C29,BASE01[COD],BASE01[Columna37],"")+_xlfn.XLOOKUP($C29,SEMANA2[COD],SEMANA2[Columna37],""))</f>
        <v/>
      </c>
      <c r="P29" s="305">
        <f>IFERROR(+O29/N29,0)</f>
        <v/>
      </c>
      <c r="Q29" s="306">
        <f>_xlfn.XLOOKUP(C29,SEMANA2[COD],SEMANA2[Columna33],"")</f>
        <v/>
      </c>
      <c r="R29" s="3" t="n"/>
      <c r="U29" s="393" t="inlineStr">
        <is>
          <t>COD 33</t>
        </is>
      </c>
      <c r="V29" s="393">
        <f>U29</f>
        <v/>
      </c>
    </row>
    <row r="30" ht="23.1" customFormat="1" customHeight="1" s="393">
      <c r="A30" s="295" t="n"/>
      <c r="B30" s="307">
        <f>+B29+1</f>
        <v/>
      </c>
      <c r="C30" s="611" t="inlineStr">
        <is>
          <t>COD 07</t>
        </is>
      </c>
      <c r="D30" s="469">
        <f>_xlfn.XLOOKUP(C30,CODIGOS_Y_PAGOS[CODIGO],CODIGOS_Y_PAGOS[NOMBRE PARTICIPANTE],"")</f>
        <v/>
      </c>
      <c r="E30" s="298">
        <f>IF(D30="","",_xlfn.XLOOKUP($C30,BASE01[COD],BASE01[Columna14],"")+_xlfn.XLOOKUP($C30,SEMANA2[COD],SEMANA2[Columna14],""))</f>
        <v/>
      </c>
      <c r="F30" s="298">
        <f>IF(D30="","",_xlfn.XLOOKUP($C30,BASE01[COD],BASE01[Columna19],"")+_xlfn.XLOOKUP($C30,SEMANA2[COD],SEMANA2[Columna19],""))</f>
        <v/>
      </c>
      <c r="G30" s="299">
        <f>IFERROR(+F30/E30,"")</f>
        <v/>
      </c>
      <c r="H30" s="300">
        <f>IF(D30="","",_xlfn.XLOOKUP($C30,BASE01[COD],BASE01[Columna29],"")+_xlfn.XLOOKUP($C30,SEMANA2[COD],SEMANA2[Columna29],""))</f>
        <v/>
      </c>
      <c r="I30" s="300">
        <f>IF(D30="","",_xlfn.XLOOKUP($C30,BASE01[COD],BASE01[Columna30],"")+_xlfn.XLOOKUP($C30,SEMANA2[COD],SEMANA2[Columna30],""))</f>
        <v/>
      </c>
      <c r="J30" s="301">
        <f>IFERROR(+I30/H30,"")</f>
        <v/>
      </c>
      <c r="K30" s="302">
        <f>IF(D30="","",_xlfn.XLOOKUP($C30,BASE01[COD],BASE01[Columna32],"")+_xlfn.XLOOKUP($C30,SEMANA2[COD],SEMANA2[Columna32],""))</f>
        <v/>
      </c>
      <c r="L30" s="302">
        <f>IF(D30="","",_xlfn.XLOOKUP($C30,BASE01[COD],BASE01[Columna34],"")+_xlfn.XLOOKUP($C30,SEMANA2[COD],SEMANA2[Columna34],""))</f>
        <v/>
      </c>
      <c r="M30" s="303">
        <f>IFERROR(+L30/K30,"")</f>
        <v/>
      </c>
      <c r="N30" s="304">
        <f>IF(D30="","",_xlfn.XLOOKUP($C30,BASE01[COD],BASE01[Columna36],"")+_xlfn.XLOOKUP($C30,SEMANA2[COD],SEMANA2[Columna36],""))</f>
        <v/>
      </c>
      <c r="O30" s="304">
        <f>IF(D30="","",_xlfn.XLOOKUP($C30,BASE01[COD],BASE01[Columna37],"")+_xlfn.XLOOKUP($C30,SEMANA2[COD],SEMANA2[Columna37],""))</f>
        <v/>
      </c>
      <c r="P30" s="305">
        <f>IFERROR(+O30/N30,0)</f>
        <v/>
      </c>
      <c r="Q30" s="306">
        <f>_xlfn.XLOOKUP(C30,SEMANA2[COD],SEMANA2[Columna33],"")</f>
        <v/>
      </c>
      <c r="R30" s="3" t="n"/>
      <c r="U30" s="393" t="inlineStr">
        <is>
          <t>COD 07</t>
        </is>
      </c>
      <c r="V30" s="393">
        <f>U30</f>
        <v/>
      </c>
    </row>
    <row r="31" ht="23.1" customFormat="1" customHeight="1" s="393">
      <c r="A31" s="295" t="n"/>
      <c r="B31" s="307">
        <f>+B30+1</f>
        <v/>
      </c>
      <c r="C31" s="611" t="inlineStr">
        <is>
          <t>COD 31</t>
        </is>
      </c>
      <c r="D31" s="469">
        <f>_xlfn.XLOOKUP(C31,CODIGOS_Y_PAGOS[CODIGO],CODIGOS_Y_PAGOS[NOMBRE PARTICIPANTE],"")</f>
        <v/>
      </c>
      <c r="E31" s="298">
        <f>IF(D31="","",_xlfn.XLOOKUP($C31,BASE01[COD],BASE01[Columna14],"")+_xlfn.XLOOKUP($C31,SEMANA2[COD],SEMANA2[Columna14],""))</f>
        <v/>
      </c>
      <c r="F31" s="298">
        <f>IF(D31="","",_xlfn.XLOOKUP($C31,BASE01[COD],BASE01[Columna19],"")+_xlfn.XLOOKUP($C31,SEMANA2[COD],SEMANA2[Columna19],""))</f>
        <v/>
      </c>
      <c r="G31" s="299">
        <f>IFERROR(+F31/E31,"")</f>
        <v/>
      </c>
      <c r="H31" s="300">
        <f>IF(D31="","",_xlfn.XLOOKUP($C31,BASE01[COD],BASE01[Columna29],"")+_xlfn.XLOOKUP($C31,SEMANA2[COD],SEMANA2[Columna29],""))</f>
        <v/>
      </c>
      <c r="I31" s="300">
        <f>IF(D31="","",_xlfn.XLOOKUP($C31,BASE01[COD],BASE01[Columna30],"")+_xlfn.XLOOKUP($C31,SEMANA2[COD],SEMANA2[Columna30],""))</f>
        <v/>
      </c>
      <c r="J31" s="301">
        <f>IFERROR(+I31/H31,"")</f>
        <v/>
      </c>
      <c r="K31" s="302">
        <f>IF(D31="","",_xlfn.XLOOKUP($C31,BASE01[COD],BASE01[Columna32],"")+_xlfn.XLOOKUP($C31,SEMANA2[COD],SEMANA2[Columna32],""))</f>
        <v/>
      </c>
      <c r="L31" s="302">
        <f>IF(D31="","",_xlfn.XLOOKUP($C31,BASE01[COD],BASE01[Columna34],"")+_xlfn.XLOOKUP($C31,SEMANA2[COD],SEMANA2[Columna34],""))</f>
        <v/>
      </c>
      <c r="M31" s="303">
        <f>IFERROR(+L31/K31,"")</f>
        <v/>
      </c>
      <c r="N31" s="304">
        <f>IF(D31="","",_xlfn.XLOOKUP($C31,BASE01[COD],BASE01[Columna36],"")+_xlfn.XLOOKUP($C31,SEMANA2[COD],SEMANA2[Columna36],""))</f>
        <v/>
      </c>
      <c r="O31" s="304">
        <f>IF(D31="","",_xlfn.XLOOKUP($C31,BASE01[COD],BASE01[Columna37],"")+_xlfn.XLOOKUP($C31,SEMANA2[COD],SEMANA2[Columna37],""))</f>
        <v/>
      </c>
      <c r="P31" s="305">
        <f>IFERROR(+O31/N31,0)</f>
        <v/>
      </c>
      <c r="Q31" s="306">
        <f>_xlfn.XLOOKUP(C31,SEMANA2[COD],SEMANA2[Columna33],"")</f>
        <v/>
      </c>
      <c r="R31" s="3" t="n"/>
      <c r="U31" s="393" t="inlineStr">
        <is>
          <t>COD 31</t>
        </is>
      </c>
      <c r="V31" s="393">
        <f>U31</f>
        <v/>
      </c>
    </row>
    <row r="32" ht="23.1" customFormat="1" customHeight="1" s="393">
      <c r="A32" s="295" t="n"/>
      <c r="B32" s="307">
        <f>+B31+1</f>
        <v/>
      </c>
      <c r="C32" s="611" t="inlineStr">
        <is>
          <t>COD 35</t>
        </is>
      </c>
      <c r="D32" s="469">
        <f>_xlfn.XLOOKUP(C32,CODIGOS_Y_PAGOS[CODIGO],CODIGOS_Y_PAGOS[NOMBRE PARTICIPANTE],"")</f>
        <v/>
      </c>
      <c r="E32" s="298">
        <f>IF(D32="","",_xlfn.XLOOKUP($C32,BASE01[COD],BASE01[Columna14],"")+_xlfn.XLOOKUP($C32,SEMANA2[COD],SEMANA2[Columna14],""))</f>
        <v/>
      </c>
      <c r="F32" s="298">
        <f>IF(D32="","",_xlfn.XLOOKUP($C32,BASE01[COD],BASE01[Columna19],"")+_xlfn.XLOOKUP($C32,SEMANA2[COD],SEMANA2[Columna19],""))</f>
        <v/>
      </c>
      <c r="G32" s="299">
        <f>IFERROR(+F32/E32,"")</f>
        <v/>
      </c>
      <c r="H32" s="300">
        <f>IF(D32="","",_xlfn.XLOOKUP($C32,BASE01[COD],BASE01[Columna29],"")+_xlfn.XLOOKUP($C32,SEMANA2[COD],SEMANA2[Columna29],""))</f>
        <v/>
      </c>
      <c r="I32" s="300">
        <f>IF(D32="","",_xlfn.XLOOKUP($C32,BASE01[COD],BASE01[Columna30],"")+_xlfn.XLOOKUP($C32,SEMANA2[COD],SEMANA2[Columna30],""))</f>
        <v/>
      </c>
      <c r="J32" s="301">
        <f>IFERROR(+I32/H32,"")</f>
        <v/>
      </c>
      <c r="K32" s="302">
        <f>IF(D32="","",_xlfn.XLOOKUP($C32,BASE01[COD],BASE01[Columna32],"")+_xlfn.XLOOKUP($C32,SEMANA2[COD],SEMANA2[Columna32],""))</f>
        <v/>
      </c>
      <c r="L32" s="302">
        <f>IF(D32="","",_xlfn.XLOOKUP($C32,BASE01[COD],BASE01[Columna34],"")+_xlfn.XLOOKUP($C32,SEMANA2[COD],SEMANA2[Columna34],""))</f>
        <v/>
      </c>
      <c r="M32" s="303">
        <f>IFERROR(+L32/K32,"")</f>
        <v/>
      </c>
      <c r="N32" s="304">
        <f>IF(D32="","",_xlfn.XLOOKUP($C32,BASE01[COD],BASE01[Columna36],"")+_xlfn.XLOOKUP($C32,SEMANA2[COD],SEMANA2[Columna36],""))</f>
        <v/>
      </c>
      <c r="O32" s="304">
        <f>IF(D32="","",_xlfn.XLOOKUP($C32,BASE01[COD],BASE01[Columna37],"")+_xlfn.XLOOKUP($C32,SEMANA2[COD],SEMANA2[Columna37],""))</f>
        <v/>
      </c>
      <c r="P32" s="305">
        <f>IFERROR(+O32/N32,0)</f>
        <v/>
      </c>
      <c r="Q32" s="306">
        <f>_xlfn.XLOOKUP(C32,SEMANA2[COD],SEMANA2[Columna33],"")</f>
        <v/>
      </c>
      <c r="R32" s="3" t="n"/>
      <c r="U32" s="393" t="inlineStr">
        <is>
          <t>COD 35</t>
        </is>
      </c>
      <c r="V32" s="393">
        <f>U32</f>
        <v/>
      </c>
    </row>
    <row r="33" ht="23.1" customFormat="1" customHeight="1" s="393">
      <c r="A33" s="295" t="n"/>
      <c r="B33" s="307">
        <f>+B32+1</f>
        <v/>
      </c>
      <c r="C33" s="611" t="inlineStr">
        <is>
          <t>COD 13</t>
        </is>
      </c>
      <c r="D33" s="469">
        <f>_xlfn.XLOOKUP(C33,CODIGOS_Y_PAGOS[CODIGO],CODIGOS_Y_PAGOS[NOMBRE PARTICIPANTE],"")</f>
        <v/>
      </c>
      <c r="E33" s="298">
        <f>IF(D33="","",_xlfn.XLOOKUP($C33,BASE01[COD],BASE01[Columna14],"")+_xlfn.XLOOKUP($C33,SEMANA2[COD],SEMANA2[Columna14],""))</f>
        <v/>
      </c>
      <c r="F33" s="298">
        <f>IF(D33="","",_xlfn.XLOOKUP($C33,BASE01[COD],BASE01[Columna19],"")+_xlfn.XLOOKUP($C33,SEMANA2[COD],SEMANA2[Columna19],""))</f>
        <v/>
      </c>
      <c r="G33" s="299">
        <f>IFERROR(+F33/E33,"")</f>
        <v/>
      </c>
      <c r="H33" s="300">
        <f>IF(D33="","",_xlfn.XLOOKUP($C33,BASE01[COD],BASE01[Columna29],"")+_xlfn.XLOOKUP($C33,SEMANA2[COD],SEMANA2[Columna29],""))</f>
        <v/>
      </c>
      <c r="I33" s="300">
        <f>IF(D33="","",_xlfn.XLOOKUP($C33,BASE01[COD],BASE01[Columna30],"")+_xlfn.XLOOKUP($C33,SEMANA2[COD],SEMANA2[Columna30],""))</f>
        <v/>
      </c>
      <c r="J33" s="301">
        <f>IFERROR(+I33/H33,"")</f>
        <v/>
      </c>
      <c r="K33" s="302">
        <f>IF(D33="","",_xlfn.XLOOKUP($C33,BASE01[COD],BASE01[Columna32],"")+_xlfn.XLOOKUP($C33,SEMANA2[COD],SEMANA2[Columna32],""))</f>
        <v/>
      </c>
      <c r="L33" s="302">
        <f>IF(D33="","",_xlfn.XLOOKUP($C33,BASE01[COD],BASE01[Columna34],"")+_xlfn.XLOOKUP($C33,SEMANA2[COD],SEMANA2[Columna34],""))</f>
        <v/>
      </c>
      <c r="M33" s="303">
        <f>IFERROR(+L33/K33,"")</f>
        <v/>
      </c>
      <c r="N33" s="304">
        <f>IF(D33="","",_xlfn.XLOOKUP($C33,BASE01[COD],BASE01[Columna36],"")+_xlfn.XLOOKUP($C33,SEMANA2[COD],SEMANA2[Columna36],""))</f>
        <v/>
      </c>
      <c r="O33" s="304">
        <f>IF(D33="","",_xlfn.XLOOKUP($C33,BASE01[COD],BASE01[Columna37],"")+_xlfn.XLOOKUP($C33,SEMANA2[COD],SEMANA2[Columna37],""))</f>
        <v/>
      </c>
      <c r="P33" s="305">
        <f>IFERROR(+O33/N33,0)</f>
        <v/>
      </c>
      <c r="Q33" s="306">
        <f>_xlfn.XLOOKUP(C33,SEMANA2[COD],SEMANA2[Columna33],"")</f>
        <v/>
      </c>
      <c r="R33" s="3" t="n"/>
      <c r="U33" s="393" t="inlineStr">
        <is>
          <t>COD 13</t>
        </is>
      </c>
      <c r="V33" s="393">
        <f>U33</f>
        <v/>
      </c>
    </row>
    <row r="34" ht="23.1" customFormat="1" customHeight="1" s="393">
      <c r="A34" s="295" t="n"/>
      <c r="B34" s="307">
        <f>+B33+1</f>
        <v/>
      </c>
      <c r="C34" s="611" t="inlineStr">
        <is>
          <t>COD 14</t>
        </is>
      </c>
      <c r="D34" s="469">
        <f>_xlfn.XLOOKUP(C34,CODIGOS_Y_PAGOS[CODIGO],CODIGOS_Y_PAGOS[NOMBRE PARTICIPANTE],"")</f>
        <v/>
      </c>
      <c r="E34" s="298">
        <f>IF(D34="","",_xlfn.XLOOKUP($C34,BASE01[COD],BASE01[Columna14],"")+_xlfn.XLOOKUP($C34,SEMANA2[COD],SEMANA2[Columna14],""))</f>
        <v/>
      </c>
      <c r="F34" s="298">
        <f>IF(D34="","",_xlfn.XLOOKUP($C34,BASE01[COD],BASE01[Columna19],"")+_xlfn.XLOOKUP($C34,SEMANA2[COD],SEMANA2[Columna19],""))</f>
        <v/>
      </c>
      <c r="G34" s="299">
        <f>IFERROR(+F34/E34,"")</f>
        <v/>
      </c>
      <c r="H34" s="300">
        <f>IF(D34="","",_xlfn.XLOOKUP($C34,BASE01[COD],BASE01[Columna29],"")+_xlfn.XLOOKUP($C34,SEMANA2[COD],SEMANA2[Columna29],""))</f>
        <v/>
      </c>
      <c r="I34" s="300">
        <f>IF(D34="","",_xlfn.XLOOKUP($C34,BASE01[COD],BASE01[Columna30],"")+_xlfn.XLOOKUP($C34,SEMANA2[COD],SEMANA2[Columna30],""))</f>
        <v/>
      </c>
      <c r="J34" s="301">
        <f>IFERROR(+I34/H34,"")</f>
        <v/>
      </c>
      <c r="K34" s="302">
        <f>IF(D34="","",_xlfn.XLOOKUP($C34,BASE01[COD],BASE01[Columna32],"")+_xlfn.XLOOKUP($C34,SEMANA2[COD],SEMANA2[Columna32],""))</f>
        <v/>
      </c>
      <c r="L34" s="302">
        <f>IF(D34="","",_xlfn.XLOOKUP($C34,BASE01[COD],BASE01[Columna34],"")+_xlfn.XLOOKUP($C34,SEMANA2[COD],SEMANA2[Columna34],""))</f>
        <v/>
      </c>
      <c r="M34" s="303">
        <f>IFERROR(+L34/K34,"")</f>
        <v/>
      </c>
      <c r="N34" s="304">
        <f>IF(D34="","",_xlfn.XLOOKUP($C34,BASE01[COD],BASE01[Columna36],"")+_xlfn.XLOOKUP($C34,SEMANA2[COD],SEMANA2[Columna36],""))</f>
        <v/>
      </c>
      <c r="O34" s="304">
        <f>IF(D34="","",_xlfn.XLOOKUP($C34,BASE01[COD],BASE01[Columna37],"")+_xlfn.XLOOKUP($C34,SEMANA2[COD],SEMANA2[Columna37],""))</f>
        <v/>
      </c>
      <c r="P34" s="305">
        <f>IFERROR(+O34/N34,0)</f>
        <v/>
      </c>
      <c r="Q34" s="306">
        <f>_xlfn.XLOOKUP(C34,SEMANA2[COD],SEMANA2[Columna33],"")</f>
        <v/>
      </c>
      <c r="R34" s="3" t="n"/>
      <c r="U34" s="393" t="inlineStr">
        <is>
          <t>COD 14</t>
        </is>
      </c>
      <c r="V34" s="393">
        <f>U34</f>
        <v/>
      </c>
    </row>
    <row r="35" ht="23.1" customFormat="1" customHeight="1" s="393">
      <c r="A35" s="295" t="n"/>
      <c r="B35" s="307">
        <f>+B34+1</f>
        <v/>
      </c>
      <c r="C35" s="611" t="inlineStr">
        <is>
          <t>COD 17</t>
        </is>
      </c>
      <c r="D35" s="469">
        <f>_xlfn.XLOOKUP(C35,CODIGOS_Y_PAGOS[CODIGO],CODIGOS_Y_PAGOS[NOMBRE PARTICIPANTE],"")</f>
        <v/>
      </c>
      <c r="E35" s="298">
        <f>IF(D35="","",_xlfn.XLOOKUP($C35,BASE01[COD],BASE01[Columna14],"")+_xlfn.XLOOKUP($C35,SEMANA2[COD],SEMANA2[Columna14],""))</f>
        <v/>
      </c>
      <c r="F35" s="298">
        <f>IF(D35="","",_xlfn.XLOOKUP($C35,BASE01[COD],BASE01[Columna19],"")+_xlfn.XLOOKUP($C35,SEMANA2[COD],SEMANA2[Columna19],""))</f>
        <v/>
      </c>
      <c r="G35" s="299">
        <f>IFERROR(+F35/E35,"")</f>
        <v/>
      </c>
      <c r="H35" s="300">
        <f>IF(D35="","",_xlfn.XLOOKUP($C35,BASE01[COD],BASE01[Columna29],"")+_xlfn.XLOOKUP($C35,SEMANA2[COD],SEMANA2[Columna29],""))</f>
        <v/>
      </c>
      <c r="I35" s="300">
        <f>IF(D35="","",_xlfn.XLOOKUP($C35,BASE01[COD],BASE01[Columna30],"")+_xlfn.XLOOKUP($C35,SEMANA2[COD],SEMANA2[Columna30],""))</f>
        <v/>
      </c>
      <c r="J35" s="301">
        <f>IFERROR(+I35/H35,"")</f>
        <v/>
      </c>
      <c r="K35" s="302">
        <f>IF(D35="","",_xlfn.XLOOKUP($C35,BASE01[COD],BASE01[Columna32],"")+_xlfn.XLOOKUP($C35,SEMANA2[COD],SEMANA2[Columna32],""))</f>
        <v/>
      </c>
      <c r="L35" s="302">
        <f>IF(D35="","",_xlfn.XLOOKUP($C35,BASE01[COD],BASE01[Columna34],"")+_xlfn.XLOOKUP($C35,SEMANA2[COD],SEMANA2[Columna34],""))</f>
        <v/>
      </c>
      <c r="M35" s="303">
        <f>IFERROR(+L35/K35,"")</f>
        <v/>
      </c>
      <c r="N35" s="304">
        <f>IF(D35="","",_xlfn.XLOOKUP($C35,BASE01[COD],BASE01[Columna36],"")+_xlfn.XLOOKUP($C35,SEMANA2[COD],SEMANA2[Columna36],""))</f>
        <v/>
      </c>
      <c r="O35" s="304">
        <f>IF(D35="","",_xlfn.XLOOKUP($C35,BASE01[COD],BASE01[Columna37],"")+_xlfn.XLOOKUP($C35,SEMANA2[COD],SEMANA2[Columna37],""))</f>
        <v/>
      </c>
      <c r="P35" s="305">
        <f>IFERROR(+O35/N35,0)</f>
        <v/>
      </c>
      <c r="Q35" s="306">
        <f>_xlfn.XLOOKUP(C35,SEMANA2[COD],SEMANA2[Columna33],"")</f>
        <v/>
      </c>
      <c r="R35" s="3" t="n"/>
      <c r="U35" s="393" t="inlineStr">
        <is>
          <t>COD 17</t>
        </is>
      </c>
      <c r="V35" s="393">
        <f>U35</f>
        <v/>
      </c>
    </row>
    <row r="36" ht="23.1" customFormat="1" customHeight="1" s="393">
      <c r="A36" s="295" t="n"/>
      <c r="B36" s="307">
        <f>+B35+1</f>
        <v/>
      </c>
      <c r="C36" s="611" t="inlineStr">
        <is>
          <t>COD 18</t>
        </is>
      </c>
      <c r="D36" s="469">
        <f>_xlfn.XLOOKUP(C36,CODIGOS_Y_PAGOS[CODIGO],CODIGOS_Y_PAGOS[NOMBRE PARTICIPANTE],"")</f>
        <v/>
      </c>
      <c r="E36" s="298">
        <f>IF(D36="","",_xlfn.XLOOKUP($C36,BASE01[COD],BASE01[Columna14],"")+_xlfn.XLOOKUP($C36,SEMANA2[COD],SEMANA2[Columna14],""))</f>
        <v/>
      </c>
      <c r="F36" s="298">
        <f>IF(D36="","",_xlfn.XLOOKUP($C36,BASE01[COD],BASE01[Columna19],"")+_xlfn.XLOOKUP($C36,SEMANA2[COD],SEMANA2[Columna19],""))</f>
        <v/>
      </c>
      <c r="G36" s="299">
        <f>IFERROR(+F36/E36,"")</f>
        <v/>
      </c>
      <c r="H36" s="300">
        <f>IF(D36="","",_xlfn.XLOOKUP($C36,BASE01[COD],BASE01[Columna29],"")+_xlfn.XLOOKUP($C36,SEMANA2[COD],SEMANA2[Columna29],""))</f>
        <v/>
      </c>
      <c r="I36" s="300">
        <f>IF(D36="","",_xlfn.XLOOKUP($C36,BASE01[COD],BASE01[Columna30],"")+_xlfn.XLOOKUP($C36,SEMANA2[COD],SEMANA2[Columna30],""))</f>
        <v/>
      </c>
      <c r="J36" s="301">
        <f>IFERROR(+I36/H36,"")</f>
        <v/>
      </c>
      <c r="K36" s="302">
        <f>IF(D36="","",_xlfn.XLOOKUP($C36,BASE01[COD],BASE01[Columna32],"")+_xlfn.XLOOKUP($C36,SEMANA2[COD],SEMANA2[Columna32],""))</f>
        <v/>
      </c>
      <c r="L36" s="302">
        <f>IF(D36="","",_xlfn.XLOOKUP($C36,BASE01[COD],BASE01[Columna34],"")+_xlfn.XLOOKUP($C36,SEMANA2[COD],SEMANA2[Columna34],""))</f>
        <v/>
      </c>
      <c r="M36" s="303">
        <f>IFERROR(+L36/K36,"")</f>
        <v/>
      </c>
      <c r="N36" s="304">
        <f>IF(D36="","",_xlfn.XLOOKUP($C36,BASE01[COD],BASE01[Columna36],"")+_xlfn.XLOOKUP($C36,SEMANA2[COD],SEMANA2[Columna36],""))</f>
        <v/>
      </c>
      <c r="O36" s="304">
        <f>IF(D36="","",_xlfn.XLOOKUP($C36,BASE01[COD],BASE01[Columna37],"")+_xlfn.XLOOKUP($C36,SEMANA2[COD],SEMANA2[Columna37],""))</f>
        <v/>
      </c>
      <c r="P36" s="305">
        <f>IFERROR(+O36/N36,0)</f>
        <v/>
      </c>
      <c r="Q36" s="306">
        <f>_xlfn.XLOOKUP(C36,SEMANA2[COD],SEMANA2[Columna33],"")</f>
        <v/>
      </c>
      <c r="R36" s="3" t="n"/>
      <c r="U36" s="393" t="inlineStr">
        <is>
          <t>COD 18</t>
        </is>
      </c>
      <c r="V36" s="393">
        <f>U36</f>
        <v/>
      </c>
    </row>
    <row r="37" ht="23.1" customFormat="1" customHeight="1" s="393">
      <c r="A37" s="295" t="n"/>
      <c r="B37" s="307">
        <f>+B36+1</f>
        <v/>
      </c>
      <c r="C37" s="611" t="inlineStr">
        <is>
          <t>COD 20</t>
        </is>
      </c>
      <c r="D37" s="469">
        <f>_xlfn.XLOOKUP(C37,CODIGOS_Y_PAGOS[CODIGO],CODIGOS_Y_PAGOS[NOMBRE PARTICIPANTE],"")</f>
        <v/>
      </c>
      <c r="E37" s="298">
        <f>IF(D37="","",_xlfn.XLOOKUP($C37,BASE01[COD],BASE01[Columna14],"")+_xlfn.XLOOKUP($C37,SEMANA2[COD],SEMANA2[Columna14],""))</f>
        <v/>
      </c>
      <c r="F37" s="298">
        <f>IF(D37="","",_xlfn.XLOOKUP($C37,BASE01[COD],BASE01[Columna19],"")+_xlfn.XLOOKUP($C37,SEMANA2[COD],SEMANA2[Columna19],""))</f>
        <v/>
      </c>
      <c r="G37" s="299">
        <f>IFERROR(+F37/E37,"")</f>
        <v/>
      </c>
      <c r="H37" s="300">
        <f>IF(D37="","",_xlfn.XLOOKUP($C37,BASE01[COD],BASE01[Columna29],"")+_xlfn.XLOOKUP($C37,SEMANA2[COD],SEMANA2[Columna29],""))</f>
        <v/>
      </c>
      <c r="I37" s="300">
        <f>IF(D37="","",_xlfn.XLOOKUP($C37,BASE01[COD],BASE01[Columna30],"")+_xlfn.XLOOKUP($C37,SEMANA2[COD],SEMANA2[Columna30],""))</f>
        <v/>
      </c>
      <c r="J37" s="301">
        <f>IFERROR(+I37/H37,"")</f>
        <v/>
      </c>
      <c r="K37" s="302">
        <f>IF(D37="","",_xlfn.XLOOKUP($C37,BASE01[COD],BASE01[Columna32],"")+_xlfn.XLOOKUP($C37,SEMANA2[COD],SEMANA2[Columna32],""))</f>
        <v/>
      </c>
      <c r="L37" s="302">
        <f>IF(D37="","",_xlfn.XLOOKUP($C37,BASE01[COD],BASE01[Columna34],"")+_xlfn.XLOOKUP($C37,SEMANA2[COD],SEMANA2[Columna34],""))</f>
        <v/>
      </c>
      <c r="M37" s="303">
        <f>IFERROR(+L37/K37,"")</f>
        <v/>
      </c>
      <c r="N37" s="304">
        <f>IF(D37="","",_xlfn.XLOOKUP($C37,BASE01[COD],BASE01[Columna36],"")+_xlfn.XLOOKUP($C37,SEMANA2[COD],SEMANA2[Columna36],""))</f>
        <v/>
      </c>
      <c r="O37" s="304">
        <f>IF(D37="","",_xlfn.XLOOKUP($C37,BASE01[COD],BASE01[Columna37],"")+_xlfn.XLOOKUP($C37,SEMANA2[COD],SEMANA2[Columna37],""))</f>
        <v/>
      </c>
      <c r="P37" s="305">
        <f>IFERROR(+O37/N37,0)</f>
        <v/>
      </c>
      <c r="Q37" s="306">
        <f>_xlfn.XLOOKUP(C37,SEMANA2[COD],SEMANA2[Columna33],"")</f>
        <v/>
      </c>
      <c r="R37" s="3" t="n"/>
      <c r="U37" s="393" t="inlineStr">
        <is>
          <t>COD 20</t>
        </is>
      </c>
      <c r="V37" s="393">
        <f>U37</f>
        <v/>
      </c>
    </row>
    <row r="38" ht="23.1" customFormat="1" customHeight="1" s="393">
      <c r="A38" s="295" t="n"/>
      <c r="B38" s="307">
        <f>+B37+1</f>
        <v/>
      </c>
      <c r="C38" s="611" t="inlineStr">
        <is>
          <t>COD 26</t>
        </is>
      </c>
      <c r="D38" s="469">
        <f>_xlfn.XLOOKUP(C38,CODIGOS_Y_PAGOS[CODIGO],CODIGOS_Y_PAGOS[NOMBRE PARTICIPANTE],"")</f>
        <v/>
      </c>
      <c r="E38" s="298">
        <f>IF(D38="","",_xlfn.XLOOKUP($C38,BASE01[COD],BASE01[Columna14],"")+_xlfn.XLOOKUP($C38,SEMANA2[COD],SEMANA2[Columna14],""))</f>
        <v/>
      </c>
      <c r="F38" s="298">
        <f>IF(D38="","",_xlfn.XLOOKUP($C38,BASE01[COD],BASE01[Columna19],"")+_xlfn.XLOOKUP($C38,SEMANA2[COD],SEMANA2[Columna19],""))</f>
        <v/>
      </c>
      <c r="G38" s="299">
        <f>IFERROR(+F38/E38,"")</f>
        <v/>
      </c>
      <c r="H38" s="300">
        <f>IF(D38="","",_xlfn.XLOOKUP($C38,BASE01[COD],BASE01[Columna29],"")+_xlfn.XLOOKUP($C38,SEMANA2[COD],SEMANA2[Columna29],""))</f>
        <v/>
      </c>
      <c r="I38" s="300">
        <f>IF(D38="","",_xlfn.XLOOKUP($C38,BASE01[COD],BASE01[Columna30],"")+_xlfn.XLOOKUP($C38,SEMANA2[COD],SEMANA2[Columna30],""))</f>
        <v/>
      </c>
      <c r="J38" s="301">
        <f>IFERROR(+I38/H38,"")</f>
        <v/>
      </c>
      <c r="K38" s="302">
        <f>IF(D38="","",_xlfn.XLOOKUP($C38,BASE01[COD],BASE01[Columna32],"")+_xlfn.XLOOKUP($C38,SEMANA2[COD],SEMANA2[Columna32],""))</f>
        <v/>
      </c>
      <c r="L38" s="302">
        <f>IF(D38="","",_xlfn.XLOOKUP($C38,BASE01[COD],BASE01[Columna34],"")+_xlfn.XLOOKUP($C38,SEMANA2[COD],SEMANA2[Columna34],""))</f>
        <v/>
      </c>
      <c r="M38" s="303">
        <f>IFERROR(+L38/K38,"")</f>
        <v/>
      </c>
      <c r="N38" s="304">
        <f>IF(D38="","",_xlfn.XLOOKUP($C38,BASE01[COD],BASE01[Columna36],"")+_xlfn.XLOOKUP($C38,SEMANA2[COD],SEMANA2[Columna36],""))</f>
        <v/>
      </c>
      <c r="O38" s="304">
        <f>IF(D38="","",_xlfn.XLOOKUP($C38,BASE01[COD],BASE01[Columna37],"")+_xlfn.XLOOKUP($C38,SEMANA2[COD],SEMANA2[Columna37],""))</f>
        <v/>
      </c>
      <c r="P38" s="305">
        <f>IFERROR(+O38/N38,0)</f>
        <v/>
      </c>
      <c r="Q38" s="306">
        <f>_xlfn.XLOOKUP(C38,SEMANA2[COD],SEMANA2[Columna33],"")</f>
        <v/>
      </c>
      <c r="R38" s="3" t="n"/>
      <c r="U38" s="393" t="inlineStr">
        <is>
          <t>COD 26</t>
        </is>
      </c>
      <c r="V38" s="393">
        <f>U38</f>
        <v/>
      </c>
    </row>
    <row r="39" ht="23.1" customFormat="1" customHeight="1" s="393">
      <c r="A39" s="295" t="n"/>
      <c r="B39" s="307">
        <f>+B38+1</f>
        <v/>
      </c>
      <c r="C39" s="611" t="inlineStr">
        <is>
          <t>COD 12</t>
        </is>
      </c>
      <c r="D39" s="469">
        <f>_xlfn.XLOOKUP(C39,CODIGOS_Y_PAGOS[CODIGO],CODIGOS_Y_PAGOS[NOMBRE PARTICIPANTE],"")</f>
        <v/>
      </c>
      <c r="E39" s="298">
        <f>IF(D39="","",_xlfn.XLOOKUP($C39,BASE01[COD],BASE01[Columna14],"")+_xlfn.XLOOKUP($C39,SEMANA2[COD],SEMANA2[Columna14],""))</f>
        <v/>
      </c>
      <c r="F39" s="298">
        <f>IF(D39="","",_xlfn.XLOOKUP($C39,BASE01[COD],BASE01[Columna19],"")+_xlfn.XLOOKUP($C39,SEMANA2[COD],SEMANA2[Columna19],""))</f>
        <v/>
      </c>
      <c r="G39" s="299">
        <f>IFERROR(+F39/E39,"")</f>
        <v/>
      </c>
      <c r="H39" s="300">
        <f>IF(D39="","",_xlfn.XLOOKUP($C39,BASE01[COD],BASE01[Columna29],"")+_xlfn.XLOOKUP($C39,SEMANA2[COD],SEMANA2[Columna29],""))</f>
        <v/>
      </c>
      <c r="I39" s="300">
        <f>IF(D39="","",_xlfn.XLOOKUP($C39,BASE01[COD],BASE01[Columna30],"")+_xlfn.XLOOKUP($C39,SEMANA2[COD],SEMANA2[Columna30],""))</f>
        <v/>
      </c>
      <c r="J39" s="301">
        <f>IFERROR(+I39/H39,"")</f>
        <v/>
      </c>
      <c r="K39" s="302">
        <f>IF(D39="","",_xlfn.XLOOKUP($C39,BASE01[COD],BASE01[Columna32],"")+_xlfn.XLOOKUP($C39,SEMANA2[COD],SEMANA2[Columna32],""))</f>
        <v/>
      </c>
      <c r="L39" s="302">
        <f>IF(D39="","",_xlfn.XLOOKUP($C39,BASE01[COD],BASE01[Columna34],"")+_xlfn.XLOOKUP($C39,SEMANA2[COD],SEMANA2[Columna34],""))</f>
        <v/>
      </c>
      <c r="M39" s="303">
        <f>IFERROR(+L39/K39,"")</f>
        <v/>
      </c>
      <c r="N39" s="304">
        <f>IF(D39="","",_xlfn.XLOOKUP($C39,BASE01[COD],BASE01[Columna36],"")+_xlfn.XLOOKUP($C39,SEMANA2[COD],SEMANA2[Columna36],""))</f>
        <v/>
      </c>
      <c r="O39" s="304">
        <f>IF(D39="","",_xlfn.XLOOKUP($C39,BASE01[COD],BASE01[Columna37],"")+_xlfn.XLOOKUP($C39,SEMANA2[COD],SEMANA2[Columna37],""))</f>
        <v/>
      </c>
      <c r="P39" s="305">
        <f>IFERROR(+O39/N39,0)</f>
        <v/>
      </c>
      <c r="Q39" s="306">
        <f>_xlfn.XLOOKUP(C39,SEMANA2[COD],SEMANA2[Columna33],"")</f>
        <v/>
      </c>
      <c r="R39" s="3" t="n"/>
      <c r="U39" s="393" t="inlineStr">
        <is>
          <t>COD 12</t>
        </is>
      </c>
      <c r="V39" s="393">
        <f>U39</f>
        <v/>
      </c>
    </row>
    <row r="40" ht="23.1" customFormat="1" customHeight="1" s="393">
      <c r="A40" s="295" t="n"/>
      <c r="B40" s="307">
        <f>+B39+1</f>
        <v/>
      </c>
      <c r="C40" s="611" t="inlineStr">
        <is>
          <t>COD 38</t>
        </is>
      </c>
      <c r="D40" s="469">
        <f>_xlfn.XLOOKUP(C40,CODIGOS_Y_PAGOS[CODIGO],CODIGOS_Y_PAGOS[NOMBRE PARTICIPANTE],"")</f>
        <v/>
      </c>
      <c r="E40" s="298">
        <f>IF(D40="","",_xlfn.XLOOKUP($C40,BASE01[COD],BASE01[Columna14],"")+_xlfn.XLOOKUP($C40,SEMANA2[COD],SEMANA2[Columna14],""))</f>
        <v/>
      </c>
      <c r="F40" s="298">
        <f>IF(D40="","",_xlfn.XLOOKUP($C40,BASE01[COD],BASE01[Columna19],"")+_xlfn.XLOOKUP($C40,SEMANA2[COD],SEMANA2[Columna19],""))</f>
        <v/>
      </c>
      <c r="G40" s="299">
        <f>IFERROR(+F40/E40,"")</f>
        <v/>
      </c>
      <c r="H40" s="300">
        <f>IF(D40="","",_xlfn.XLOOKUP($C40,BASE01[COD],BASE01[Columna29],"")+_xlfn.XLOOKUP($C40,SEMANA2[COD],SEMANA2[Columna29],""))</f>
        <v/>
      </c>
      <c r="I40" s="300">
        <f>IF(D40="","",_xlfn.XLOOKUP($C40,BASE01[COD],BASE01[Columna30],"")+_xlfn.XLOOKUP($C40,SEMANA2[COD],SEMANA2[Columna30],""))</f>
        <v/>
      </c>
      <c r="J40" s="301">
        <f>IFERROR(+I40/H40,"")</f>
        <v/>
      </c>
      <c r="K40" s="302">
        <f>IF(D40="","",_xlfn.XLOOKUP($C40,BASE01[COD],BASE01[Columna32],"")+_xlfn.XLOOKUP($C40,SEMANA2[COD],SEMANA2[Columna32],""))</f>
        <v/>
      </c>
      <c r="L40" s="302">
        <f>IF(D40="","",_xlfn.XLOOKUP($C40,BASE01[COD],BASE01[Columna34],"")+_xlfn.XLOOKUP($C40,SEMANA2[COD],SEMANA2[Columna34],""))</f>
        <v/>
      </c>
      <c r="M40" s="303">
        <f>IFERROR(+L40/K40,"")</f>
        <v/>
      </c>
      <c r="N40" s="304">
        <f>IF(D40="","",_xlfn.XLOOKUP($C40,BASE01[COD],BASE01[Columna36],"")+_xlfn.XLOOKUP($C40,SEMANA2[COD],SEMANA2[Columna36],""))</f>
        <v/>
      </c>
      <c r="O40" s="304">
        <f>IF(D40="","",_xlfn.XLOOKUP($C40,BASE01[COD],BASE01[Columna37],"")+_xlfn.XLOOKUP($C40,SEMANA2[COD],SEMANA2[Columna37],""))</f>
        <v/>
      </c>
      <c r="P40" s="305">
        <f>IFERROR(+O40/N40,0)</f>
        <v/>
      </c>
      <c r="Q40" s="306">
        <f>_xlfn.XLOOKUP(C40,SEMANA2[COD],SEMANA2[Columna33],"")</f>
        <v/>
      </c>
      <c r="R40" s="3" t="n"/>
      <c r="U40" s="393" t="inlineStr">
        <is>
          <t>COD 38</t>
        </is>
      </c>
      <c r="V40" s="393">
        <f>U40</f>
        <v/>
      </c>
    </row>
    <row r="41" ht="23.1" customFormat="1" customHeight="1" s="393">
      <c r="A41" s="295" t="n"/>
      <c r="B41" s="307">
        <f>+B40+1</f>
        <v/>
      </c>
      <c r="C41" s="611" t="inlineStr">
        <is>
          <t>COD 24</t>
        </is>
      </c>
      <c r="D41" s="469">
        <f>_xlfn.XLOOKUP(C41,CODIGOS_Y_PAGOS[CODIGO],CODIGOS_Y_PAGOS[NOMBRE PARTICIPANTE],"")</f>
        <v/>
      </c>
      <c r="E41" s="298">
        <f>IF(D41="","",_xlfn.XLOOKUP($C41,BASE01[COD],BASE01[Columna14],"")+_xlfn.XLOOKUP($C41,SEMANA2[COD],SEMANA2[Columna14],""))</f>
        <v/>
      </c>
      <c r="F41" s="298">
        <f>IF(D41="","",_xlfn.XLOOKUP($C41,BASE01[COD],BASE01[Columna19],"")+_xlfn.XLOOKUP($C41,SEMANA2[COD],SEMANA2[Columna19],""))</f>
        <v/>
      </c>
      <c r="G41" s="299">
        <f>IFERROR(+F41/E41,"")</f>
        <v/>
      </c>
      <c r="H41" s="300">
        <f>IF(D41="","",_xlfn.XLOOKUP($C41,BASE01[COD],BASE01[Columna29],"")+_xlfn.XLOOKUP($C41,SEMANA2[COD],SEMANA2[Columna29],""))</f>
        <v/>
      </c>
      <c r="I41" s="300">
        <f>IF(D41="","",_xlfn.XLOOKUP($C41,BASE01[COD],BASE01[Columna30],"")+_xlfn.XLOOKUP($C41,SEMANA2[COD],SEMANA2[Columna30],""))</f>
        <v/>
      </c>
      <c r="J41" s="301">
        <f>IFERROR(+I41/H41,"")</f>
        <v/>
      </c>
      <c r="K41" s="302">
        <f>IF(D41="","",_xlfn.XLOOKUP($C41,BASE01[COD],BASE01[Columna32],"")+_xlfn.XLOOKUP($C41,SEMANA2[COD],SEMANA2[Columna32],""))</f>
        <v/>
      </c>
      <c r="L41" s="302">
        <f>IF(D41="","",_xlfn.XLOOKUP($C41,BASE01[COD],BASE01[Columna34],"")+_xlfn.XLOOKUP($C41,SEMANA2[COD],SEMANA2[Columna34],""))</f>
        <v/>
      </c>
      <c r="M41" s="303">
        <f>IFERROR(+L41/K41,"")</f>
        <v/>
      </c>
      <c r="N41" s="304">
        <f>IF(D41="","",_xlfn.XLOOKUP($C41,BASE01[COD],BASE01[Columna36],"")+_xlfn.XLOOKUP($C41,SEMANA2[COD],SEMANA2[Columna36],""))</f>
        <v/>
      </c>
      <c r="O41" s="304">
        <f>IF(D41="","",_xlfn.XLOOKUP($C41,BASE01[COD],BASE01[Columna37],"")+_xlfn.XLOOKUP($C41,SEMANA2[COD],SEMANA2[Columna37],""))</f>
        <v/>
      </c>
      <c r="P41" s="305">
        <f>IFERROR(+O41/N41,0)</f>
        <v/>
      </c>
      <c r="Q41" s="306">
        <f>_xlfn.XLOOKUP(C41,SEMANA2[COD],SEMANA2[Columna33],"")</f>
        <v/>
      </c>
      <c r="R41" s="3" t="n"/>
      <c r="U41" s="393" t="inlineStr">
        <is>
          <t>COD 24</t>
        </is>
      </c>
      <c r="V41" s="393">
        <f>U41</f>
        <v/>
      </c>
    </row>
    <row r="42" ht="23.1" customFormat="1" customHeight="1" s="393">
      <c r="A42" s="295" t="n"/>
      <c r="B42" s="307">
        <f>+B41+1</f>
        <v/>
      </c>
      <c r="C42" s="611" t="inlineStr">
        <is>
          <t>COD 30</t>
        </is>
      </c>
      <c r="D42" s="469">
        <f>_xlfn.XLOOKUP(C42,CODIGOS_Y_PAGOS[CODIGO],CODIGOS_Y_PAGOS[NOMBRE PARTICIPANTE],"")</f>
        <v/>
      </c>
      <c r="E42" s="298">
        <f>IF(D42="","",_xlfn.XLOOKUP($C42,BASE01[COD],BASE01[Columna14],"")+_xlfn.XLOOKUP($C42,SEMANA2[COD],SEMANA2[Columna14],""))</f>
        <v/>
      </c>
      <c r="F42" s="298">
        <f>IF(D42="","",_xlfn.XLOOKUP($C42,BASE01[COD],BASE01[Columna19],"")+_xlfn.XLOOKUP($C42,SEMANA2[COD],SEMANA2[Columna19],""))</f>
        <v/>
      </c>
      <c r="G42" s="299">
        <f>IFERROR(+F42/E42,"")</f>
        <v/>
      </c>
      <c r="H42" s="300">
        <f>IF(D42="","",_xlfn.XLOOKUP($C42,BASE01[COD],BASE01[Columna29],"")+_xlfn.XLOOKUP($C42,SEMANA2[COD],SEMANA2[Columna29],""))</f>
        <v/>
      </c>
      <c r="I42" s="300">
        <f>IF(D42="","",_xlfn.XLOOKUP($C42,BASE01[COD],BASE01[Columna30],"")+_xlfn.XLOOKUP($C42,SEMANA2[COD],SEMANA2[Columna30],""))</f>
        <v/>
      </c>
      <c r="J42" s="301">
        <f>IFERROR(+I42/H42,"")</f>
        <v/>
      </c>
      <c r="K42" s="302">
        <f>IF(D42="","",_xlfn.XLOOKUP($C42,BASE01[COD],BASE01[Columna32],"")+_xlfn.XLOOKUP($C42,SEMANA2[COD],SEMANA2[Columna32],""))</f>
        <v/>
      </c>
      <c r="L42" s="302">
        <f>IF(D42="","",_xlfn.XLOOKUP($C42,BASE01[COD],BASE01[Columna34],"")+_xlfn.XLOOKUP($C42,SEMANA2[COD],SEMANA2[Columna34],""))</f>
        <v/>
      </c>
      <c r="M42" s="303">
        <f>IFERROR(+L42/K42,"")</f>
        <v/>
      </c>
      <c r="N42" s="304">
        <f>IF(D42="","",_xlfn.XLOOKUP($C42,BASE01[COD],BASE01[Columna36],"")+_xlfn.XLOOKUP($C42,SEMANA2[COD],SEMANA2[Columna36],""))</f>
        <v/>
      </c>
      <c r="O42" s="304">
        <f>IF(D42="","",_xlfn.XLOOKUP($C42,BASE01[COD],BASE01[Columna37],"")+_xlfn.XLOOKUP($C42,SEMANA2[COD],SEMANA2[Columna37],""))</f>
        <v/>
      </c>
      <c r="P42" s="305">
        <f>IFERROR(+O42/N42,0)</f>
        <v/>
      </c>
      <c r="Q42" s="306">
        <f>_xlfn.XLOOKUP(C42,SEMANA2[COD],SEMANA2[Columna33],"")</f>
        <v/>
      </c>
      <c r="R42" s="3" t="n"/>
      <c r="U42" s="393" t="inlineStr">
        <is>
          <t>COD 30</t>
        </is>
      </c>
      <c r="V42" s="393">
        <f>U42</f>
        <v/>
      </c>
    </row>
    <row r="43" ht="23.1" customFormat="1" customHeight="1" s="393">
      <c r="A43" s="295" t="n"/>
      <c r="B43" s="307">
        <f>+B42+1</f>
        <v/>
      </c>
      <c r="C43" s="611" t="inlineStr">
        <is>
          <t>COD 39</t>
        </is>
      </c>
      <c r="D43" s="469">
        <f>_xlfn.XLOOKUP(C43,CODIGOS_Y_PAGOS[CODIGO],CODIGOS_Y_PAGOS[NOMBRE PARTICIPANTE],"")</f>
        <v/>
      </c>
      <c r="E43" s="298">
        <f>IF(D43="","",_xlfn.XLOOKUP($C43,BASE01[COD],BASE01[Columna14],"")+_xlfn.XLOOKUP($C43,SEMANA2[COD],SEMANA2[Columna14],""))</f>
        <v/>
      </c>
      <c r="F43" s="298">
        <f>IF(D43="","",_xlfn.XLOOKUP($C43,BASE01[COD],BASE01[Columna19],"")+_xlfn.XLOOKUP($C43,SEMANA2[COD],SEMANA2[Columna19],""))</f>
        <v/>
      </c>
      <c r="G43" s="299">
        <f>IFERROR(+F43/E43,"")</f>
        <v/>
      </c>
      <c r="H43" s="300">
        <f>IF(D43="","",_xlfn.XLOOKUP($C43,BASE01[COD],BASE01[Columna29],"")+_xlfn.XLOOKUP($C43,SEMANA2[COD],SEMANA2[Columna29],""))</f>
        <v/>
      </c>
      <c r="I43" s="300">
        <f>IF(D43="","",_xlfn.XLOOKUP($C43,BASE01[COD],BASE01[Columna30],"")+_xlfn.XLOOKUP($C43,SEMANA2[COD],SEMANA2[Columna30],""))</f>
        <v/>
      </c>
      <c r="J43" s="301">
        <f>IFERROR(+I43/H43,"")</f>
        <v/>
      </c>
      <c r="K43" s="302">
        <f>IF(D43="","",_xlfn.XLOOKUP($C43,BASE01[COD],BASE01[Columna32],"")+_xlfn.XLOOKUP($C43,SEMANA2[COD],SEMANA2[Columna32],""))</f>
        <v/>
      </c>
      <c r="L43" s="302">
        <f>IF(D43="","",_xlfn.XLOOKUP($C43,BASE01[COD],BASE01[Columna34],"")+_xlfn.XLOOKUP($C43,SEMANA2[COD],SEMANA2[Columna34],""))</f>
        <v/>
      </c>
      <c r="M43" s="303">
        <f>IFERROR(+L43/K43,"")</f>
        <v/>
      </c>
      <c r="N43" s="304">
        <f>IF(D43="","",_xlfn.XLOOKUP($C43,BASE01[COD],BASE01[Columna36],"")+_xlfn.XLOOKUP($C43,SEMANA2[COD],SEMANA2[Columna36],""))</f>
        <v/>
      </c>
      <c r="O43" s="304">
        <f>IF(D43="","",_xlfn.XLOOKUP($C43,BASE01[COD],BASE01[Columna37],"")+_xlfn.XLOOKUP($C43,SEMANA2[COD],SEMANA2[Columna37],""))</f>
        <v/>
      </c>
      <c r="P43" s="305">
        <f>IFERROR(+O43/N43,0)</f>
        <v/>
      </c>
      <c r="Q43" s="306">
        <f>_xlfn.XLOOKUP(C43,SEMANA2[COD],SEMANA2[Columna33],"")</f>
        <v/>
      </c>
      <c r="R43" s="3" t="n"/>
      <c r="U43" s="393" t="inlineStr">
        <is>
          <t>COD 39</t>
        </is>
      </c>
      <c r="V43" s="393">
        <f>U43</f>
        <v/>
      </c>
    </row>
    <row r="44" outlineLevel="1" ht="23.1" customFormat="1" customHeight="1" s="393">
      <c r="A44" s="295" t="n"/>
      <c r="B44" s="307">
        <f>+B43+1</f>
        <v/>
      </c>
      <c r="C44" s="611" t="inlineStr">
        <is>
          <t>COD 40</t>
        </is>
      </c>
      <c r="D44" s="297">
        <f>_xlfn.XLOOKUP(C44,CODIGOS_Y_PAGOS[CODIGO],CODIGOS_Y_PAGOS[NOMBRE PARTICIPANTE],"")</f>
        <v/>
      </c>
      <c r="E44" s="298">
        <f>IF(D44="","",_xlfn.XLOOKUP($C44,BASE01[COD],BASE01[Columna14],"")+_xlfn.XLOOKUP($C44,SEMANA2[COD],SEMANA2[Columna14],""))</f>
        <v/>
      </c>
      <c r="F44" s="298">
        <f>IF(D44="","",_xlfn.XLOOKUP($C44,BASE01[COD],BASE01[Columna19],"")+_xlfn.XLOOKUP($C44,SEMANA2[COD],SEMANA2[Columna19],""))</f>
        <v/>
      </c>
      <c r="G44" s="299">
        <f>IFERROR(+F44/E44,"")</f>
        <v/>
      </c>
      <c r="H44" s="300">
        <f>IF(D44="","",_xlfn.XLOOKUP($C44,BASE01[COD],BASE01[Columna29],"")+_xlfn.XLOOKUP($C44,SEMANA2[COD],SEMANA2[Columna29],""))</f>
        <v/>
      </c>
      <c r="I44" s="300">
        <f>IF(D44="","",_xlfn.XLOOKUP($C44,BASE01[COD],BASE01[Columna30],"")+_xlfn.XLOOKUP($C44,SEMANA2[COD],SEMANA2[Columna30],""))</f>
        <v/>
      </c>
      <c r="J44" s="301">
        <f>IFERROR(+I44/H44,"")</f>
        <v/>
      </c>
      <c r="K44" s="302">
        <f>IF(D44="","",_xlfn.XLOOKUP($C44,BASE01[COD],BASE01[Columna32],"")+_xlfn.XLOOKUP($C44,SEMANA2[COD],SEMANA2[Columna32],""))</f>
        <v/>
      </c>
      <c r="L44" s="302">
        <f>IF(D44="","",_xlfn.XLOOKUP($C44,BASE01[COD],BASE01[Columna34],"")+_xlfn.XLOOKUP($C44,SEMANA2[COD],SEMANA2[Columna34],""))</f>
        <v/>
      </c>
      <c r="M44" s="303">
        <f>IFERROR(+L44/K44,"")</f>
        <v/>
      </c>
      <c r="N44" s="304">
        <f>IF(D44="","",_xlfn.XLOOKUP($C44,BASE01[COD],BASE01[Columna36],"")+_xlfn.XLOOKUP($C44,SEMANA2[COD],SEMANA2[Columna36],""))</f>
        <v/>
      </c>
      <c r="O44" s="304">
        <f>IF(D44="","",_xlfn.XLOOKUP($C44,BASE01[COD],BASE01[Columna37],"")+_xlfn.XLOOKUP($C44,SEMANA2[COD],SEMANA2[Columna37],""))</f>
        <v/>
      </c>
      <c r="P44" s="305">
        <f>IFERROR(+O44/N44,0)</f>
        <v/>
      </c>
      <c r="Q44" s="306">
        <f>_xlfn.XLOOKUP(C44,SEMANA2[COD],SEMANA2[Columna33],"")</f>
        <v/>
      </c>
      <c r="R44" s="3" t="n"/>
      <c r="U44" s="393" t="inlineStr">
        <is>
          <t>COD 40</t>
        </is>
      </c>
      <c r="V44" s="393">
        <f>U44</f>
        <v/>
      </c>
    </row>
    <row r="45" outlineLevel="1" ht="23.1" customFormat="1" customHeight="1" s="393">
      <c r="A45" s="295" t="n"/>
      <c r="B45" s="307">
        <f>+B44+1</f>
        <v/>
      </c>
      <c r="C45" s="611" t="inlineStr">
        <is>
          <t>COD 41</t>
        </is>
      </c>
      <c r="D45" s="297">
        <f>_xlfn.XLOOKUP(C45,CODIGOS_Y_PAGOS[CODIGO],CODIGOS_Y_PAGOS[NOMBRE PARTICIPANTE],"")</f>
        <v/>
      </c>
      <c r="E45" s="298">
        <f>IF(D45="","",_xlfn.XLOOKUP($C45,BASE01[COD],BASE01[Columna14],"")+_xlfn.XLOOKUP($C45,SEMANA2[COD],SEMANA2[Columna14],""))</f>
        <v/>
      </c>
      <c r="F45" s="298">
        <f>IF(D45="","",_xlfn.XLOOKUP($C45,BASE01[COD],BASE01[Columna19],"")+_xlfn.XLOOKUP($C45,SEMANA2[COD],SEMANA2[Columna19],""))</f>
        <v/>
      </c>
      <c r="G45" s="299">
        <f>IFERROR(+F45/E45,"")</f>
        <v/>
      </c>
      <c r="H45" s="300">
        <f>IF(D45="","",_xlfn.XLOOKUP($C45,BASE01[COD],BASE01[Columna29],"")+_xlfn.XLOOKUP($C45,SEMANA2[COD],SEMANA2[Columna29],""))</f>
        <v/>
      </c>
      <c r="I45" s="300">
        <f>IF(D45="","",_xlfn.XLOOKUP($C45,BASE01[COD],BASE01[Columna30],"")+_xlfn.XLOOKUP($C45,SEMANA2[COD],SEMANA2[Columna30],""))</f>
        <v/>
      </c>
      <c r="J45" s="301">
        <f>IFERROR(+I45/H45,"")</f>
        <v/>
      </c>
      <c r="K45" s="302">
        <f>IF(D45="","",_xlfn.XLOOKUP($C45,BASE01[COD],BASE01[Columna32],"")+_xlfn.XLOOKUP($C45,SEMANA2[COD],SEMANA2[Columna32],""))</f>
        <v/>
      </c>
      <c r="L45" s="302">
        <f>IF(D45="","",_xlfn.XLOOKUP($C45,BASE01[COD],BASE01[Columna34],"")+_xlfn.XLOOKUP($C45,SEMANA2[COD],SEMANA2[Columna34],""))</f>
        <v/>
      </c>
      <c r="M45" s="303">
        <f>IFERROR(+L45/K45,"")</f>
        <v/>
      </c>
      <c r="N45" s="304">
        <f>IF(D45="","",_xlfn.XLOOKUP($C45,BASE01[COD],BASE01[Columna36],"")+_xlfn.XLOOKUP($C45,SEMANA2[COD],SEMANA2[Columna36],""))</f>
        <v/>
      </c>
      <c r="O45" s="304">
        <f>IF(D45="","",_xlfn.XLOOKUP($C45,BASE01[COD],BASE01[Columna37],"")+_xlfn.XLOOKUP($C45,SEMANA2[COD],SEMANA2[Columna37],""))</f>
        <v/>
      </c>
      <c r="P45" s="305">
        <f>IFERROR(+O45/N45,0)</f>
        <v/>
      </c>
      <c r="Q45" s="306">
        <f>_xlfn.XLOOKUP(C45,SEMANA2[COD],SEMANA2[Columna33],"")</f>
        <v/>
      </c>
      <c r="R45" s="3" t="n"/>
      <c r="U45" s="393" t="inlineStr">
        <is>
          <t>COD 41</t>
        </is>
      </c>
      <c r="V45" s="393">
        <f>U45</f>
        <v/>
      </c>
    </row>
    <row r="46" outlineLevel="1" ht="23.1" customFormat="1" customHeight="1" s="393">
      <c r="A46" s="295" t="n"/>
      <c r="B46" s="307">
        <f>+B45+1</f>
        <v/>
      </c>
      <c r="C46" s="611" t="inlineStr">
        <is>
          <t>COD 42</t>
        </is>
      </c>
      <c r="D46" s="297">
        <f>_xlfn.XLOOKUP(C46,CODIGOS_Y_PAGOS[CODIGO],CODIGOS_Y_PAGOS[NOMBRE PARTICIPANTE],"")</f>
        <v/>
      </c>
      <c r="E46" s="298">
        <f>IF(D46="","",_xlfn.XLOOKUP($C46,BASE01[COD],BASE01[Columna14],"")+_xlfn.XLOOKUP($C46,SEMANA2[COD],SEMANA2[Columna14],""))</f>
        <v/>
      </c>
      <c r="F46" s="298">
        <f>IF(D46="","",_xlfn.XLOOKUP($C46,BASE01[COD],BASE01[Columna19],"")+_xlfn.XLOOKUP($C46,SEMANA2[COD],SEMANA2[Columna19],""))</f>
        <v/>
      </c>
      <c r="G46" s="299">
        <f>IFERROR(+F46/E46,"")</f>
        <v/>
      </c>
      <c r="H46" s="300">
        <f>IF(D46="","",_xlfn.XLOOKUP($C46,BASE01[COD],BASE01[Columna29],"")+_xlfn.XLOOKUP($C46,SEMANA2[COD],SEMANA2[Columna29],""))</f>
        <v/>
      </c>
      <c r="I46" s="300">
        <f>IF(D46="","",_xlfn.XLOOKUP($C46,BASE01[COD],BASE01[Columna30],"")+_xlfn.XLOOKUP($C46,SEMANA2[COD],SEMANA2[Columna30],""))</f>
        <v/>
      </c>
      <c r="J46" s="301">
        <f>IFERROR(+I46/H46,"")</f>
        <v/>
      </c>
      <c r="K46" s="302">
        <f>IF(D46="","",_xlfn.XLOOKUP($C46,BASE01[COD],BASE01[Columna32],"")+_xlfn.XLOOKUP($C46,SEMANA2[COD],SEMANA2[Columna32],""))</f>
        <v/>
      </c>
      <c r="L46" s="302">
        <f>IF(D46="","",_xlfn.XLOOKUP($C46,BASE01[COD],BASE01[Columna34],"")+_xlfn.XLOOKUP($C46,SEMANA2[COD],SEMANA2[Columna34],""))</f>
        <v/>
      </c>
      <c r="M46" s="303">
        <f>IFERROR(+L46/K46,"")</f>
        <v/>
      </c>
      <c r="N46" s="304">
        <f>IF(D46="","",_xlfn.XLOOKUP($C46,BASE01[COD],BASE01[Columna36],"")+_xlfn.XLOOKUP($C46,SEMANA2[COD],SEMANA2[Columna36],""))</f>
        <v/>
      </c>
      <c r="O46" s="304">
        <f>IF(D46="","",_xlfn.XLOOKUP($C46,BASE01[COD],BASE01[Columna37],"")+_xlfn.XLOOKUP($C46,SEMANA2[COD],SEMANA2[Columna37],""))</f>
        <v/>
      </c>
      <c r="P46" s="305">
        <f>IFERROR(+O46/N46,0)</f>
        <v/>
      </c>
      <c r="Q46" s="306">
        <f>_xlfn.XLOOKUP(C46,SEMANA2[COD],SEMANA2[Columna33],"")</f>
        <v/>
      </c>
      <c r="R46" s="3" t="n"/>
      <c r="U46" s="393" t="inlineStr">
        <is>
          <t>COD 42</t>
        </is>
      </c>
      <c r="V46" s="393">
        <f>U46</f>
        <v/>
      </c>
    </row>
    <row r="47" outlineLevel="1" ht="23.1" customFormat="1" customHeight="1" s="393">
      <c r="A47" s="295" t="n"/>
      <c r="B47" s="309">
        <f>+B46+1</f>
        <v/>
      </c>
      <c r="C47" s="611" t="inlineStr">
        <is>
          <t>COD 43</t>
        </is>
      </c>
      <c r="D47" s="297">
        <f>_xlfn.XLOOKUP(C47,CODIGOS_Y_PAGOS[CODIGO],CODIGOS_Y_PAGOS[NOMBRE PARTICIPANTE],"")</f>
        <v/>
      </c>
      <c r="E47" s="298">
        <f>IF(D47="","",_xlfn.XLOOKUP($C47,BASE01[COD],BASE01[Columna14],"")+_xlfn.XLOOKUP($C47,SEMANA2[COD],SEMANA2[Columna14],""))</f>
        <v/>
      </c>
      <c r="F47" s="298">
        <f>IF(D47="","",_xlfn.XLOOKUP($C47,BASE01[COD],BASE01[Columna19],"")+_xlfn.XLOOKUP($C47,SEMANA2[COD],SEMANA2[Columna19],""))</f>
        <v/>
      </c>
      <c r="G47" s="299">
        <f>IFERROR(+F47/E47,"")</f>
        <v/>
      </c>
      <c r="H47" s="300">
        <f>IF(D47="","",_xlfn.XLOOKUP($C47,BASE01[COD],BASE01[Columna29],"")+_xlfn.XLOOKUP($C47,SEMANA2[COD],SEMANA2[Columna29],""))</f>
        <v/>
      </c>
      <c r="I47" s="300">
        <f>IF(D47="","",_xlfn.XLOOKUP($C47,BASE01[COD],BASE01[Columna30],"")+_xlfn.XLOOKUP($C47,SEMANA2[COD],SEMANA2[Columna30],""))</f>
        <v/>
      </c>
      <c r="J47" s="301">
        <f>IFERROR(+I47/H47,"")</f>
        <v/>
      </c>
      <c r="K47" s="302">
        <f>IF(D47="","",_xlfn.XLOOKUP($C47,BASE01[COD],BASE01[Columna32],"")+_xlfn.XLOOKUP($C47,SEMANA2[COD],SEMANA2[Columna32],""))</f>
        <v/>
      </c>
      <c r="L47" s="302">
        <f>IF(D47="","",_xlfn.XLOOKUP($C47,BASE01[COD],BASE01[Columna34],"")+_xlfn.XLOOKUP($C47,SEMANA2[COD],SEMANA2[Columna34],""))</f>
        <v/>
      </c>
      <c r="M47" s="303">
        <f>IFERROR(+L47/K47,"")</f>
        <v/>
      </c>
      <c r="N47" s="304">
        <f>IF(D47="","",_xlfn.XLOOKUP($C47,BASE01[COD],BASE01[Columna36],"")+_xlfn.XLOOKUP($C47,SEMANA2[COD],SEMANA2[Columna36],""))</f>
        <v/>
      </c>
      <c r="O47" s="304">
        <f>IF(D47="","",_xlfn.XLOOKUP($C47,BASE01[COD],BASE01[Columna37],"")+_xlfn.XLOOKUP($C47,SEMANA2[COD],SEMANA2[Columna37],""))</f>
        <v/>
      </c>
      <c r="P47" s="305">
        <f>IFERROR(+O47/N47,0)</f>
        <v/>
      </c>
      <c r="Q47" s="306">
        <f>_xlfn.XLOOKUP(C47,SEMANA2[COD],SEMANA2[Columna33],"")</f>
        <v/>
      </c>
      <c r="R47" s="3" t="n"/>
      <c r="U47" s="393" t="inlineStr">
        <is>
          <t>COD 43</t>
        </is>
      </c>
      <c r="V47" s="393">
        <f>U47</f>
        <v/>
      </c>
    </row>
    <row r="48" outlineLevel="1" ht="23.1" customFormat="1" customHeight="1" s="393">
      <c r="A48" s="295" t="n"/>
      <c r="B48" s="309">
        <f>+B47+1</f>
        <v/>
      </c>
      <c r="C48" s="611" t="inlineStr">
        <is>
          <t>COD 44</t>
        </is>
      </c>
      <c r="D48" s="297">
        <f>_xlfn.XLOOKUP(C48,CODIGOS_Y_PAGOS[CODIGO],CODIGOS_Y_PAGOS[NOMBRE PARTICIPANTE],"")</f>
        <v/>
      </c>
      <c r="E48" s="298">
        <f>IF(D48="","",_xlfn.XLOOKUP($C48,BASE01[COD],BASE01[Columna14],"")+_xlfn.XLOOKUP($C48,SEMANA2[COD],SEMANA2[Columna14],""))</f>
        <v/>
      </c>
      <c r="F48" s="298">
        <f>IF(D48="","",_xlfn.XLOOKUP($C48,BASE01[COD],BASE01[Columna19],"")+_xlfn.XLOOKUP($C48,SEMANA2[COD],SEMANA2[Columna19],""))</f>
        <v/>
      </c>
      <c r="G48" s="299">
        <f>IFERROR(+F48/E48,"")</f>
        <v/>
      </c>
      <c r="H48" s="300">
        <f>IF(D48="","",_xlfn.XLOOKUP($C48,BASE01[COD],BASE01[Columna29],"")+_xlfn.XLOOKUP($C48,SEMANA2[COD],SEMANA2[Columna29],""))</f>
        <v/>
      </c>
      <c r="I48" s="300">
        <f>IF(D48="","",_xlfn.XLOOKUP($C48,BASE01[COD],BASE01[Columna30],"")+_xlfn.XLOOKUP($C48,SEMANA2[COD],SEMANA2[Columna30],""))</f>
        <v/>
      </c>
      <c r="J48" s="301">
        <f>IFERROR(+I48/H48,"")</f>
        <v/>
      </c>
      <c r="K48" s="302">
        <f>IF(D48="","",_xlfn.XLOOKUP($C48,BASE01[COD],BASE01[Columna32],"")+_xlfn.XLOOKUP($C48,SEMANA2[COD],SEMANA2[Columna32],""))</f>
        <v/>
      </c>
      <c r="L48" s="302">
        <f>IF(D48="","",_xlfn.XLOOKUP($C48,BASE01[COD],BASE01[Columna34],"")+_xlfn.XLOOKUP($C48,SEMANA2[COD],SEMANA2[Columna34],""))</f>
        <v/>
      </c>
      <c r="M48" s="303">
        <f>IFERROR(+L48/K48,"")</f>
        <v/>
      </c>
      <c r="N48" s="304">
        <f>IF(D48="","",_xlfn.XLOOKUP($C48,BASE01[COD],BASE01[Columna36],"")+_xlfn.XLOOKUP($C48,SEMANA2[COD],SEMANA2[Columna36],""))</f>
        <v/>
      </c>
      <c r="O48" s="304">
        <f>IF(D48="","",_xlfn.XLOOKUP($C48,BASE01[COD],BASE01[Columna37],"")+_xlfn.XLOOKUP($C48,SEMANA2[COD],SEMANA2[Columna37],""))</f>
        <v/>
      </c>
      <c r="P48" s="305">
        <f>IFERROR(+O48/N48,0)</f>
        <v/>
      </c>
      <c r="Q48" s="306">
        <f>_xlfn.XLOOKUP(C48,SEMANA2[COD],SEMANA2[Columna33],"")</f>
        <v/>
      </c>
      <c r="R48" s="3" t="n"/>
      <c r="U48" s="393" t="inlineStr">
        <is>
          <t>COD 44</t>
        </is>
      </c>
      <c r="V48" s="393">
        <f>U48</f>
        <v/>
      </c>
    </row>
    <row r="49" outlineLevel="1" ht="23.1" customFormat="1" customHeight="1" s="393">
      <c r="A49" s="295" t="n"/>
      <c r="B49" s="309">
        <f>+B48+1</f>
        <v/>
      </c>
      <c r="C49" s="611" t="inlineStr">
        <is>
          <t>COD 45</t>
        </is>
      </c>
      <c r="D49" s="297">
        <f>_xlfn.XLOOKUP(C49,CODIGOS_Y_PAGOS[CODIGO],CODIGOS_Y_PAGOS[NOMBRE PARTICIPANTE],"")</f>
        <v/>
      </c>
      <c r="E49" s="298">
        <f>IF(D49="","",_xlfn.XLOOKUP($C49,BASE01[COD],BASE01[Columna14],"")+_xlfn.XLOOKUP($C49,SEMANA2[COD],SEMANA2[Columna14],""))</f>
        <v/>
      </c>
      <c r="F49" s="298">
        <f>IF(D49="","",_xlfn.XLOOKUP($C49,BASE01[COD],BASE01[Columna19],"")+_xlfn.XLOOKUP($C49,SEMANA2[COD],SEMANA2[Columna19],""))</f>
        <v/>
      </c>
      <c r="G49" s="299">
        <f>IFERROR(+F49/E49,"")</f>
        <v/>
      </c>
      <c r="H49" s="300">
        <f>IF(D49="","",_xlfn.XLOOKUP($C49,BASE01[COD],BASE01[Columna29],"")+_xlfn.XLOOKUP($C49,SEMANA2[COD],SEMANA2[Columna29],""))</f>
        <v/>
      </c>
      <c r="I49" s="300">
        <f>IF(D49="","",_xlfn.XLOOKUP($C49,BASE01[COD],BASE01[Columna30],"")+_xlfn.XLOOKUP($C49,SEMANA2[COD],SEMANA2[Columna30],""))</f>
        <v/>
      </c>
      <c r="J49" s="301">
        <f>IFERROR(+I49/H49,"")</f>
        <v/>
      </c>
      <c r="K49" s="302">
        <f>IF(D49="","",_xlfn.XLOOKUP($C49,BASE01[COD],BASE01[Columna32],"")+_xlfn.XLOOKUP($C49,SEMANA2[COD],SEMANA2[Columna32],""))</f>
        <v/>
      </c>
      <c r="L49" s="302">
        <f>IF(D49="","",_xlfn.XLOOKUP($C49,BASE01[COD],BASE01[Columna34],"")+_xlfn.XLOOKUP($C49,SEMANA2[COD],SEMANA2[Columna34],""))</f>
        <v/>
      </c>
      <c r="M49" s="303">
        <f>IFERROR(+L49/K49,"")</f>
        <v/>
      </c>
      <c r="N49" s="304">
        <f>IF(D49="","",_xlfn.XLOOKUP($C49,BASE01[COD],BASE01[Columna36],"")+_xlfn.XLOOKUP($C49,SEMANA2[COD],SEMANA2[Columna36],""))</f>
        <v/>
      </c>
      <c r="O49" s="304">
        <f>IF(D49="","",_xlfn.XLOOKUP($C49,BASE01[COD],BASE01[Columna37],"")+_xlfn.XLOOKUP($C49,SEMANA2[COD],SEMANA2[Columna37],""))</f>
        <v/>
      </c>
      <c r="P49" s="305">
        <f>IFERROR(+O49/N49,0)</f>
        <v/>
      </c>
      <c r="Q49" s="306">
        <f>_xlfn.XLOOKUP(C49,SEMANA2[COD],SEMANA2[Columna33],"")</f>
        <v/>
      </c>
      <c r="R49" s="3" t="n"/>
      <c r="U49" s="393" t="inlineStr">
        <is>
          <t>COD 45</t>
        </is>
      </c>
      <c r="V49" s="393">
        <f>U49</f>
        <v/>
      </c>
    </row>
    <row r="50" outlineLevel="1" ht="23.1" customFormat="1" customHeight="1" s="393">
      <c r="A50" s="295" t="n"/>
      <c r="B50" s="309">
        <f>+B49+1</f>
        <v/>
      </c>
      <c r="C50" s="611" t="inlineStr">
        <is>
          <t>COD 46</t>
        </is>
      </c>
      <c r="D50" s="297">
        <f>_xlfn.XLOOKUP(C50,CODIGOS_Y_PAGOS[CODIGO],CODIGOS_Y_PAGOS[NOMBRE PARTICIPANTE],"")</f>
        <v/>
      </c>
      <c r="E50" s="298">
        <f>IF(D50="","",_xlfn.XLOOKUP($C50,BASE01[COD],BASE01[Columna14],"")+_xlfn.XLOOKUP($C50,SEMANA2[COD],SEMANA2[Columna14],""))</f>
        <v/>
      </c>
      <c r="F50" s="298">
        <f>IF(D50="","",_xlfn.XLOOKUP($C50,BASE01[COD],BASE01[Columna19],"")+_xlfn.XLOOKUP($C50,SEMANA2[COD],SEMANA2[Columna19],""))</f>
        <v/>
      </c>
      <c r="G50" s="299">
        <f>IFERROR(+F50/E50,"")</f>
        <v/>
      </c>
      <c r="H50" s="300">
        <f>IF(D50="","",_xlfn.XLOOKUP($C50,BASE01[COD],BASE01[Columna29],"")+_xlfn.XLOOKUP($C50,SEMANA2[COD],SEMANA2[Columna29],""))</f>
        <v/>
      </c>
      <c r="I50" s="300">
        <f>IF(D50="","",_xlfn.XLOOKUP($C50,BASE01[COD],BASE01[Columna30],"")+_xlfn.XLOOKUP($C50,SEMANA2[COD],SEMANA2[Columna30],""))</f>
        <v/>
      </c>
      <c r="J50" s="301">
        <f>IFERROR(+I50/H50,"")</f>
        <v/>
      </c>
      <c r="K50" s="302">
        <f>IF(D50="","",_xlfn.XLOOKUP($C50,BASE01[COD],BASE01[Columna32],"")+_xlfn.XLOOKUP($C50,SEMANA2[COD],SEMANA2[Columna32],""))</f>
        <v/>
      </c>
      <c r="L50" s="302">
        <f>IF(D50="","",_xlfn.XLOOKUP($C50,BASE01[COD],BASE01[Columna34],"")+_xlfn.XLOOKUP($C50,SEMANA2[COD],SEMANA2[Columna34],""))</f>
        <v/>
      </c>
      <c r="M50" s="303">
        <f>IFERROR(+L50/K50,"")</f>
        <v/>
      </c>
      <c r="N50" s="304">
        <f>IF(D50="","",_xlfn.XLOOKUP($C50,BASE01[COD],BASE01[Columna36],"")+_xlfn.XLOOKUP($C50,SEMANA2[COD],SEMANA2[Columna36],""))</f>
        <v/>
      </c>
      <c r="O50" s="304">
        <f>IF(D50="","",_xlfn.XLOOKUP($C50,BASE01[COD],BASE01[Columna37],"")+_xlfn.XLOOKUP($C50,SEMANA2[COD],SEMANA2[Columna37],""))</f>
        <v/>
      </c>
      <c r="P50" s="305">
        <f>IFERROR(+O50/N50,0)</f>
        <v/>
      </c>
      <c r="Q50" s="306">
        <f>_xlfn.XLOOKUP(C50,SEMANA2[COD],SEMANA2[Columna33],"")</f>
        <v/>
      </c>
      <c r="R50" s="3" t="n"/>
      <c r="U50" s="393" t="inlineStr">
        <is>
          <t>COD 46</t>
        </is>
      </c>
      <c r="V50" s="393">
        <f>U50</f>
        <v/>
      </c>
    </row>
    <row r="51" outlineLevel="1" ht="23.1" customFormat="1" customHeight="1" s="393">
      <c r="A51" s="295" t="n"/>
      <c r="B51" s="309">
        <f>+B50+1</f>
        <v/>
      </c>
      <c r="C51" s="611" t="inlineStr">
        <is>
          <t>COD 47</t>
        </is>
      </c>
      <c r="D51" s="297">
        <f>_xlfn.XLOOKUP(C51,CODIGOS_Y_PAGOS[CODIGO],CODIGOS_Y_PAGOS[NOMBRE PARTICIPANTE],"")</f>
        <v/>
      </c>
      <c r="E51" s="298">
        <f>IF(D51="","",_xlfn.XLOOKUP($C51,BASE01[COD],BASE01[Columna14],"")+_xlfn.XLOOKUP($C51,SEMANA2[COD],SEMANA2[Columna14],""))</f>
        <v/>
      </c>
      <c r="F51" s="298">
        <f>IF(D51="","",_xlfn.XLOOKUP($C51,BASE01[COD],BASE01[Columna19],"")+_xlfn.XLOOKUP($C51,SEMANA2[COD],SEMANA2[Columna19],""))</f>
        <v/>
      </c>
      <c r="G51" s="299">
        <f>IFERROR(+F51/E51,"")</f>
        <v/>
      </c>
      <c r="H51" s="300">
        <f>IF(D51="","",_xlfn.XLOOKUP($C51,BASE01[COD],BASE01[Columna29],"")+_xlfn.XLOOKUP($C51,SEMANA2[COD],SEMANA2[Columna29],""))</f>
        <v/>
      </c>
      <c r="I51" s="300">
        <f>IF(D51="","",_xlfn.XLOOKUP($C51,BASE01[COD],BASE01[Columna30],"")+_xlfn.XLOOKUP($C51,SEMANA2[COD],SEMANA2[Columna30],""))</f>
        <v/>
      </c>
      <c r="J51" s="301">
        <f>IFERROR(+I51/H51,"")</f>
        <v/>
      </c>
      <c r="K51" s="302">
        <f>IF(D51="","",_xlfn.XLOOKUP($C51,BASE01[COD],BASE01[Columna32],"")+_xlfn.XLOOKUP($C51,SEMANA2[COD],SEMANA2[Columna32],""))</f>
        <v/>
      </c>
      <c r="L51" s="302">
        <f>IF(D51="","",_xlfn.XLOOKUP($C51,BASE01[COD],BASE01[Columna34],"")+_xlfn.XLOOKUP($C51,SEMANA2[COD],SEMANA2[Columna34],""))</f>
        <v/>
      </c>
      <c r="M51" s="303">
        <f>IFERROR(+L51/K51,"")</f>
        <v/>
      </c>
      <c r="N51" s="304">
        <f>IF(D51="","",_xlfn.XLOOKUP($C51,BASE01[COD],BASE01[Columna36],"")+_xlfn.XLOOKUP($C51,SEMANA2[COD],SEMANA2[Columna36],""))</f>
        <v/>
      </c>
      <c r="O51" s="304">
        <f>IF(D51="","",_xlfn.XLOOKUP($C51,BASE01[COD],BASE01[Columna37],"")+_xlfn.XLOOKUP($C51,SEMANA2[COD],SEMANA2[Columna37],""))</f>
        <v/>
      </c>
      <c r="P51" s="305">
        <f>IFERROR(+O51/N51,0)</f>
        <v/>
      </c>
      <c r="Q51" s="306">
        <f>_xlfn.XLOOKUP(C51,SEMANA2[COD],SEMANA2[Columna33],"")</f>
        <v/>
      </c>
      <c r="R51" s="3" t="n"/>
      <c r="U51" s="393" t="inlineStr">
        <is>
          <t>COD 47</t>
        </is>
      </c>
      <c r="V51" s="393">
        <f>U51</f>
        <v/>
      </c>
    </row>
    <row r="52" outlineLevel="1" ht="23.1" customFormat="1" customHeight="1" s="393">
      <c r="A52" s="295" t="n"/>
      <c r="B52" s="309">
        <f>+B51+1</f>
        <v/>
      </c>
      <c r="C52" s="611" t="inlineStr">
        <is>
          <t>COD 48</t>
        </is>
      </c>
      <c r="D52" s="297">
        <f>_xlfn.XLOOKUP(C52,CODIGOS_Y_PAGOS[CODIGO],CODIGOS_Y_PAGOS[NOMBRE PARTICIPANTE],"")</f>
        <v/>
      </c>
      <c r="E52" s="298">
        <f>IF(D52="","",_xlfn.XLOOKUP($C52,BASE01[COD],BASE01[Columna14],"")+_xlfn.XLOOKUP($C52,SEMANA2[COD],SEMANA2[Columna14],""))</f>
        <v/>
      </c>
      <c r="F52" s="298">
        <f>IF(D52="","",_xlfn.XLOOKUP($C52,BASE01[COD],BASE01[Columna19],"")+_xlfn.XLOOKUP($C52,SEMANA2[COD],SEMANA2[Columna19],""))</f>
        <v/>
      </c>
      <c r="G52" s="299">
        <f>IFERROR(+F52/E52,"")</f>
        <v/>
      </c>
      <c r="H52" s="300">
        <f>IF(D52="","",_xlfn.XLOOKUP($C52,BASE01[COD],BASE01[Columna29],"")+_xlfn.XLOOKUP($C52,SEMANA2[COD],SEMANA2[Columna29],""))</f>
        <v/>
      </c>
      <c r="I52" s="300">
        <f>IF(D52="","",_xlfn.XLOOKUP($C52,BASE01[COD],BASE01[Columna30],"")+_xlfn.XLOOKUP($C52,SEMANA2[COD],SEMANA2[Columna30],""))</f>
        <v/>
      </c>
      <c r="J52" s="301">
        <f>IFERROR(+I52/H52,"")</f>
        <v/>
      </c>
      <c r="K52" s="302">
        <f>IF(D52="","",_xlfn.XLOOKUP($C52,BASE01[COD],BASE01[Columna32],"")+_xlfn.XLOOKUP($C52,SEMANA2[COD],SEMANA2[Columna32],""))</f>
        <v/>
      </c>
      <c r="L52" s="302">
        <f>IF(D52="","",_xlfn.XLOOKUP($C52,BASE01[COD],BASE01[Columna34],"")+_xlfn.XLOOKUP($C52,SEMANA2[COD],SEMANA2[Columna34],""))</f>
        <v/>
      </c>
      <c r="M52" s="303">
        <f>IFERROR(+L52/K52,"")</f>
        <v/>
      </c>
      <c r="N52" s="304">
        <f>IF(D52="","",_xlfn.XLOOKUP($C52,BASE01[COD],BASE01[Columna36],"")+_xlfn.XLOOKUP($C52,SEMANA2[COD],SEMANA2[Columna36],""))</f>
        <v/>
      </c>
      <c r="O52" s="304">
        <f>IF(D52="","",_xlfn.XLOOKUP($C52,BASE01[COD],BASE01[Columna37],"")+_xlfn.XLOOKUP($C52,SEMANA2[COD],SEMANA2[Columna37],""))</f>
        <v/>
      </c>
      <c r="P52" s="305">
        <f>IFERROR(+O52/N52,0)</f>
        <v/>
      </c>
      <c r="Q52" s="306">
        <f>_xlfn.XLOOKUP(C52,SEMANA2[COD],SEMANA2[Columna33],"")</f>
        <v/>
      </c>
      <c r="R52" s="3" t="n"/>
      <c r="U52" s="393" t="inlineStr">
        <is>
          <t>COD 48</t>
        </is>
      </c>
      <c r="V52" s="393">
        <f>U52</f>
        <v/>
      </c>
    </row>
    <row r="53" outlineLevel="1" ht="23.1" customFormat="1" customHeight="1" s="393">
      <c r="A53" s="295" t="n"/>
      <c r="B53" s="309">
        <f>+B52+1</f>
        <v/>
      </c>
      <c r="C53" s="611" t="inlineStr">
        <is>
          <t>COD 49</t>
        </is>
      </c>
      <c r="D53" s="297">
        <f>_xlfn.XLOOKUP(C53,CODIGOS_Y_PAGOS[CODIGO],CODIGOS_Y_PAGOS[NOMBRE PARTICIPANTE],"")</f>
        <v/>
      </c>
      <c r="E53" s="298">
        <f>IF(D53="","",_xlfn.XLOOKUP($C53,BASE01[COD],BASE01[Columna14],"")+_xlfn.XLOOKUP($C53,SEMANA2[COD],SEMANA2[Columna14],""))</f>
        <v/>
      </c>
      <c r="F53" s="298">
        <f>IF(D53="","",_xlfn.XLOOKUP($C53,BASE01[COD],BASE01[Columna19],"")+_xlfn.XLOOKUP($C53,SEMANA2[COD],SEMANA2[Columna19],""))</f>
        <v/>
      </c>
      <c r="G53" s="299">
        <f>IFERROR(+F53/E53,"")</f>
        <v/>
      </c>
      <c r="H53" s="300">
        <f>IF(D53="","",_xlfn.XLOOKUP($C53,BASE01[COD],BASE01[Columna29],"")+_xlfn.XLOOKUP($C53,SEMANA2[COD],SEMANA2[Columna29],""))</f>
        <v/>
      </c>
      <c r="I53" s="300">
        <f>IF(D53="","",_xlfn.XLOOKUP($C53,BASE01[COD],BASE01[Columna30],"")+_xlfn.XLOOKUP($C53,SEMANA2[COD],SEMANA2[Columna30],""))</f>
        <v/>
      </c>
      <c r="J53" s="301">
        <f>IFERROR(+I53/H53,"")</f>
        <v/>
      </c>
      <c r="K53" s="302">
        <f>IF(D53="","",_xlfn.XLOOKUP($C53,BASE01[COD],BASE01[Columna32],"")+_xlfn.XLOOKUP($C53,SEMANA2[COD],SEMANA2[Columna32],""))</f>
        <v/>
      </c>
      <c r="L53" s="302">
        <f>IF(D53="","",_xlfn.XLOOKUP($C53,BASE01[COD],BASE01[Columna34],"")+_xlfn.XLOOKUP($C53,SEMANA2[COD],SEMANA2[Columna34],""))</f>
        <v/>
      </c>
      <c r="M53" s="303">
        <f>IFERROR(+L53/K53,"")</f>
        <v/>
      </c>
      <c r="N53" s="304">
        <f>IF(D53="","",_xlfn.XLOOKUP($C53,BASE01[COD],BASE01[Columna36],"")+_xlfn.XLOOKUP($C53,SEMANA2[COD],SEMANA2[Columna36],""))</f>
        <v/>
      </c>
      <c r="O53" s="304">
        <f>IF(D53="","",_xlfn.XLOOKUP($C53,BASE01[COD],BASE01[Columna37],"")+_xlfn.XLOOKUP($C53,SEMANA2[COD],SEMANA2[Columna37],""))</f>
        <v/>
      </c>
      <c r="P53" s="305">
        <f>IFERROR(+O53/N53,0)</f>
        <v/>
      </c>
      <c r="Q53" s="306">
        <f>_xlfn.XLOOKUP(C53,SEMANA2[COD],SEMANA2[Columna33],"")</f>
        <v/>
      </c>
      <c r="R53" s="3" t="n"/>
      <c r="U53" s="393" t="inlineStr">
        <is>
          <t>COD 49</t>
        </is>
      </c>
      <c r="V53" s="393">
        <f>U53</f>
        <v/>
      </c>
    </row>
    <row r="54" outlineLevel="1" ht="23.1" customFormat="1" customHeight="1" s="393">
      <c r="A54" s="295" t="n"/>
      <c r="B54" s="309">
        <f>+B53+1</f>
        <v/>
      </c>
      <c r="C54" s="611" t="inlineStr">
        <is>
          <t>COD 50</t>
        </is>
      </c>
      <c r="D54" s="297">
        <f>_xlfn.XLOOKUP(C54,CODIGOS_Y_PAGOS[CODIGO],CODIGOS_Y_PAGOS[NOMBRE PARTICIPANTE],"")</f>
        <v/>
      </c>
      <c r="E54" s="298">
        <f>IF(D54="","",_xlfn.XLOOKUP($C54,BASE01[COD],BASE01[Columna14],"")+_xlfn.XLOOKUP($C54,SEMANA2[COD],SEMANA2[Columna14],""))</f>
        <v/>
      </c>
      <c r="F54" s="298">
        <f>IF(D54="","",_xlfn.XLOOKUP($C54,BASE01[COD],BASE01[Columna19],"")+_xlfn.XLOOKUP($C54,SEMANA2[COD],SEMANA2[Columna19],""))</f>
        <v/>
      </c>
      <c r="G54" s="299">
        <f>IFERROR(+F54/E54,"")</f>
        <v/>
      </c>
      <c r="H54" s="300">
        <f>IF(D54="","",_xlfn.XLOOKUP($C54,BASE01[COD],BASE01[Columna29],"")+_xlfn.XLOOKUP($C54,SEMANA2[COD],SEMANA2[Columna29],""))</f>
        <v/>
      </c>
      <c r="I54" s="300">
        <f>IF(D54="","",_xlfn.XLOOKUP($C54,BASE01[COD],BASE01[Columna30],"")+_xlfn.XLOOKUP($C54,SEMANA2[COD],SEMANA2[Columna30],""))</f>
        <v/>
      </c>
      <c r="J54" s="301">
        <f>IFERROR(+I54/H54,"")</f>
        <v/>
      </c>
      <c r="K54" s="302">
        <f>IF(D54="","",_xlfn.XLOOKUP($C54,BASE01[COD],BASE01[Columna32],"")+_xlfn.XLOOKUP($C54,SEMANA2[COD],SEMANA2[Columna32],""))</f>
        <v/>
      </c>
      <c r="L54" s="302">
        <f>IF(D54="","",_xlfn.XLOOKUP($C54,BASE01[COD],BASE01[Columna34],"")+_xlfn.XLOOKUP($C54,SEMANA2[COD],SEMANA2[Columna34],""))</f>
        <v/>
      </c>
      <c r="M54" s="303">
        <f>IFERROR(+L54/K54,"")</f>
        <v/>
      </c>
      <c r="N54" s="304">
        <f>IF(D54="","",_xlfn.XLOOKUP($C54,BASE01[COD],BASE01[Columna36],"")+_xlfn.XLOOKUP($C54,SEMANA2[COD],SEMANA2[Columna36],""))</f>
        <v/>
      </c>
      <c r="O54" s="304">
        <f>IF(D54="","",_xlfn.XLOOKUP($C54,BASE01[COD],BASE01[Columna37],"")+_xlfn.XLOOKUP($C54,SEMANA2[COD],SEMANA2[Columna37],""))</f>
        <v/>
      </c>
      <c r="P54" s="305">
        <f>IFERROR(+O54/N54,0)</f>
        <v/>
      </c>
      <c r="Q54" s="306">
        <f>_xlfn.XLOOKUP(C54,SEMANA2[COD],SEMANA2[Columna33],"")</f>
        <v/>
      </c>
      <c r="R54" s="3" t="n"/>
      <c r="U54" s="393" t="inlineStr">
        <is>
          <t>COD 50</t>
        </is>
      </c>
      <c r="V54" s="393">
        <f>U54</f>
        <v/>
      </c>
    </row>
    <row r="55" ht="9" customFormat="1" customHeight="1" s="316">
      <c r="A55" s="295" t="n"/>
      <c r="B55" s="310" t="n"/>
      <c r="C55" s="311" t="n"/>
      <c r="D55" s="312" t="n"/>
      <c r="E55" s="313" t="n"/>
      <c r="F55" s="313" t="n"/>
      <c r="G55" s="314" t="n"/>
      <c r="H55" s="313" t="n"/>
      <c r="I55" s="313" t="n"/>
      <c r="J55" s="314" t="n"/>
      <c r="K55" s="313" t="n"/>
      <c r="L55" s="313" t="n"/>
      <c r="M55" s="314" t="n"/>
      <c r="N55" s="313" t="n"/>
      <c r="O55" s="313" t="n"/>
      <c r="P55" s="315" t="n"/>
      <c r="Q55" s="310" t="n"/>
      <c r="R55" s="3" t="n"/>
    </row>
    <row r="56" outlineLevel="1" ht="9" customHeight="1" s="568">
      <c r="R56" s="3" t="n"/>
    </row>
    <row r="57" outlineLevel="1" ht="51.75" customFormat="1" customHeight="1" s="283">
      <c r="A57" s="282" t="n"/>
      <c r="B57" s="582" t="inlineStr">
        <is>
          <t>CAMPEONATO DE MARCAS                            RANKING SEMANAL</t>
        </is>
      </c>
      <c r="C57" s="557" t="n"/>
      <c r="D57" s="557" t="n"/>
      <c r="E57" s="557" t="n"/>
      <c r="F57" s="557" t="n"/>
      <c r="G57" s="557" t="n"/>
      <c r="H57" s="557" t="n"/>
      <c r="I57" s="557" t="n"/>
      <c r="J57" s="557" t="n"/>
      <c r="K57" s="557" t="n"/>
      <c r="L57" s="557" t="n"/>
      <c r="M57" s="557" t="n"/>
      <c r="N57" s="557" t="n"/>
      <c r="O57" s="557" t="n"/>
      <c r="P57" s="557" t="n"/>
      <c r="Q57" s="581" t="n"/>
    </row>
    <row r="58" outlineLevel="1" ht="39" customHeight="1" s="568">
      <c r="A58" s="1" t="n"/>
      <c r="B58" s="349">
        <f>CONTROL!D2</f>
        <v/>
      </c>
      <c r="C58" s="284" t="n"/>
      <c r="D58" s="284" t="n"/>
      <c r="E58" s="284" t="n"/>
      <c r="F58" s="284" t="n"/>
      <c r="G58" s="284" t="n"/>
      <c r="H58" s="284" t="n"/>
      <c r="I58" s="284" t="n"/>
      <c r="J58" s="284" t="n"/>
      <c r="K58" s="284" t="n"/>
      <c r="L58" s="284" t="n"/>
      <c r="M58" s="284" t="n"/>
      <c r="N58" s="580">
        <f>'SEM 2'!D3</f>
        <v/>
      </c>
      <c r="O58" s="557" t="n"/>
      <c r="P58" s="557" t="n"/>
      <c r="Q58" s="581" t="n"/>
      <c r="R58" s="3" t="n"/>
    </row>
    <row r="59" outlineLevel="1" ht="23.1" customFormat="1" customHeight="1" s="576">
      <c r="A59" s="285" t="n"/>
      <c r="B59" s="286" t="n">
        <v>0</v>
      </c>
      <c r="C59" s="287" t="inlineStr">
        <is>
          <t>COD</t>
        </is>
      </c>
      <c r="D59" s="288" t="inlineStr">
        <is>
          <t>NOMBRE PARTICIPANTE</t>
        </is>
      </c>
      <c r="E59" s="289" t="inlineStr">
        <is>
          <t>UNA MARCA</t>
        </is>
      </c>
      <c r="F59" s="290" t="n"/>
      <c r="G59" s="290" t="n"/>
      <c r="H59" s="289" t="inlineStr">
        <is>
          <t>DOS MARCAS</t>
        </is>
      </c>
      <c r="I59" s="290" t="n"/>
      <c r="J59" s="290" t="n"/>
      <c r="K59" s="289" t="inlineStr">
        <is>
          <t>TRES MARCAS</t>
        </is>
      </c>
      <c r="L59" s="289" t="n"/>
      <c r="M59" s="289" t="n"/>
      <c r="N59" s="291" t="inlineStr">
        <is>
          <t>FIJAS</t>
        </is>
      </c>
      <c r="O59" s="292" t="n"/>
      <c r="P59" s="293" t="n"/>
      <c r="Q59" s="294" t="inlineStr">
        <is>
          <t>PUNTOS</t>
        </is>
      </c>
      <c r="R59" s="3" t="n"/>
    </row>
    <row r="60" outlineLevel="1" ht="23.1" customFormat="1" customHeight="1" s="393">
      <c r="A60" s="295" t="n"/>
      <c r="B60" s="296" t="n">
        <v>1</v>
      </c>
      <c r="C60" s="611">
        <f t="array" ref="C60:C109">_xlfn.SORTBY(SEMANA2[COD],SEMANA2[Columna1],-1)</f>
        <v/>
      </c>
      <c r="D60" s="469">
        <f>_xlfn.XLOOKUP(C60,CODIGOS_Y_PAGOS[CODIGO],CODIGOS_Y_PAGOS[NOMBRE PARTICIPANTE],"")</f>
        <v/>
      </c>
      <c r="E60" s="298">
        <f>_xlfn.XLOOKUP($C60,SEMANA2[COD],SEMANA2[Columna14],"")</f>
        <v/>
      </c>
      <c r="F60" s="298">
        <f>_xlfn.XLOOKUP(C60,SEMANA2[COD],SEMANA2[Columna19],"")</f>
        <v/>
      </c>
      <c r="G60" s="299">
        <f>IFERROR(+F60/E60,"0,00")</f>
        <v/>
      </c>
      <c r="H60" s="300">
        <f>_xlfn.XLOOKUP(C60,SEMANA2[COD],SEMANA2[Columna32],"")</f>
        <v/>
      </c>
      <c r="I60" s="300">
        <f>_xlfn.XLOOKUP(C60,SEMANA2[COD],SEMANA2[Columna30],"")</f>
        <v/>
      </c>
      <c r="J60" s="301">
        <f>IFERROR(+I60/H60,"0,00")</f>
        <v/>
      </c>
      <c r="K60" s="302">
        <f>_xlfn.XLOOKUP(C60,SEMANA2[COD],SEMANA2[Columna32],"")</f>
        <v/>
      </c>
      <c r="L60" s="302">
        <f>_xlfn.XLOOKUP(C60,SEMANA2[COD],SEMANA2[Columna34],"")</f>
        <v/>
      </c>
      <c r="M60" s="303">
        <f>IFERROR(+L60/K60,"0,00")</f>
        <v/>
      </c>
      <c r="N60" s="304">
        <f>_xlfn.XLOOKUP(C60,SEMANA2[COD],SEMANA2[Columna36],"")</f>
        <v/>
      </c>
      <c r="O60" s="304">
        <f>_xlfn.XLOOKUP(C60,SEMANA2[COD],SEMANA2[Columna37],"")</f>
        <v/>
      </c>
      <c r="P60" s="305">
        <f>IFERROR(+O60/N60,"0,00")</f>
        <v/>
      </c>
      <c r="Q60" s="306">
        <f>_xlfn.XLOOKUP(C60,SEMANA2[COD],SEMANA2[Columna1],"")</f>
        <v/>
      </c>
      <c r="R60" s="3" t="n"/>
      <c r="U60" s="393">
        <f t="array" ref="U60:U109">_xlfn.SORTBY(C60:C109,Q60:Q109,-1)</f>
        <v/>
      </c>
      <c r="V60" s="393">
        <f>U60</f>
        <v/>
      </c>
    </row>
    <row r="61" outlineLevel="1" ht="23.1" customFormat="1" customHeight="1" s="393">
      <c r="A61" s="295" t="n"/>
      <c r="B61" s="296">
        <f>+B60+1</f>
        <v/>
      </c>
      <c r="C61" s="611" t="inlineStr">
        <is>
          <t>COD 02</t>
        </is>
      </c>
      <c r="D61" s="469">
        <f>_xlfn.XLOOKUP(C61,CODIGOS_Y_PAGOS[CODIGO],CODIGOS_Y_PAGOS[NOMBRE PARTICIPANTE],"")</f>
        <v/>
      </c>
      <c r="E61" s="298">
        <f>_xlfn.XLOOKUP($C61,SEMANA2[COD],SEMANA2[Columna14],"")</f>
        <v/>
      </c>
      <c r="F61" s="298">
        <f>_xlfn.XLOOKUP(C61,SEMANA2[COD],SEMANA2[Columna19],"")</f>
        <v/>
      </c>
      <c r="G61" s="299">
        <f>IFERROR(+F61/E61,"0,00")</f>
        <v/>
      </c>
      <c r="H61" s="300">
        <f>_xlfn.XLOOKUP(C61,SEMANA2[COD],SEMANA2[Columna32],"")</f>
        <v/>
      </c>
      <c r="I61" s="300">
        <f>_xlfn.XLOOKUP(C61,SEMANA2[COD],SEMANA2[Columna30],"")</f>
        <v/>
      </c>
      <c r="J61" s="301">
        <f>IFERROR(+I61/H61,"0,00")</f>
        <v/>
      </c>
      <c r="K61" s="302">
        <f>_xlfn.XLOOKUP(C61,SEMANA2[COD],SEMANA2[Columna32],"")</f>
        <v/>
      </c>
      <c r="L61" s="302">
        <f>_xlfn.XLOOKUP(C61,SEMANA2[COD],SEMANA2[Columna34],"")</f>
        <v/>
      </c>
      <c r="M61" s="303">
        <f>IFERROR(+L61/K61,"0,00")</f>
        <v/>
      </c>
      <c r="N61" s="304">
        <f>_xlfn.XLOOKUP(C61,SEMANA2[COD],SEMANA2[Columna36],"")</f>
        <v/>
      </c>
      <c r="O61" s="304">
        <f>_xlfn.XLOOKUP(C61,SEMANA2[COD],SEMANA2[Columna37],"")</f>
        <v/>
      </c>
      <c r="P61" s="305">
        <f>IFERROR(+O61/N61,"0,00")</f>
        <v/>
      </c>
      <c r="Q61" s="306">
        <f>_xlfn.XLOOKUP(C61,SEMANA2[COD],SEMANA2[Columna1],"")</f>
        <v/>
      </c>
      <c r="R61" s="3" t="n"/>
      <c r="U61" s="393" t="inlineStr">
        <is>
          <t>COD 02</t>
        </is>
      </c>
      <c r="V61" s="393">
        <f>U61</f>
        <v/>
      </c>
    </row>
    <row r="62" outlineLevel="1" ht="23.1" customFormat="1" customHeight="1" s="393">
      <c r="A62" s="295" t="n"/>
      <c r="B62" s="296">
        <f>+B61+1</f>
        <v/>
      </c>
      <c r="C62" s="611" t="inlineStr">
        <is>
          <t>COD 03</t>
        </is>
      </c>
      <c r="D62" s="469">
        <f>_xlfn.XLOOKUP(C62,CODIGOS_Y_PAGOS[CODIGO],CODIGOS_Y_PAGOS[NOMBRE PARTICIPANTE],"")</f>
        <v/>
      </c>
      <c r="E62" s="298">
        <f>_xlfn.XLOOKUP($C62,SEMANA2[COD],SEMANA2[Columna14],"")</f>
        <v/>
      </c>
      <c r="F62" s="298">
        <f>_xlfn.XLOOKUP(C62,SEMANA2[COD],SEMANA2[Columna19],"")</f>
        <v/>
      </c>
      <c r="G62" s="299">
        <f>IFERROR(+F62/E62,"0,00")</f>
        <v/>
      </c>
      <c r="H62" s="300">
        <f>_xlfn.XLOOKUP(C62,SEMANA2[COD],SEMANA2[Columna32],"")</f>
        <v/>
      </c>
      <c r="I62" s="300">
        <f>_xlfn.XLOOKUP(C62,SEMANA2[COD],SEMANA2[Columna30],"")</f>
        <v/>
      </c>
      <c r="J62" s="301">
        <f>IFERROR(+I62/H62,"0,00")</f>
        <v/>
      </c>
      <c r="K62" s="302">
        <f>_xlfn.XLOOKUP(C62,SEMANA2[COD],SEMANA2[Columna32],"")</f>
        <v/>
      </c>
      <c r="L62" s="302">
        <f>_xlfn.XLOOKUP(C62,SEMANA2[COD],SEMANA2[Columna34],"")</f>
        <v/>
      </c>
      <c r="M62" s="303">
        <f>IFERROR(+L62/K62,"0,00")</f>
        <v/>
      </c>
      <c r="N62" s="304">
        <f>_xlfn.XLOOKUP(C62,SEMANA2[COD],SEMANA2[Columna36],"")</f>
        <v/>
      </c>
      <c r="O62" s="304">
        <f>_xlfn.XLOOKUP(C62,SEMANA2[COD],SEMANA2[Columna37],"")</f>
        <v/>
      </c>
      <c r="P62" s="305">
        <f>IFERROR(+O62/N62,"0,00")</f>
        <v/>
      </c>
      <c r="Q62" s="306">
        <f>_xlfn.XLOOKUP(C62,SEMANA2[COD],SEMANA2[Columna1],"")</f>
        <v/>
      </c>
      <c r="R62" s="3" t="n"/>
      <c r="U62" s="393" t="inlineStr">
        <is>
          <t>COD 03</t>
        </is>
      </c>
      <c r="V62" s="393">
        <f>U62</f>
        <v/>
      </c>
    </row>
    <row r="63" outlineLevel="1" ht="23.1" customFormat="1" customHeight="1" s="393">
      <c r="A63" s="295" t="n"/>
      <c r="B63" s="296">
        <f>+B62+1</f>
        <v/>
      </c>
      <c r="C63" s="611" t="inlineStr">
        <is>
          <t>COD 04</t>
        </is>
      </c>
      <c r="D63" s="469">
        <f>_xlfn.XLOOKUP(C63,CODIGOS_Y_PAGOS[CODIGO],CODIGOS_Y_PAGOS[NOMBRE PARTICIPANTE],"")</f>
        <v/>
      </c>
      <c r="E63" s="298">
        <f>_xlfn.XLOOKUP($C63,SEMANA2[COD],SEMANA2[Columna14],"")</f>
        <v/>
      </c>
      <c r="F63" s="298">
        <f>_xlfn.XLOOKUP(C63,SEMANA2[COD],SEMANA2[Columna19],"")</f>
        <v/>
      </c>
      <c r="G63" s="299">
        <f>IFERROR(+F63/E63,"0,00")</f>
        <v/>
      </c>
      <c r="H63" s="300">
        <f>_xlfn.XLOOKUP(C63,SEMANA2[COD],SEMANA2[Columna32],"")</f>
        <v/>
      </c>
      <c r="I63" s="300">
        <f>_xlfn.XLOOKUP(C63,SEMANA2[COD],SEMANA2[Columna30],"")</f>
        <v/>
      </c>
      <c r="J63" s="301">
        <f>IFERROR(+I63/H63,"0,00")</f>
        <v/>
      </c>
      <c r="K63" s="302">
        <f>_xlfn.XLOOKUP(C63,SEMANA2[COD],SEMANA2[Columna32],"")</f>
        <v/>
      </c>
      <c r="L63" s="302">
        <f>_xlfn.XLOOKUP(C63,SEMANA2[COD],SEMANA2[Columna34],"")</f>
        <v/>
      </c>
      <c r="M63" s="303">
        <f>IFERROR(+L63/K63,"0,00")</f>
        <v/>
      </c>
      <c r="N63" s="304">
        <f>_xlfn.XLOOKUP(C63,SEMANA2[COD],SEMANA2[Columna36],"")</f>
        <v/>
      </c>
      <c r="O63" s="304">
        <f>_xlfn.XLOOKUP(C63,SEMANA2[COD],SEMANA2[Columna37],"")</f>
        <v/>
      </c>
      <c r="P63" s="305">
        <f>IFERROR(+O63/N63,"0,00")</f>
        <v/>
      </c>
      <c r="Q63" s="306">
        <f>_xlfn.XLOOKUP(C63,SEMANA2[COD],SEMANA2[Columna1],"")</f>
        <v/>
      </c>
      <c r="R63" s="3" t="n"/>
      <c r="U63" s="393" t="inlineStr">
        <is>
          <t>COD 04</t>
        </is>
      </c>
      <c r="V63" s="393">
        <f>U63</f>
        <v/>
      </c>
    </row>
    <row r="64" outlineLevel="1" ht="23.1" customFormat="1" customHeight="1" s="393">
      <c r="A64" s="295" t="n"/>
      <c r="B64" s="296">
        <f>+B63+1</f>
        <v/>
      </c>
      <c r="C64" s="611" t="inlineStr">
        <is>
          <t>COD 05</t>
        </is>
      </c>
      <c r="D64" s="469">
        <f>_xlfn.XLOOKUP(C64,CODIGOS_Y_PAGOS[CODIGO],CODIGOS_Y_PAGOS[NOMBRE PARTICIPANTE],"")</f>
        <v/>
      </c>
      <c r="E64" s="298">
        <f>_xlfn.XLOOKUP($C64,SEMANA2[COD],SEMANA2[Columna14],"")</f>
        <v/>
      </c>
      <c r="F64" s="298">
        <f>_xlfn.XLOOKUP(C64,SEMANA2[COD],SEMANA2[Columna19],"")</f>
        <v/>
      </c>
      <c r="G64" s="299">
        <f>IFERROR(+F64/E64,"0,00")</f>
        <v/>
      </c>
      <c r="H64" s="300">
        <f>_xlfn.XLOOKUP(C64,SEMANA2[COD],SEMANA2[Columna32],"")</f>
        <v/>
      </c>
      <c r="I64" s="300">
        <f>_xlfn.XLOOKUP(C64,SEMANA2[COD],SEMANA2[Columna30],"")</f>
        <v/>
      </c>
      <c r="J64" s="301">
        <f>IFERROR(+I64/H64,"0,00")</f>
        <v/>
      </c>
      <c r="K64" s="302">
        <f>_xlfn.XLOOKUP(C64,SEMANA2[COD],SEMANA2[Columna32],"")</f>
        <v/>
      </c>
      <c r="L64" s="302">
        <f>_xlfn.XLOOKUP(C64,SEMANA2[COD],SEMANA2[Columna34],"")</f>
        <v/>
      </c>
      <c r="M64" s="303">
        <f>IFERROR(+L64/K64,"0,00")</f>
        <v/>
      </c>
      <c r="N64" s="304">
        <f>_xlfn.XLOOKUP(C64,SEMANA2[COD],SEMANA2[Columna36],"")</f>
        <v/>
      </c>
      <c r="O64" s="304">
        <f>_xlfn.XLOOKUP(C64,SEMANA2[COD],SEMANA2[Columna37],"")</f>
        <v/>
      </c>
      <c r="P64" s="305">
        <f>IFERROR(+O64/N64,"0,00")</f>
        <v/>
      </c>
      <c r="Q64" s="306">
        <f>_xlfn.XLOOKUP(C64,SEMANA2[COD],SEMANA2[Columna1],"")</f>
        <v/>
      </c>
      <c r="R64" s="3" t="n"/>
      <c r="U64" s="393" t="inlineStr">
        <is>
          <t>COD 05</t>
        </is>
      </c>
      <c r="V64" s="393">
        <f>U64</f>
        <v/>
      </c>
    </row>
    <row r="65" outlineLevel="1" ht="23.1" customFormat="1" customHeight="1" s="393">
      <c r="A65" s="295" t="n"/>
      <c r="B65" s="296">
        <f>+B64+1</f>
        <v/>
      </c>
      <c r="C65" s="611" t="inlineStr">
        <is>
          <t>COD 06</t>
        </is>
      </c>
      <c r="D65" s="469">
        <f>_xlfn.XLOOKUP(C65,CODIGOS_Y_PAGOS[CODIGO],CODIGOS_Y_PAGOS[NOMBRE PARTICIPANTE],"")</f>
        <v/>
      </c>
      <c r="E65" s="298">
        <f>_xlfn.XLOOKUP($C65,SEMANA2[COD],SEMANA2[Columna14],"")</f>
        <v/>
      </c>
      <c r="F65" s="298">
        <f>_xlfn.XLOOKUP(C65,SEMANA2[COD],SEMANA2[Columna19],"")</f>
        <v/>
      </c>
      <c r="G65" s="299">
        <f>IFERROR(+F65/E65,"0,00")</f>
        <v/>
      </c>
      <c r="H65" s="300">
        <f>_xlfn.XLOOKUP(C65,SEMANA2[COD],SEMANA2[Columna32],"")</f>
        <v/>
      </c>
      <c r="I65" s="300">
        <f>_xlfn.XLOOKUP(C65,SEMANA2[COD],SEMANA2[Columna30],"")</f>
        <v/>
      </c>
      <c r="J65" s="301">
        <f>IFERROR(+I65/H65,"0,00")</f>
        <v/>
      </c>
      <c r="K65" s="302">
        <f>_xlfn.XLOOKUP(C65,SEMANA2[COD],SEMANA2[Columna32],"")</f>
        <v/>
      </c>
      <c r="L65" s="302">
        <f>_xlfn.XLOOKUP(C65,SEMANA2[COD],SEMANA2[Columna34],"")</f>
        <v/>
      </c>
      <c r="M65" s="303">
        <f>IFERROR(+L65/K65,"0,00")</f>
        <v/>
      </c>
      <c r="N65" s="304">
        <f>_xlfn.XLOOKUP(C65,SEMANA2[COD],SEMANA2[Columna36],"")</f>
        <v/>
      </c>
      <c r="O65" s="304">
        <f>_xlfn.XLOOKUP(C65,SEMANA2[COD],SEMANA2[Columna37],"")</f>
        <v/>
      </c>
      <c r="P65" s="305">
        <f>IFERROR(+O65/N65,"0,00")</f>
        <v/>
      </c>
      <c r="Q65" s="306">
        <f>_xlfn.XLOOKUP(C65,SEMANA2[COD],SEMANA2[Columna1],"")</f>
        <v/>
      </c>
      <c r="R65" s="3" t="n"/>
      <c r="U65" s="393" t="inlineStr">
        <is>
          <t>COD 06</t>
        </is>
      </c>
      <c r="V65" s="393">
        <f>U65</f>
        <v/>
      </c>
    </row>
    <row r="66" outlineLevel="1" ht="23.1" customFormat="1" customHeight="1" s="393">
      <c r="A66" s="295" t="n"/>
      <c r="B66" s="307">
        <f>+B65+1</f>
        <v/>
      </c>
      <c r="C66" s="611" t="inlineStr">
        <is>
          <t>COD 07</t>
        </is>
      </c>
      <c r="D66" s="469">
        <f>_xlfn.XLOOKUP(C66,CODIGOS_Y_PAGOS[CODIGO],CODIGOS_Y_PAGOS[NOMBRE PARTICIPANTE],"")</f>
        <v/>
      </c>
      <c r="E66" s="298">
        <f>_xlfn.XLOOKUP($C66,SEMANA2[COD],SEMANA2[Columna14],"")</f>
        <v/>
      </c>
      <c r="F66" s="298">
        <f>_xlfn.XLOOKUP(C66,SEMANA2[COD],SEMANA2[Columna19],"")</f>
        <v/>
      </c>
      <c r="G66" s="299">
        <f>IFERROR(+F66/E66,"0,00")</f>
        <v/>
      </c>
      <c r="H66" s="300">
        <f>_xlfn.XLOOKUP(C66,SEMANA2[COD],SEMANA2[Columna32],"")</f>
        <v/>
      </c>
      <c r="I66" s="300">
        <f>_xlfn.XLOOKUP(C66,SEMANA2[COD],SEMANA2[Columna30],"")</f>
        <v/>
      </c>
      <c r="J66" s="301">
        <f>IFERROR(+I66/H66,"0,00")</f>
        <v/>
      </c>
      <c r="K66" s="302">
        <f>_xlfn.XLOOKUP(C66,SEMANA2[COD],SEMANA2[Columna32],"")</f>
        <v/>
      </c>
      <c r="L66" s="302">
        <f>_xlfn.XLOOKUP(C66,SEMANA2[COD],SEMANA2[Columna34],"")</f>
        <v/>
      </c>
      <c r="M66" s="303">
        <f>IFERROR(+L66/K66,"0,00")</f>
        <v/>
      </c>
      <c r="N66" s="304">
        <f>_xlfn.XLOOKUP(C66,SEMANA2[COD],SEMANA2[Columna36],"")</f>
        <v/>
      </c>
      <c r="O66" s="304">
        <f>_xlfn.XLOOKUP(C66,SEMANA2[COD],SEMANA2[Columna37],"")</f>
        <v/>
      </c>
      <c r="P66" s="305">
        <f>IFERROR(+O66/N66,"0,00")</f>
        <v/>
      </c>
      <c r="Q66" s="306">
        <f>_xlfn.XLOOKUP(C66,SEMANA2[COD],SEMANA2[Columna1],"")</f>
        <v/>
      </c>
      <c r="R66" s="3" t="n"/>
      <c r="U66" s="393" t="inlineStr">
        <is>
          <t>COD 07</t>
        </is>
      </c>
      <c r="V66" s="393">
        <f>U66</f>
        <v/>
      </c>
    </row>
    <row r="67" outlineLevel="1" ht="23.1" customFormat="1" customHeight="1" s="393">
      <c r="A67" s="295" t="n"/>
      <c r="B67" s="296">
        <f>+B66+1</f>
        <v/>
      </c>
      <c r="C67" s="611" t="inlineStr">
        <is>
          <t>COD 08</t>
        </is>
      </c>
      <c r="D67" s="469">
        <f>_xlfn.XLOOKUP(C67,CODIGOS_Y_PAGOS[CODIGO],CODIGOS_Y_PAGOS[NOMBRE PARTICIPANTE],"")</f>
        <v/>
      </c>
      <c r="E67" s="298">
        <f>_xlfn.XLOOKUP($C67,SEMANA2[COD],SEMANA2[Columna14],"")</f>
        <v/>
      </c>
      <c r="F67" s="298">
        <f>_xlfn.XLOOKUP(C67,SEMANA2[COD],SEMANA2[Columna19],"")</f>
        <v/>
      </c>
      <c r="G67" s="299">
        <f>IFERROR(+F67/E67,"0,00")</f>
        <v/>
      </c>
      <c r="H67" s="300">
        <f>_xlfn.XLOOKUP(C67,SEMANA2[COD],SEMANA2[Columna32],"")</f>
        <v/>
      </c>
      <c r="I67" s="300">
        <f>_xlfn.XLOOKUP(C67,SEMANA2[COD],SEMANA2[Columna30],"")</f>
        <v/>
      </c>
      <c r="J67" s="301">
        <f>IFERROR(+I67/H67,"0,00")</f>
        <v/>
      </c>
      <c r="K67" s="302">
        <f>_xlfn.XLOOKUP(C67,SEMANA2[COD],SEMANA2[Columna32],"")</f>
        <v/>
      </c>
      <c r="L67" s="302">
        <f>_xlfn.XLOOKUP(C67,SEMANA2[COD],SEMANA2[Columna34],"")</f>
        <v/>
      </c>
      <c r="M67" s="303">
        <f>IFERROR(+L67/K67,"0,00")</f>
        <v/>
      </c>
      <c r="N67" s="304">
        <f>_xlfn.XLOOKUP(C67,SEMANA2[COD],SEMANA2[Columna36],"")</f>
        <v/>
      </c>
      <c r="O67" s="304">
        <f>_xlfn.XLOOKUP(C67,SEMANA2[COD],SEMANA2[Columna37],"")</f>
        <v/>
      </c>
      <c r="P67" s="305">
        <f>IFERROR(+O67/N67,"0,00")</f>
        <v/>
      </c>
      <c r="Q67" s="306">
        <f>_xlfn.XLOOKUP(C67,SEMANA2[COD],SEMANA2[Columna1],"")</f>
        <v/>
      </c>
      <c r="R67" s="3" t="n"/>
      <c r="U67" s="393" t="inlineStr">
        <is>
          <t>COD 08</t>
        </is>
      </c>
      <c r="V67" s="393">
        <f>U67</f>
        <v/>
      </c>
    </row>
    <row r="68" outlineLevel="1" ht="23.1" customFormat="1" customHeight="1" s="393">
      <c r="A68" s="295" t="n"/>
      <c r="B68" s="296">
        <f>+B67+1</f>
        <v/>
      </c>
      <c r="C68" s="611" t="inlineStr">
        <is>
          <t>COD 09</t>
        </is>
      </c>
      <c r="D68" s="469">
        <f>_xlfn.XLOOKUP(C68,CODIGOS_Y_PAGOS[CODIGO],CODIGOS_Y_PAGOS[NOMBRE PARTICIPANTE],"")</f>
        <v/>
      </c>
      <c r="E68" s="298">
        <f>_xlfn.XLOOKUP($C68,SEMANA2[COD],SEMANA2[Columna14],"")</f>
        <v/>
      </c>
      <c r="F68" s="298">
        <f>_xlfn.XLOOKUP(C68,SEMANA2[COD],SEMANA2[Columna19],"")</f>
        <v/>
      </c>
      <c r="G68" s="299">
        <f>IFERROR(+F68/E68,"0,00")</f>
        <v/>
      </c>
      <c r="H68" s="300">
        <f>_xlfn.XLOOKUP(C68,SEMANA2[COD],SEMANA2[Columna32],"")</f>
        <v/>
      </c>
      <c r="I68" s="300">
        <f>_xlfn.XLOOKUP(C68,SEMANA2[COD],SEMANA2[Columna30],"")</f>
        <v/>
      </c>
      <c r="J68" s="301">
        <f>IFERROR(+I68/H68,"0,00")</f>
        <v/>
      </c>
      <c r="K68" s="302">
        <f>_xlfn.XLOOKUP(C68,SEMANA2[COD],SEMANA2[Columna32],"")</f>
        <v/>
      </c>
      <c r="L68" s="302">
        <f>_xlfn.XLOOKUP(C68,SEMANA2[COD],SEMANA2[Columna34],"")</f>
        <v/>
      </c>
      <c r="M68" s="303">
        <f>IFERROR(+L68/K68,"0,00")</f>
        <v/>
      </c>
      <c r="N68" s="304">
        <f>_xlfn.XLOOKUP(C68,SEMANA2[COD],SEMANA2[Columna36],"")</f>
        <v/>
      </c>
      <c r="O68" s="304">
        <f>_xlfn.XLOOKUP(C68,SEMANA2[COD],SEMANA2[Columna37],"")</f>
        <v/>
      </c>
      <c r="P68" s="305">
        <f>IFERROR(+O68/N68,"0,00")</f>
        <v/>
      </c>
      <c r="Q68" s="306">
        <f>_xlfn.XLOOKUP(C68,SEMANA2[COD],SEMANA2[Columna1],"")</f>
        <v/>
      </c>
      <c r="R68" s="3" t="n"/>
      <c r="U68" s="393" t="inlineStr">
        <is>
          <t>COD 09</t>
        </is>
      </c>
      <c r="V68" s="393">
        <f>U68</f>
        <v/>
      </c>
    </row>
    <row r="69" outlineLevel="1" ht="23.1" customFormat="1" customHeight="1" s="393">
      <c r="A69" s="295" t="n"/>
      <c r="B69" s="296">
        <f>+B68+1</f>
        <v/>
      </c>
      <c r="C69" s="611" t="inlineStr">
        <is>
          <t>COD 10</t>
        </is>
      </c>
      <c r="D69" s="469">
        <f>_xlfn.XLOOKUP(C69,CODIGOS_Y_PAGOS[CODIGO],CODIGOS_Y_PAGOS[NOMBRE PARTICIPANTE],"")</f>
        <v/>
      </c>
      <c r="E69" s="298">
        <f>_xlfn.XLOOKUP($C69,SEMANA2[COD],SEMANA2[Columna14],"")</f>
        <v/>
      </c>
      <c r="F69" s="298">
        <f>_xlfn.XLOOKUP(C69,SEMANA2[COD],SEMANA2[Columna19],"")</f>
        <v/>
      </c>
      <c r="G69" s="299">
        <f>IFERROR(+F69/E69,"0,00")</f>
        <v/>
      </c>
      <c r="H69" s="300">
        <f>_xlfn.XLOOKUP(C69,SEMANA2[COD],SEMANA2[Columna32],"")</f>
        <v/>
      </c>
      <c r="I69" s="300">
        <f>_xlfn.XLOOKUP(C69,SEMANA2[COD],SEMANA2[Columna30],"")</f>
        <v/>
      </c>
      <c r="J69" s="301">
        <f>IFERROR(+I69/H69,"0,00")</f>
        <v/>
      </c>
      <c r="K69" s="302">
        <f>_xlfn.XLOOKUP(C69,SEMANA2[COD],SEMANA2[Columna32],"")</f>
        <v/>
      </c>
      <c r="L69" s="302">
        <f>_xlfn.XLOOKUP(C69,SEMANA2[COD],SEMANA2[Columna34],"")</f>
        <v/>
      </c>
      <c r="M69" s="303">
        <f>IFERROR(+L69/K69,"0,00")</f>
        <v/>
      </c>
      <c r="N69" s="304">
        <f>_xlfn.XLOOKUP(C69,SEMANA2[COD],SEMANA2[Columna36],"")</f>
        <v/>
      </c>
      <c r="O69" s="304">
        <f>_xlfn.XLOOKUP(C69,SEMANA2[COD],SEMANA2[Columna37],"")</f>
        <v/>
      </c>
      <c r="P69" s="305">
        <f>IFERROR(+O69/N69,"0,00")</f>
        <v/>
      </c>
      <c r="Q69" s="306">
        <f>_xlfn.XLOOKUP(C69,SEMANA2[COD],SEMANA2[Columna1],"")</f>
        <v/>
      </c>
      <c r="R69" s="3" t="n"/>
      <c r="U69" s="393" t="inlineStr">
        <is>
          <t>COD 10</t>
        </is>
      </c>
      <c r="V69" s="393">
        <f>U69</f>
        <v/>
      </c>
    </row>
    <row r="70" outlineLevel="1" ht="23.1" customFormat="1" customHeight="1" s="393">
      <c r="A70" s="295" t="n"/>
      <c r="B70" s="296">
        <f>+B69+1</f>
        <v/>
      </c>
      <c r="C70" s="611" t="inlineStr">
        <is>
          <t>COD 11</t>
        </is>
      </c>
      <c r="D70" s="469">
        <f>_xlfn.XLOOKUP(C70,CODIGOS_Y_PAGOS[CODIGO],CODIGOS_Y_PAGOS[NOMBRE PARTICIPANTE],"")</f>
        <v/>
      </c>
      <c r="E70" s="298">
        <f>_xlfn.XLOOKUP($C70,SEMANA2[COD],SEMANA2[Columna14],"")</f>
        <v/>
      </c>
      <c r="F70" s="298">
        <f>_xlfn.XLOOKUP(C70,SEMANA2[COD],SEMANA2[Columna19],"")</f>
        <v/>
      </c>
      <c r="G70" s="299">
        <f>IFERROR(+F70/E70,"0,00")</f>
        <v/>
      </c>
      <c r="H70" s="300">
        <f>_xlfn.XLOOKUP(C70,SEMANA2[COD],SEMANA2[Columna32],"")</f>
        <v/>
      </c>
      <c r="I70" s="300">
        <f>_xlfn.XLOOKUP(C70,SEMANA2[COD],SEMANA2[Columna30],"")</f>
        <v/>
      </c>
      <c r="J70" s="301">
        <f>IFERROR(+I70/H70,"0,00")</f>
        <v/>
      </c>
      <c r="K70" s="302">
        <f>_xlfn.XLOOKUP(C70,SEMANA2[COD],SEMANA2[Columna32],"")</f>
        <v/>
      </c>
      <c r="L70" s="302">
        <f>_xlfn.XLOOKUP(C70,SEMANA2[COD],SEMANA2[Columna34],"")</f>
        <v/>
      </c>
      <c r="M70" s="303">
        <f>IFERROR(+L70/K70,"0,00")</f>
        <v/>
      </c>
      <c r="N70" s="304">
        <f>_xlfn.XLOOKUP(C70,SEMANA2[COD],SEMANA2[Columna36],"")</f>
        <v/>
      </c>
      <c r="O70" s="304">
        <f>_xlfn.XLOOKUP(C70,SEMANA2[COD],SEMANA2[Columna37],"")</f>
        <v/>
      </c>
      <c r="P70" s="305">
        <f>IFERROR(+O70/N70,"0,00")</f>
        <v/>
      </c>
      <c r="Q70" s="306">
        <f>_xlfn.XLOOKUP(C70,SEMANA2[COD],SEMANA2[Columna1],"")</f>
        <v/>
      </c>
      <c r="R70" s="3" t="n"/>
      <c r="U70" s="393" t="inlineStr">
        <is>
          <t>COD 11</t>
        </is>
      </c>
      <c r="V70" s="393">
        <f>U70</f>
        <v/>
      </c>
    </row>
    <row r="71" outlineLevel="1" ht="23.1" customFormat="1" customHeight="1" s="393">
      <c r="A71" s="295" t="n"/>
      <c r="B71" s="296">
        <f>+B70+1</f>
        <v/>
      </c>
      <c r="C71" s="611" t="inlineStr">
        <is>
          <t>COD 12</t>
        </is>
      </c>
      <c r="D71" s="469">
        <f>_xlfn.XLOOKUP(C71,CODIGOS_Y_PAGOS[CODIGO],CODIGOS_Y_PAGOS[NOMBRE PARTICIPANTE],"")</f>
        <v/>
      </c>
      <c r="E71" s="298">
        <f>_xlfn.XLOOKUP($C71,SEMANA2[COD],SEMANA2[Columna14],"")</f>
        <v/>
      </c>
      <c r="F71" s="298">
        <f>_xlfn.XLOOKUP(C71,SEMANA2[COD],SEMANA2[Columna19],"")</f>
        <v/>
      </c>
      <c r="G71" s="299">
        <f>IFERROR(+F71/E71,"0,00")</f>
        <v/>
      </c>
      <c r="H71" s="300">
        <f>_xlfn.XLOOKUP(C71,SEMANA2[COD],SEMANA2[Columna32],"")</f>
        <v/>
      </c>
      <c r="I71" s="300">
        <f>_xlfn.XLOOKUP(C71,SEMANA2[COD],SEMANA2[Columna30],"")</f>
        <v/>
      </c>
      <c r="J71" s="301">
        <f>IFERROR(+I71/H71,"0,00")</f>
        <v/>
      </c>
      <c r="K71" s="302">
        <f>_xlfn.XLOOKUP(C71,SEMANA2[COD],SEMANA2[Columna32],"")</f>
        <v/>
      </c>
      <c r="L71" s="302">
        <f>_xlfn.XLOOKUP(C71,SEMANA2[COD],SEMANA2[Columna34],"")</f>
        <v/>
      </c>
      <c r="M71" s="303">
        <f>IFERROR(+L71/K71,"0,00")</f>
        <v/>
      </c>
      <c r="N71" s="304">
        <f>_xlfn.XLOOKUP(C71,SEMANA2[COD],SEMANA2[Columna36],"")</f>
        <v/>
      </c>
      <c r="O71" s="304">
        <f>_xlfn.XLOOKUP(C71,SEMANA2[COD],SEMANA2[Columna37],"")</f>
        <v/>
      </c>
      <c r="P71" s="305">
        <f>IFERROR(+O71/N71,"0,00")</f>
        <v/>
      </c>
      <c r="Q71" s="306">
        <f>_xlfn.XLOOKUP(C71,SEMANA2[COD],SEMANA2[Columna1],"")</f>
        <v/>
      </c>
      <c r="R71" s="3" t="n"/>
      <c r="U71" s="393" t="inlineStr">
        <is>
          <t>COD 12</t>
        </is>
      </c>
      <c r="V71" s="393">
        <f>U71</f>
        <v/>
      </c>
    </row>
    <row r="72" outlineLevel="1" ht="23.1" customFormat="1" customHeight="1" s="393">
      <c r="A72" s="295" t="n"/>
      <c r="B72" s="296">
        <f>+B71+1</f>
        <v/>
      </c>
      <c r="C72" s="611" t="inlineStr">
        <is>
          <t>COD 13</t>
        </is>
      </c>
      <c r="D72" s="469">
        <f>_xlfn.XLOOKUP(C72,CODIGOS_Y_PAGOS[CODIGO],CODIGOS_Y_PAGOS[NOMBRE PARTICIPANTE],"")</f>
        <v/>
      </c>
      <c r="E72" s="298">
        <f>_xlfn.XLOOKUP($C72,SEMANA2[COD],SEMANA2[Columna14],"")</f>
        <v/>
      </c>
      <c r="F72" s="298">
        <f>_xlfn.XLOOKUP(C72,SEMANA2[COD],SEMANA2[Columna19],"")</f>
        <v/>
      </c>
      <c r="G72" s="299">
        <f>IFERROR(+F72/E72,"0,00")</f>
        <v/>
      </c>
      <c r="H72" s="300">
        <f>_xlfn.XLOOKUP(C72,SEMANA2[COD],SEMANA2[Columna32],"")</f>
        <v/>
      </c>
      <c r="I72" s="300">
        <f>_xlfn.XLOOKUP(C72,SEMANA2[COD],SEMANA2[Columna30],"")</f>
        <v/>
      </c>
      <c r="J72" s="301">
        <f>IFERROR(+I72/H72,"0,00")</f>
        <v/>
      </c>
      <c r="K72" s="302">
        <f>_xlfn.XLOOKUP(C72,SEMANA2[COD],SEMANA2[Columna32],"")</f>
        <v/>
      </c>
      <c r="L72" s="302">
        <f>_xlfn.XLOOKUP(C72,SEMANA2[COD],SEMANA2[Columna34],"")</f>
        <v/>
      </c>
      <c r="M72" s="303">
        <f>IFERROR(+L72/K72,"0,00")</f>
        <v/>
      </c>
      <c r="N72" s="304">
        <f>_xlfn.XLOOKUP(C72,SEMANA2[COD],SEMANA2[Columna36],"")</f>
        <v/>
      </c>
      <c r="O72" s="304">
        <f>_xlfn.XLOOKUP(C72,SEMANA2[COD],SEMANA2[Columna37],"")</f>
        <v/>
      </c>
      <c r="P72" s="305">
        <f>IFERROR(+O72/N72,"0,00")</f>
        <v/>
      </c>
      <c r="Q72" s="306">
        <f>_xlfn.XLOOKUP(C72,SEMANA2[COD],SEMANA2[Columna1],"")</f>
        <v/>
      </c>
      <c r="R72" s="3" t="n"/>
      <c r="U72" s="393" t="inlineStr">
        <is>
          <t>COD 13</t>
        </is>
      </c>
      <c r="V72" s="393">
        <f>U72</f>
        <v/>
      </c>
    </row>
    <row r="73" outlineLevel="1" ht="23.1" customFormat="1" customHeight="1" s="393">
      <c r="A73" s="295" t="n"/>
      <c r="B73" s="296">
        <f>+B72+1</f>
        <v/>
      </c>
      <c r="C73" s="611" t="inlineStr">
        <is>
          <t>COD 14</t>
        </is>
      </c>
      <c r="D73" s="469">
        <f>_xlfn.XLOOKUP(C73,CODIGOS_Y_PAGOS[CODIGO],CODIGOS_Y_PAGOS[NOMBRE PARTICIPANTE],"")</f>
        <v/>
      </c>
      <c r="E73" s="298">
        <f>_xlfn.XLOOKUP($C73,SEMANA2[COD],SEMANA2[Columna14],"")</f>
        <v/>
      </c>
      <c r="F73" s="298">
        <f>_xlfn.XLOOKUP(C73,SEMANA2[COD],SEMANA2[Columna19],"")</f>
        <v/>
      </c>
      <c r="G73" s="299">
        <f>IFERROR(+F73/E73,"0,00")</f>
        <v/>
      </c>
      <c r="H73" s="300">
        <f>_xlfn.XLOOKUP(C73,SEMANA2[COD],SEMANA2[Columna32],"")</f>
        <v/>
      </c>
      <c r="I73" s="300">
        <f>_xlfn.XLOOKUP(C73,SEMANA2[COD],SEMANA2[Columna30],"")</f>
        <v/>
      </c>
      <c r="J73" s="301">
        <f>IFERROR(+I73/H73,"0,00")</f>
        <v/>
      </c>
      <c r="K73" s="302">
        <f>_xlfn.XLOOKUP(C73,SEMANA2[COD],SEMANA2[Columna32],"")</f>
        <v/>
      </c>
      <c r="L73" s="302">
        <f>_xlfn.XLOOKUP(C73,SEMANA2[COD],SEMANA2[Columna34],"")</f>
        <v/>
      </c>
      <c r="M73" s="303">
        <f>IFERROR(+L73/K73,"0,00")</f>
        <v/>
      </c>
      <c r="N73" s="304">
        <f>_xlfn.XLOOKUP(C73,SEMANA2[COD],SEMANA2[Columna36],"")</f>
        <v/>
      </c>
      <c r="O73" s="304">
        <f>_xlfn.XLOOKUP(C73,SEMANA2[COD],SEMANA2[Columna37],"")</f>
        <v/>
      </c>
      <c r="P73" s="305">
        <f>IFERROR(+O73/N73,"0,00")</f>
        <v/>
      </c>
      <c r="Q73" s="306">
        <f>_xlfn.XLOOKUP(C73,SEMANA2[COD],SEMANA2[Columna1],"")</f>
        <v/>
      </c>
      <c r="R73" s="3" t="n"/>
      <c r="U73" s="393" t="inlineStr">
        <is>
          <t>COD 14</t>
        </is>
      </c>
      <c r="V73" s="393">
        <f>U73</f>
        <v/>
      </c>
    </row>
    <row r="74" outlineLevel="1" ht="23.1" customFormat="1" customHeight="1" s="393">
      <c r="A74" s="295" t="n"/>
      <c r="B74" s="296">
        <f>+B73+1</f>
        <v/>
      </c>
      <c r="C74" s="611" t="inlineStr">
        <is>
          <t>COD 15</t>
        </is>
      </c>
      <c r="D74" s="469">
        <f>_xlfn.XLOOKUP(C74,CODIGOS_Y_PAGOS[CODIGO],CODIGOS_Y_PAGOS[NOMBRE PARTICIPANTE],"")</f>
        <v/>
      </c>
      <c r="E74" s="298">
        <f>_xlfn.XLOOKUP($C74,SEMANA2[COD],SEMANA2[Columna14],"")</f>
        <v/>
      </c>
      <c r="F74" s="298">
        <f>_xlfn.XLOOKUP(C74,SEMANA2[COD],SEMANA2[Columna19],"")</f>
        <v/>
      </c>
      <c r="G74" s="299">
        <f>IFERROR(+F74/E74,"0,00")</f>
        <v/>
      </c>
      <c r="H74" s="300">
        <f>_xlfn.XLOOKUP(C74,SEMANA2[COD],SEMANA2[Columna32],"")</f>
        <v/>
      </c>
      <c r="I74" s="300">
        <f>_xlfn.XLOOKUP(C74,SEMANA2[COD],SEMANA2[Columna30],"")</f>
        <v/>
      </c>
      <c r="J74" s="301">
        <f>IFERROR(+I74/H74,"0,00")</f>
        <v/>
      </c>
      <c r="K74" s="302">
        <f>_xlfn.XLOOKUP(C74,SEMANA2[COD],SEMANA2[Columna32],"")</f>
        <v/>
      </c>
      <c r="L74" s="302">
        <f>_xlfn.XLOOKUP(C74,SEMANA2[COD],SEMANA2[Columna34],"")</f>
        <v/>
      </c>
      <c r="M74" s="303">
        <f>IFERROR(+L74/K74,"0,00")</f>
        <v/>
      </c>
      <c r="N74" s="304">
        <f>_xlfn.XLOOKUP(C74,SEMANA2[COD],SEMANA2[Columna36],"")</f>
        <v/>
      </c>
      <c r="O74" s="304">
        <f>_xlfn.XLOOKUP(C74,SEMANA2[COD],SEMANA2[Columna37],"")</f>
        <v/>
      </c>
      <c r="P74" s="305">
        <f>IFERROR(+O74/N74,"0,00")</f>
        <v/>
      </c>
      <c r="Q74" s="306">
        <f>_xlfn.XLOOKUP(C74,SEMANA2[COD],SEMANA2[Columna1],"")</f>
        <v/>
      </c>
      <c r="R74" s="3" t="n"/>
      <c r="U74" s="393" t="inlineStr">
        <is>
          <t>COD 15</t>
        </is>
      </c>
      <c r="V74" s="393">
        <f>U74</f>
        <v/>
      </c>
    </row>
    <row r="75" outlineLevel="1" ht="23.1" customFormat="1" customHeight="1" s="393">
      <c r="A75" s="295" t="n"/>
      <c r="B75" s="296">
        <f>+B74+1</f>
        <v/>
      </c>
      <c r="C75" s="611" t="inlineStr">
        <is>
          <t>COD 16</t>
        </is>
      </c>
      <c r="D75" s="469">
        <f>_xlfn.XLOOKUP(C75,CODIGOS_Y_PAGOS[CODIGO],CODIGOS_Y_PAGOS[NOMBRE PARTICIPANTE],"")</f>
        <v/>
      </c>
      <c r="E75" s="298">
        <f>_xlfn.XLOOKUP($C75,SEMANA2[COD],SEMANA2[Columna14],"")</f>
        <v/>
      </c>
      <c r="F75" s="298">
        <f>_xlfn.XLOOKUP(C75,SEMANA2[COD],SEMANA2[Columna19],"")</f>
        <v/>
      </c>
      <c r="G75" s="299">
        <f>IFERROR(+F75/E75,"0,00")</f>
        <v/>
      </c>
      <c r="H75" s="300">
        <f>_xlfn.XLOOKUP(C75,SEMANA2[COD],SEMANA2[Columna32],"")</f>
        <v/>
      </c>
      <c r="I75" s="300">
        <f>_xlfn.XLOOKUP(C75,SEMANA2[COD],SEMANA2[Columna30],"")</f>
        <v/>
      </c>
      <c r="J75" s="301">
        <f>IFERROR(+I75/H75,"0,00")</f>
        <v/>
      </c>
      <c r="K75" s="302">
        <f>_xlfn.XLOOKUP(C75,SEMANA2[COD],SEMANA2[Columna32],"")</f>
        <v/>
      </c>
      <c r="L75" s="302">
        <f>_xlfn.XLOOKUP(C75,SEMANA2[COD],SEMANA2[Columna34],"")</f>
        <v/>
      </c>
      <c r="M75" s="303">
        <f>IFERROR(+L75/K75,"0,00")</f>
        <v/>
      </c>
      <c r="N75" s="304">
        <f>_xlfn.XLOOKUP(C75,SEMANA2[COD],SEMANA2[Columna36],"")</f>
        <v/>
      </c>
      <c r="O75" s="304">
        <f>_xlfn.XLOOKUP(C75,SEMANA2[COD],SEMANA2[Columna37],"")</f>
        <v/>
      </c>
      <c r="P75" s="305">
        <f>IFERROR(+O75/N75,"0,00")</f>
        <v/>
      </c>
      <c r="Q75" s="306">
        <f>_xlfn.XLOOKUP(C75,SEMANA2[COD],SEMANA2[Columna1],"")</f>
        <v/>
      </c>
      <c r="R75" s="3" t="n"/>
      <c r="U75" s="393" t="inlineStr">
        <is>
          <t>COD 16</t>
        </is>
      </c>
      <c r="V75" s="393">
        <f>U75</f>
        <v/>
      </c>
    </row>
    <row r="76" outlineLevel="1" ht="23.1" customFormat="1" customHeight="1" s="393">
      <c r="A76" s="295" t="n"/>
      <c r="B76" s="296">
        <f>+B75+1</f>
        <v/>
      </c>
      <c r="C76" s="611" t="inlineStr">
        <is>
          <t>COD 17</t>
        </is>
      </c>
      <c r="D76" s="469">
        <f>_xlfn.XLOOKUP(C76,CODIGOS_Y_PAGOS[CODIGO],CODIGOS_Y_PAGOS[NOMBRE PARTICIPANTE],"")</f>
        <v/>
      </c>
      <c r="E76" s="298">
        <f>_xlfn.XLOOKUP($C76,SEMANA2[COD],SEMANA2[Columna14],"")</f>
        <v/>
      </c>
      <c r="F76" s="298">
        <f>_xlfn.XLOOKUP(C76,SEMANA2[COD],SEMANA2[Columna19],"")</f>
        <v/>
      </c>
      <c r="G76" s="299">
        <f>IFERROR(+F76/E76,"0,00")</f>
        <v/>
      </c>
      <c r="H76" s="300">
        <f>_xlfn.XLOOKUP(C76,SEMANA2[COD],SEMANA2[Columna32],"")</f>
        <v/>
      </c>
      <c r="I76" s="300">
        <f>_xlfn.XLOOKUP(C76,SEMANA2[COD],SEMANA2[Columna30],"")</f>
        <v/>
      </c>
      <c r="J76" s="301">
        <f>IFERROR(+I76/H76,"0,00")</f>
        <v/>
      </c>
      <c r="K76" s="302">
        <f>_xlfn.XLOOKUP(C76,SEMANA2[COD],SEMANA2[Columna32],"")</f>
        <v/>
      </c>
      <c r="L76" s="302">
        <f>_xlfn.XLOOKUP(C76,SEMANA2[COD],SEMANA2[Columna34],"")</f>
        <v/>
      </c>
      <c r="M76" s="303">
        <f>IFERROR(+L76/K76,"0,00")</f>
        <v/>
      </c>
      <c r="N76" s="304">
        <f>_xlfn.XLOOKUP(C76,SEMANA2[COD],SEMANA2[Columna36],"")</f>
        <v/>
      </c>
      <c r="O76" s="304">
        <f>_xlfn.XLOOKUP(C76,SEMANA2[COD],SEMANA2[Columna37],"")</f>
        <v/>
      </c>
      <c r="P76" s="305">
        <f>IFERROR(+O76/N76,"0,00")</f>
        <v/>
      </c>
      <c r="Q76" s="306">
        <f>_xlfn.XLOOKUP(C76,SEMANA2[COD],SEMANA2[Columna1],"")</f>
        <v/>
      </c>
      <c r="R76" s="3" t="n"/>
      <c r="U76" s="393" t="inlineStr">
        <is>
          <t>COD 17</t>
        </is>
      </c>
      <c r="V76" s="393">
        <f>U76</f>
        <v/>
      </c>
    </row>
    <row r="77" outlineLevel="1" ht="23.1" customFormat="1" customHeight="1" s="393">
      <c r="A77" s="295" t="n"/>
      <c r="B77" s="296">
        <f>+B76+1</f>
        <v/>
      </c>
      <c r="C77" s="611" t="inlineStr">
        <is>
          <t>COD 18</t>
        </is>
      </c>
      <c r="D77" s="469">
        <f>_xlfn.XLOOKUP(C77,CODIGOS_Y_PAGOS[CODIGO],CODIGOS_Y_PAGOS[NOMBRE PARTICIPANTE],"")</f>
        <v/>
      </c>
      <c r="E77" s="298">
        <f>_xlfn.XLOOKUP($C77,SEMANA2[COD],SEMANA2[Columna14],"")</f>
        <v/>
      </c>
      <c r="F77" s="298">
        <f>_xlfn.XLOOKUP(C77,SEMANA2[COD],SEMANA2[Columna19],"")</f>
        <v/>
      </c>
      <c r="G77" s="299">
        <f>IFERROR(+F77/E77,"0,00")</f>
        <v/>
      </c>
      <c r="H77" s="300">
        <f>_xlfn.XLOOKUP(C77,SEMANA2[COD],SEMANA2[Columna32],"")</f>
        <v/>
      </c>
      <c r="I77" s="300">
        <f>_xlfn.XLOOKUP(C77,SEMANA2[COD],SEMANA2[Columna30],"")</f>
        <v/>
      </c>
      <c r="J77" s="301">
        <f>IFERROR(+I77/H77,"0,00")</f>
        <v/>
      </c>
      <c r="K77" s="302">
        <f>_xlfn.XLOOKUP(C77,SEMANA2[COD],SEMANA2[Columna32],"")</f>
        <v/>
      </c>
      <c r="L77" s="302">
        <f>_xlfn.XLOOKUP(C77,SEMANA2[COD],SEMANA2[Columna34],"")</f>
        <v/>
      </c>
      <c r="M77" s="303">
        <f>IFERROR(+L77/K77,"0,00")</f>
        <v/>
      </c>
      <c r="N77" s="304">
        <f>_xlfn.XLOOKUP(C77,SEMANA2[COD],SEMANA2[Columna36],"")</f>
        <v/>
      </c>
      <c r="O77" s="304">
        <f>_xlfn.XLOOKUP(C77,SEMANA2[COD],SEMANA2[Columna37],"")</f>
        <v/>
      </c>
      <c r="P77" s="305">
        <f>IFERROR(+O77/N77,"0,00")</f>
        <v/>
      </c>
      <c r="Q77" s="306">
        <f>_xlfn.XLOOKUP(C77,SEMANA2[COD],SEMANA2[Columna1],"")</f>
        <v/>
      </c>
      <c r="R77" s="3" t="n"/>
      <c r="U77" s="393" t="inlineStr">
        <is>
          <t>COD 18</t>
        </is>
      </c>
      <c r="V77" s="393">
        <f>U77</f>
        <v/>
      </c>
    </row>
    <row r="78" outlineLevel="1" ht="23.1" customFormat="1" customHeight="1" s="393">
      <c r="A78" s="295" t="n"/>
      <c r="B78" s="296">
        <f>+B77+1</f>
        <v/>
      </c>
      <c r="C78" s="611" t="inlineStr">
        <is>
          <t>COD 19</t>
        </is>
      </c>
      <c r="D78" s="469">
        <f>_xlfn.XLOOKUP(C78,CODIGOS_Y_PAGOS[CODIGO],CODIGOS_Y_PAGOS[NOMBRE PARTICIPANTE],"")</f>
        <v/>
      </c>
      <c r="E78" s="298">
        <f>_xlfn.XLOOKUP($C78,SEMANA2[COD],SEMANA2[Columna14],"")</f>
        <v/>
      </c>
      <c r="F78" s="298">
        <f>_xlfn.XLOOKUP(C78,SEMANA2[COD],SEMANA2[Columna19],"")</f>
        <v/>
      </c>
      <c r="G78" s="299">
        <f>IFERROR(+F78/E78,"0,00")</f>
        <v/>
      </c>
      <c r="H78" s="300">
        <f>_xlfn.XLOOKUP(C78,SEMANA2[COD],SEMANA2[Columna32],"")</f>
        <v/>
      </c>
      <c r="I78" s="300">
        <f>_xlfn.XLOOKUP(C78,SEMANA2[COD],SEMANA2[Columna30],"")</f>
        <v/>
      </c>
      <c r="J78" s="301">
        <f>IFERROR(+I78/H78,"0,00")</f>
        <v/>
      </c>
      <c r="K78" s="302">
        <f>_xlfn.XLOOKUP(C78,SEMANA2[COD],SEMANA2[Columna32],"")</f>
        <v/>
      </c>
      <c r="L78" s="302">
        <f>_xlfn.XLOOKUP(C78,SEMANA2[COD],SEMANA2[Columna34],"")</f>
        <v/>
      </c>
      <c r="M78" s="303">
        <f>IFERROR(+L78/K78,"0,00")</f>
        <v/>
      </c>
      <c r="N78" s="304">
        <f>_xlfn.XLOOKUP(C78,SEMANA2[COD],SEMANA2[Columna36],"")</f>
        <v/>
      </c>
      <c r="O78" s="304">
        <f>_xlfn.XLOOKUP(C78,SEMANA2[COD],SEMANA2[Columna37],"")</f>
        <v/>
      </c>
      <c r="P78" s="305">
        <f>IFERROR(+O78/N78,"0,00")</f>
        <v/>
      </c>
      <c r="Q78" s="306">
        <f>_xlfn.XLOOKUP(C78,SEMANA2[COD],SEMANA2[Columna1],"")</f>
        <v/>
      </c>
      <c r="R78" s="3" t="n"/>
      <c r="U78" s="393" t="inlineStr">
        <is>
          <t>COD 19</t>
        </is>
      </c>
      <c r="V78" s="393">
        <f>U78</f>
        <v/>
      </c>
    </row>
    <row r="79" outlineLevel="1" ht="23.1" customFormat="1" customHeight="1" s="393">
      <c r="A79" s="295" t="n"/>
      <c r="B79" s="296">
        <f>+B78+1</f>
        <v/>
      </c>
      <c r="C79" s="611" t="inlineStr">
        <is>
          <t>COD 20</t>
        </is>
      </c>
      <c r="D79" s="469">
        <f>_xlfn.XLOOKUP(C79,CODIGOS_Y_PAGOS[CODIGO],CODIGOS_Y_PAGOS[NOMBRE PARTICIPANTE],"")</f>
        <v/>
      </c>
      <c r="E79" s="298">
        <f>_xlfn.XLOOKUP($C79,SEMANA2[COD],SEMANA2[Columna14],"")</f>
        <v/>
      </c>
      <c r="F79" s="298">
        <f>_xlfn.XLOOKUP(C79,SEMANA2[COD],SEMANA2[Columna19],"")</f>
        <v/>
      </c>
      <c r="G79" s="299">
        <f>IFERROR(+F79/E79,"0,00")</f>
        <v/>
      </c>
      <c r="H79" s="300">
        <f>_xlfn.XLOOKUP(C79,SEMANA2[COD],SEMANA2[Columna32],"")</f>
        <v/>
      </c>
      <c r="I79" s="300">
        <f>_xlfn.XLOOKUP(C79,SEMANA2[COD],SEMANA2[Columna30],"")</f>
        <v/>
      </c>
      <c r="J79" s="301">
        <f>IFERROR(+I79/H79,"0,00")</f>
        <v/>
      </c>
      <c r="K79" s="302">
        <f>_xlfn.XLOOKUP(C79,SEMANA2[COD],SEMANA2[Columna32],"")</f>
        <v/>
      </c>
      <c r="L79" s="302">
        <f>_xlfn.XLOOKUP(C79,SEMANA2[COD],SEMANA2[Columna34],"")</f>
        <v/>
      </c>
      <c r="M79" s="303">
        <f>IFERROR(+L79/K79,"0,00")</f>
        <v/>
      </c>
      <c r="N79" s="304">
        <f>_xlfn.XLOOKUP(C79,SEMANA2[COD],SEMANA2[Columna36],"")</f>
        <v/>
      </c>
      <c r="O79" s="304">
        <f>_xlfn.XLOOKUP(C79,SEMANA2[COD],SEMANA2[Columna37],"")</f>
        <v/>
      </c>
      <c r="P79" s="305">
        <f>IFERROR(+O79/N79,"0,00")</f>
        <v/>
      </c>
      <c r="Q79" s="306">
        <f>_xlfn.XLOOKUP(C79,SEMANA2[COD],SEMANA2[Columna1],"")</f>
        <v/>
      </c>
      <c r="R79" s="3" t="n"/>
      <c r="U79" s="393" t="inlineStr">
        <is>
          <t>COD 20</t>
        </is>
      </c>
      <c r="V79" s="393">
        <f>U79</f>
        <v/>
      </c>
    </row>
    <row r="80" outlineLevel="1" ht="23.1" customFormat="1" customHeight="1" s="393">
      <c r="A80" s="295" t="n"/>
      <c r="B80" s="307">
        <f>+B79+1</f>
        <v/>
      </c>
      <c r="C80" s="611" t="inlineStr">
        <is>
          <t>COD 21</t>
        </is>
      </c>
      <c r="D80" s="469">
        <f>_xlfn.XLOOKUP(C80,CODIGOS_Y_PAGOS[CODIGO],CODIGOS_Y_PAGOS[NOMBRE PARTICIPANTE],"")</f>
        <v/>
      </c>
      <c r="E80" s="298">
        <f>_xlfn.XLOOKUP($C80,SEMANA2[COD],SEMANA2[Columna14],"")</f>
        <v/>
      </c>
      <c r="F80" s="298">
        <f>_xlfn.XLOOKUP(C80,SEMANA2[COD],SEMANA2[Columna19],"")</f>
        <v/>
      </c>
      <c r="G80" s="299">
        <f>IFERROR(+F80/E80,"0,00")</f>
        <v/>
      </c>
      <c r="H80" s="300">
        <f>_xlfn.XLOOKUP(C80,SEMANA2[COD],SEMANA2[Columna32],"")</f>
        <v/>
      </c>
      <c r="I80" s="300">
        <f>_xlfn.XLOOKUP(C80,SEMANA2[COD],SEMANA2[Columna30],"")</f>
        <v/>
      </c>
      <c r="J80" s="301">
        <f>IFERROR(+I80/H80,"0,00")</f>
        <v/>
      </c>
      <c r="K80" s="302">
        <f>_xlfn.XLOOKUP(C80,SEMANA2[COD],SEMANA2[Columna32],"")</f>
        <v/>
      </c>
      <c r="L80" s="302">
        <f>_xlfn.XLOOKUP(C80,SEMANA2[COD],SEMANA2[Columna34],"")</f>
        <v/>
      </c>
      <c r="M80" s="303">
        <f>IFERROR(+L80/K80,"0,00")</f>
        <v/>
      </c>
      <c r="N80" s="304">
        <f>_xlfn.XLOOKUP(C80,SEMANA2[COD],SEMANA2[Columna36],"")</f>
        <v/>
      </c>
      <c r="O80" s="304">
        <f>_xlfn.XLOOKUP(C80,SEMANA2[COD],SEMANA2[Columna37],"")</f>
        <v/>
      </c>
      <c r="P80" s="305">
        <f>IFERROR(+O80/N80,"0,00")</f>
        <v/>
      </c>
      <c r="Q80" s="306">
        <f>_xlfn.XLOOKUP(C80,SEMANA2[COD],SEMANA2[Columna1],"")</f>
        <v/>
      </c>
      <c r="R80" s="3" t="n"/>
      <c r="U80" s="393" t="inlineStr">
        <is>
          <t>COD 21</t>
        </is>
      </c>
      <c r="V80" s="393">
        <f>U80</f>
        <v/>
      </c>
    </row>
    <row r="81" outlineLevel="1" ht="23.1" customFormat="1" customHeight="1" s="393">
      <c r="A81" s="295" t="n"/>
      <c r="B81" s="308">
        <f>+B80+1</f>
        <v/>
      </c>
      <c r="C81" s="611" t="inlineStr">
        <is>
          <t>COD 22</t>
        </is>
      </c>
      <c r="D81" s="469">
        <f>_xlfn.XLOOKUP(C81,CODIGOS_Y_PAGOS[CODIGO],CODIGOS_Y_PAGOS[NOMBRE PARTICIPANTE],"")</f>
        <v/>
      </c>
      <c r="E81" s="298">
        <f>_xlfn.XLOOKUP($C81,SEMANA2[COD],SEMANA2[Columna14],"")</f>
        <v/>
      </c>
      <c r="F81" s="298">
        <f>_xlfn.XLOOKUP(C81,SEMANA2[COD],SEMANA2[Columna19],"")</f>
        <v/>
      </c>
      <c r="G81" s="299">
        <f>IFERROR(+F81/E81,"0,00")</f>
        <v/>
      </c>
      <c r="H81" s="300">
        <f>_xlfn.XLOOKUP(C81,SEMANA2[COD],SEMANA2[Columna32],"")</f>
        <v/>
      </c>
      <c r="I81" s="300">
        <f>_xlfn.XLOOKUP(C81,SEMANA2[COD],SEMANA2[Columna30],"")</f>
        <v/>
      </c>
      <c r="J81" s="301">
        <f>IFERROR(+I81/H81,"0,00")</f>
        <v/>
      </c>
      <c r="K81" s="302">
        <f>_xlfn.XLOOKUP(C81,SEMANA2[COD],SEMANA2[Columna32],"")</f>
        <v/>
      </c>
      <c r="L81" s="302">
        <f>_xlfn.XLOOKUP(C81,SEMANA2[COD],SEMANA2[Columna34],"")</f>
        <v/>
      </c>
      <c r="M81" s="303">
        <f>IFERROR(+L81/K81,"0,00")</f>
        <v/>
      </c>
      <c r="N81" s="304">
        <f>_xlfn.XLOOKUP(C81,SEMANA2[COD],SEMANA2[Columna36],"")</f>
        <v/>
      </c>
      <c r="O81" s="304">
        <f>_xlfn.XLOOKUP(C81,SEMANA2[COD],SEMANA2[Columna37],"")</f>
        <v/>
      </c>
      <c r="P81" s="305">
        <f>IFERROR(+O81/N81,"0,00")</f>
        <v/>
      </c>
      <c r="Q81" s="306">
        <f>_xlfn.XLOOKUP(C81,SEMANA2[COD],SEMANA2[Columna1],"")</f>
        <v/>
      </c>
      <c r="R81" s="3" t="n"/>
      <c r="U81" s="393" t="inlineStr">
        <is>
          <t>COD 22</t>
        </is>
      </c>
      <c r="V81" s="393">
        <f>U81</f>
        <v/>
      </c>
    </row>
    <row r="82" outlineLevel="1" ht="23.1" customFormat="1" customHeight="1" s="393">
      <c r="A82" s="295" t="n"/>
      <c r="B82" s="307">
        <f>+B81+1</f>
        <v/>
      </c>
      <c r="C82" s="611" t="inlineStr">
        <is>
          <t>COD 23</t>
        </is>
      </c>
      <c r="D82" s="469">
        <f>_xlfn.XLOOKUP(C82,CODIGOS_Y_PAGOS[CODIGO],CODIGOS_Y_PAGOS[NOMBRE PARTICIPANTE],"")</f>
        <v/>
      </c>
      <c r="E82" s="298">
        <f>_xlfn.XLOOKUP($C82,SEMANA2[COD],SEMANA2[Columna14],"")</f>
        <v/>
      </c>
      <c r="F82" s="298">
        <f>_xlfn.XLOOKUP(C82,SEMANA2[COD],SEMANA2[Columna19],"")</f>
        <v/>
      </c>
      <c r="G82" s="299">
        <f>IFERROR(+F82/E82,"0,00")</f>
        <v/>
      </c>
      <c r="H82" s="300">
        <f>_xlfn.XLOOKUP(C82,SEMANA2[COD],SEMANA2[Columna32],"")</f>
        <v/>
      </c>
      <c r="I82" s="300">
        <f>_xlfn.XLOOKUP(C82,SEMANA2[COD],SEMANA2[Columna30],"")</f>
        <v/>
      </c>
      <c r="J82" s="301">
        <f>IFERROR(+I82/H82,"0,00")</f>
        <v/>
      </c>
      <c r="K82" s="302">
        <f>_xlfn.XLOOKUP(C82,SEMANA2[COD],SEMANA2[Columna32],"")</f>
        <v/>
      </c>
      <c r="L82" s="302">
        <f>_xlfn.XLOOKUP(C82,SEMANA2[COD],SEMANA2[Columna34],"")</f>
        <v/>
      </c>
      <c r="M82" s="303">
        <f>IFERROR(+L82/K82,"0,00")</f>
        <v/>
      </c>
      <c r="N82" s="304">
        <f>_xlfn.XLOOKUP(C82,SEMANA2[COD],SEMANA2[Columna36],"")</f>
        <v/>
      </c>
      <c r="O82" s="304">
        <f>_xlfn.XLOOKUP(C82,SEMANA2[COD],SEMANA2[Columna37],"")</f>
        <v/>
      </c>
      <c r="P82" s="305">
        <f>IFERROR(+O82/N82,"0,00")</f>
        <v/>
      </c>
      <c r="Q82" s="306">
        <f>_xlfn.XLOOKUP(C82,SEMANA2[COD],SEMANA2[Columna1],"")</f>
        <v/>
      </c>
      <c r="R82" s="3" t="n"/>
      <c r="U82" s="393" t="inlineStr">
        <is>
          <t>COD 23</t>
        </is>
      </c>
      <c r="V82" s="393">
        <f>U82</f>
        <v/>
      </c>
    </row>
    <row r="83" outlineLevel="1" ht="23.1" customFormat="1" customHeight="1" s="393">
      <c r="A83" s="295" t="n"/>
      <c r="B83" s="307">
        <f>+B82+1</f>
        <v/>
      </c>
      <c r="C83" s="611" t="inlineStr">
        <is>
          <t>COD 24</t>
        </is>
      </c>
      <c r="D83" s="469">
        <f>_xlfn.XLOOKUP(C83,CODIGOS_Y_PAGOS[CODIGO],CODIGOS_Y_PAGOS[NOMBRE PARTICIPANTE],"")</f>
        <v/>
      </c>
      <c r="E83" s="298">
        <f>_xlfn.XLOOKUP($C83,SEMANA2[COD],SEMANA2[Columna14],"")</f>
        <v/>
      </c>
      <c r="F83" s="298">
        <f>_xlfn.XLOOKUP(C83,SEMANA2[COD],SEMANA2[Columna19],"")</f>
        <v/>
      </c>
      <c r="G83" s="299">
        <f>IFERROR(+F83/E83,"0,00")</f>
        <v/>
      </c>
      <c r="H83" s="300">
        <f>_xlfn.XLOOKUP(C83,SEMANA2[COD],SEMANA2[Columna32],"")</f>
        <v/>
      </c>
      <c r="I83" s="300">
        <f>_xlfn.XLOOKUP(C83,SEMANA2[COD],SEMANA2[Columna30],"")</f>
        <v/>
      </c>
      <c r="J83" s="301">
        <f>IFERROR(+I83/H83,"0,00")</f>
        <v/>
      </c>
      <c r="K83" s="302">
        <f>_xlfn.XLOOKUP(C83,SEMANA2[COD],SEMANA2[Columna32],"")</f>
        <v/>
      </c>
      <c r="L83" s="302">
        <f>_xlfn.XLOOKUP(C83,SEMANA2[COD],SEMANA2[Columna34],"")</f>
        <v/>
      </c>
      <c r="M83" s="303">
        <f>IFERROR(+L83/K83,"0,00")</f>
        <v/>
      </c>
      <c r="N83" s="304">
        <f>_xlfn.XLOOKUP(C83,SEMANA2[COD],SEMANA2[Columna36],"")</f>
        <v/>
      </c>
      <c r="O83" s="304">
        <f>_xlfn.XLOOKUP(C83,SEMANA2[COD],SEMANA2[Columna37],"")</f>
        <v/>
      </c>
      <c r="P83" s="305">
        <f>IFERROR(+O83/N83,"0,00")</f>
        <v/>
      </c>
      <c r="Q83" s="306">
        <f>_xlfn.XLOOKUP(C83,SEMANA2[COD],SEMANA2[Columna1],"")</f>
        <v/>
      </c>
      <c r="R83" s="3" t="n"/>
      <c r="U83" s="393" t="inlineStr">
        <is>
          <t>COD 24</t>
        </is>
      </c>
      <c r="V83" s="393">
        <f>U83</f>
        <v/>
      </c>
    </row>
    <row r="84" outlineLevel="1" ht="23.1" customFormat="1" customHeight="1" s="393">
      <c r="A84" s="295" t="n"/>
      <c r="B84" s="307">
        <f>+B83+1</f>
        <v/>
      </c>
      <c r="C84" s="611" t="inlineStr">
        <is>
          <t>COD 25</t>
        </is>
      </c>
      <c r="D84" s="469">
        <f>_xlfn.XLOOKUP(C84,CODIGOS_Y_PAGOS[CODIGO],CODIGOS_Y_PAGOS[NOMBRE PARTICIPANTE],"")</f>
        <v/>
      </c>
      <c r="E84" s="298">
        <f>_xlfn.XLOOKUP($C84,SEMANA2[COD],SEMANA2[Columna14],"")</f>
        <v/>
      </c>
      <c r="F84" s="298">
        <f>_xlfn.XLOOKUP(C84,SEMANA2[COD],SEMANA2[Columna19],"")</f>
        <v/>
      </c>
      <c r="G84" s="299">
        <f>IFERROR(+F84/E84,"0,00")</f>
        <v/>
      </c>
      <c r="H84" s="300">
        <f>_xlfn.XLOOKUP(C84,SEMANA2[COD],SEMANA2[Columna32],"")</f>
        <v/>
      </c>
      <c r="I84" s="300">
        <f>_xlfn.XLOOKUP(C84,SEMANA2[COD],SEMANA2[Columna30],"")</f>
        <v/>
      </c>
      <c r="J84" s="301">
        <f>IFERROR(+I84/H84,"0,00")</f>
        <v/>
      </c>
      <c r="K84" s="302">
        <f>_xlfn.XLOOKUP(C84,SEMANA2[COD],SEMANA2[Columna32],"")</f>
        <v/>
      </c>
      <c r="L84" s="302">
        <f>_xlfn.XLOOKUP(C84,SEMANA2[COD],SEMANA2[Columna34],"")</f>
        <v/>
      </c>
      <c r="M84" s="303">
        <f>IFERROR(+L84/K84,"0,00")</f>
        <v/>
      </c>
      <c r="N84" s="304">
        <f>_xlfn.XLOOKUP(C84,SEMANA2[COD],SEMANA2[Columna36],"")</f>
        <v/>
      </c>
      <c r="O84" s="304">
        <f>_xlfn.XLOOKUP(C84,SEMANA2[COD],SEMANA2[Columna37],"")</f>
        <v/>
      </c>
      <c r="P84" s="305">
        <f>IFERROR(+O84/N84,"0,00")</f>
        <v/>
      </c>
      <c r="Q84" s="306">
        <f>_xlfn.XLOOKUP(C84,SEMANA2[COD],SEMANA2[Columna1],"")</f>
        <v/>
      </c>
      <c r="R84" s="3" t="n"/>
      <c r="U84" s="393" t="inlineStr">
        <is>
          <t>COD 25</t>
        </is>
      </c>
      <c r="V84" s="393">
        <f>U84</f>
        <v/>
      </c>
    </row>
    <row r="85" outlineLevel="1" ht="23.1" customFormat="1" customHeight="1" s="393">
      <c r="A85" s="295" t="n"/>
      <c r="B85" s="307">
        <f>+B84+1</f>
        <v/>
      </c>
      <c r="C85" s="611" t="inlineStr">
        <is>
          <t>COD 26</t>
        </is>
      </c>
      <c r="D85" s="469">
        <f>_xlfn.XLOOKUP(C85,CODIGOS_Y_PAGOS[CODIGO],CODIGOS_Y_PAGOS[NOMBRE PARTICIPANTE],"")</f>
        <v/>
      </c>
      <c r="E85" s="298">
        <f>_xlfn.XLOOKUP($C85,SEMANA2[COD],SEMANA2[Columna14],"")</f>
        <v/>
      </c>
      <c r="F85" s="298">
        <f>_xlfn.XLOOKUP(C85,SEMANA2[COD],SEMANA2[Columna19],"")</f>
        <v/>
      </c>
      <c r="G85" s="299">
        <f>IFERROR(+F85/E85,"0,00")</f>
        <v/>
      </c>
      <c r="H85" s="300">
        <f>_xlfn.XLOOKUP(C85,SEMANA2[COD],SEMANA2[Columna32],"")</f>
        <v/>
      </c>
      <c r="I85" s="300">
        <f>_xlfn.XLOOKUP(C85,SEMANA2[COD],SEMANA2[Columna30],"")</f>
        <v/>
      </c>
      <c r="J85" s="301">
        <f>IFERROR(+I85/H85,"0,00")</f>
        <v/>
      </c>
      <c r="K85" s="302">
        <f>_xlfn.XLOOKUP(C85,SEMANA2[COD],SEMANA2[Columna32],"")</f>
        <v/>
      </c>
      <c r="L85" s="302">
        <f>_xlfn.XLOOKUP(C85,SEMANA2[COD],SEMANA2[Columna34],"")</f>
        <v/>
      </c>
      <c r="M85" s="303">
        <f>IFERROR(+L85/K85,"0,00")</f>
        <v/>
      </c>
      <c r="N85" s="304">
        <f>_xlfn.XLOOKUP(C85,SEMANA2[COD],SEMANA2[Columna36],"")</f>
        <v/>
      </c>
      <c r="O85" s="304">
        <f>_xlfn.XLOOKUP(C85,SEMANA2[COD],SEMANA2[Columna37],"")</f>
        <v/>
      </c>
      <c r="P85" s="305">
        <f>IFERROR(+O85/N85,"0,00")</f>
        <v/>
      </c>
      <c r="Q85" s="306">
        <f>_xlfn.XLOOKUP(C85,SEMANA2[COD],SEMANA2[Columna1],"")</f>
        <v/>
      </c>
      <c r="R85" s="3" t="n"/>
      <c r="U85" s="393" t="inlineStr">
        <is>
          <t>COD 26</t>
        </is>
      </c>
      <c r="V85" s="393">
        <f>U85</f>
        <v/>
      </c>
    </row>
    <row r="86" outlineLevel="1" ht="23.1" customFormat="1" customHeight="1" s="393">
      <c r="A86" s="295" t="n"/>
      <c r="B86" s="307">
        <f>+B85+1</f>
        <v/>
      </c>
      <c r="C86" s="611" t="inlineStr">
        <is>
          <t>COD 27</t>
        </is>
      </c>
      <c r="D86" s="469">
        <f>_xlfn.XLOOKUP(C86,CODIGOS_Y_PAGOS[CODIGO],CODIGOS_Y_PAGOS[NOMBRE PARTICIPANTE],"")</f>
        <v/>
      </c>
      <c r="E86" s="298">
        <f>_xlfn.XLOOKUP($C86,SEMANA2[COD],SEMANA2[Columna14],"")</f>
        <v/>
      </c>
      <c r="F86" s="298">
        <f>_xlfn.XLOOKUP(C86,SEMANA2[COD],SEMANA2[Columna19],"")</f>
        <v/>
      </c>
      <c r="G86" s="299">
        <f>IFERROR(+F86/E86,"0,00")</f>
        <v/>
      </c>
      <c r="H86" s="300">
        <f>_xlfn.XLOOKUP(C86,SEMANA2[COD],SEMANA2[Columna32],"")</f>
        <v/>
      </c>
      <c r="I86" s="300">
        <f>_xlfn.XLOOKUP(C86,SEMANA2[COD],SEMANA2[Columna30],"")</f>
        <v/>
      </c>
      <c r="J86" s="301">
        <f>IFERROR(+I86/H86,"0,00")</f>
        <v/>
      </c>
      <c r="K86" s="302">
        <f>_xlfn.XLOOKUP(C86,SEMANA2[COD],SEMANA2[Columna32],"")</f>
        <v/>
      </c>
      <c r="L86" s="302">
        <f>_xlfn.XLOOKUP(C86,SEMANA2[COD],SEMANA2[Columna34],"")</f>
        <v/>
      </c>
      <c r="M86" s="303">
        <f>IFERROR(+L86/K86,"0,00")</f>
        <v/>
      </c>
      <c r="N86" s="304">
        <f>_xlfn.XLOOKUP(C86,SEMANA2[COD],SEMANA2[Columna36],"")</f>
        <v/>
      </c>
      <c r="O86" s="304">
        <f>_xlfn.XLOOKUP(C86,SEMANA2[COD],SEMANA2[Columna37],"")</f>
        <v/>
      </c>
      <c r="P86" s="305">
        <f>IFERROR(+O86/N86,"0,00")</f>
        <v/>
      </c>
      <c r="Q86" s="306">
        <f>_xlfn.XLOOKUP(C86,SEMANA2[COD],SEMANA2[Columna1],"")</f>
        <v/>
      </c>
      <c r="R86" s="3" t="n"/>
      <c r="U86" s="393" t="inlineStr">
        <is>
          <t>COD 27</t>
        </is>
      </c>
      <c r="V86" s="393">
        <f>U86</f>
        <v/>
      </c>
    </row>
    <row r="87" outlineLevel="1" ht="23.1" customFormat="1" customHeight="1" s="393">
      <c r="A87" s="295" t="n"/>
      <c r="B87" s="307">
        <f>+B86+1</f>
        <v/>
      </c>
      <c r="C87" s="611" t="inlineStr">
        <is>
          <t>COD 28</t>
        </is>
      </c>
      <c r="D87" s="469">
        <f>_xlfn.XLOOKUP(C87,CODIGOS_Y_PAGOS[CODIGO],CODIGOS_Y_PAGOS[NOMBRE PARTICIPANTE],"")</f>
        <v/>
      </c>
      <c r="E87" s="298">
        <f>_xlfn.XLOOKUP($C87,SEMANA2[COD],SEMANA2[Columna14],"")</f>
        <v/>
      </c>
      <c r="F87" s="298">
        <f>_xlfn.XLOOKUP(C87,SEMANA2[COD],SEMANA2[Columna19],"")</f>
        <v/>
      </c>
      <c r="G87" s="299">
        <f>IFERROR(+F87/E87,"0,00")</f>
        <v/>
      </c>
      <c r="H87" s="300">
        <f>_xlfn.XLOOKUP(C87,SEMANA2[COD],SEMANA2[Columna32],"")</f>
        <v/>
      </c>
      <c r="I87" s="300">
        <f>_xlfn.XLOOKUP(C87,SEMANA2[COD],SEMANA2[Columna30],"")</f>
        <v/>
      </c>
      <c r="J87" s="301">
        <f>IFERROR(+I87/H87,"0,00")</f>
        <v/>
      </c>
      <c r="K87" s="302">
        <f>_xlfn.XLOOKUP(C87,SEMANA2[COD],SEMANA2[Columna32],"")</f>
        <v/>
      </c>
      <c r="L87" s="302">
        <f>_xlfn.XLOOKUP(C87,SEMANA2[COD],SEMANA2[Columna34],"")</f>
        <v/>
      </c>
      <c r="M87" s="303">
        <f>IFERROR(+L87/K87,"0,00")</f>
        <v/>
      </c>
      <c r="N87" s="304">
        <f>_xlfn.XLOOKUP(C87,SEMANA2[COD],SEMANA2[Columna36],"")</f>
        <v/>
      </c>
      <c r="O87" s="304">
        <f>_xlfn.XLOOKUP(C87,SEMANA2[COD],SEMANA2[Columna37],"")</f>
        <v/>
      </c>
      <c r="P87" s="305">
        <f>IFERROR(+O87/N87,"0,00")</f>
        <v/>
      </c>
      <c r="Q87" s="306">
        <f>_xlfn.XLOOKUP(C87,SEMANA2[COD],SEMANA2[Columna1],"")</f>
        <v/>
      </c>
      <c r="R87" s="3" t="n"/>
      <c r="U87" s="393" t="inlineStr">
        <is>
          <t>COD 28</t>
        </is>
      </c>
      <c r="V87" s="393">
        <f>U87</f>
        <v/>
      </c>
    </row>
    <row r="88" outlineLevel="1" ht="23.1" customFormat="1" customHeight="1" s="393">
      <c r="A88" s="295" t="n"/>
      <c r="B88" s="307">
        <f>+B87+1</f>
        <v/>
      </c>
      <c r="C88" s="611" t="inlineStr">
        <is>
          <t>COD 29</t>
        </is>
      </c>
      <c r="D88" s="469">
        <f>_xlfn.XLOOKUP(C88,CODIGOS_Y_PAGOS[CODIGO],CODIGOS_Y_PAGOS[NOMBRE PARTICIPANTE],"")</f>
        <v/>
      </c>
      <c r="E88" s="298">
        <f>_xlfn.XLOOKUP($C88,SEMANA2[COD],SEMANA2[Columna14],"")</f>
        <v/>
      </c>
      <c r="F88" s="298">
        <f>_xlfn.XLOOKUP(C88,SEMANA2[COD],SEMANA2[Columna19],"")</f>
        <v/>
      </c>
      <c r="G88" s="299">
        <f>IFERROR(+F88/E88,"0,00")</f>
        <v/>
      </c>
      <c r="H88" s="300">
        <f>_xlfn.XLOOKUP(C88,SEMANA2[COD],SEMANA2[Columna32],"")</f>
        <v/>
      </c>
      <c r="I88" s="300">
        <f>_xlfn.XLOOKUP(C88,SEMANA2[COD],SEMANA2[Columna30],"")</f>
        <v/>
      </c>
      <c r="J88" s="301">
        <f>IFERROR(+I88/H88,"0,00")</f>
        <v/>
      </c>
      <c r="K88" s="302">
        <f>_xlfn.XLOOKUP(C88,SEMANA2[COD],SEMANA2[Columna32],"")</f>
        <v/>
      </c>
      <c r="L88" s="302">
        <f>_xlfn.XLOOKUP(C88,SEMANA2[COD],SEMANA2[Columna34],"")</f>
        <v/>
      </c>
      <c r="M88" s="303">
        <f>IFERROR(+L88/K88,"0,00")</f>
        <v/>
      </c>
      <c r="N88" s="304">
        <f>_xlfn.XLOOKUP(C88,SEMANA2[COD],SEMANA2[Columna36],"")</f>
        <v/>
      </c>
      <c r="O88" s="304">
        <f>_xlfn.XLOOKUP(C88,SEMANA2[COD],SEMANA2[Columna37],"")</f>
        <v/>
      </c>
      <c r="P88" s="305">
        <f>IFERROR(+O88/N88,"0,00")</f>
        <v/>
      </c>
      <c r="Q88" s="306">
        <f>_xlfn.XLOOKUP(C88,SEMANA2[COD],SEMANA2[Columna1],"")</f>
        <v/>
      </c>
      <c r="R88" s="3" t="n"/>
      <c r="U88" s="393" t="inlineStr">
        <is>
          <t>COD 29</t>
        </is>
      </c>
      <c r="V88" s="393">
        <f>U88</f>
        <v/>
      </c>
    </row>
    <row r="89" outlineLevel="1" ht="23.1" customFormat="1" customHeight="1" s="393">
      <c r="A89" s="295" t="n"/>
      <c r="B89" s="307">
        <f>+B88+1</f>
        <v/>
      </c>
      <c r="C89" s="611" t="inlineStr">
        <is>
          <t>COD 30</t>
        </is>
      </c>
      <c r="D89" s="469">
        <f>_xlfn.XLOOKUP(C89,CODIGOS_Y_PAGOS[CODIGO],CODIGOS_Y_PAGOS[NOMBRE PARTICIPANTE],"")</f>
        <v/>
      </c>
      <c r="E89" s="298">
        <f>_xlfn.XLOOKUP($C89,SEMANA2[COD],SEMANA2[Columna14],"")</f>
        <v/>
      </c>
      <c r="F89" s="298">
        <f>_xlfn.XLOOKUP(C89,SEMANA2[COD],SEMANA2[Columna19],"")</f>
        <v/>
      </c>
      <c r="G89" s="299">
        <f>IFERROR(+F89/E89,"0,00")</f>
        <v/>
      </c>
      <c r="H89" s="300">
        <f>_xlfn.XLOOKUP(C89,SEMANA2[COD],SEMANA2[Columna32],"")</f>
        <v/>
      </c>
      <c r="I89" s="300">
        <f>_xlfn.XLOOKUP(C89,SEMANA2[COD],SEMANA2[Columna30],"")</f>
        <v/>
      </c>
      <c r="J89" s="301">
        <f>IFERROR(+I89/H89,"0,00")</f>
        <v/>
      </c>
      <c r="K89" s="302">
        <f>_xlfn.XLOOKUP(C89,SEMANA2[COD],SEMANA2[Columna32],"")</f>
        <v/>
      </c>
      <c r="L89" s="302">
        <f>_xlfn.XLOOKUP(C89,SEMANA2[COD],SEMANA2[Columna34],"")</f>
        <v/>
      </c>
      <c r="M89" s="303">
        <f>IFERROR(+L89/K89,"0,00")</f>
        <v/>
      </c>
      <c r="N89" s="304">
        <f>_xlfn.XLOOKUP(C89,SEMANA2[COD],SEMANA2[Columna36],"")</f>
        <v/>
      </c>
      <c r="O89" s="304">
        <f>_xlfn.XLOOKUP(C89,SEMANA2[COD],SEMANA2[Columna37],"")</f>
        <v/>
      </c>
      <c r="P89" s="305">
        <f>IFERROR(+O89/N89,"0,00")</f>
        <v/>
      </c>
      <c r="Q89" s="306">
        <f>_xlfn.XLOOKUP(C89,SEMANA2[COD],SEMANA2[Columna1],"")</f>
        <v/>
      </c>
      <c r="R89" s="3" t="n"/>
      <c r="U89" s="393" t="inlineStr">
        <is>
          <t>COD 30</t>
        </is>
      </c>
      <c r="V89" s="393">
        <f>U89</f>
        <v/>
      </c>
    </row>
    <row r="90" outlineLevel="1" ht="23.1" customFormat="1" customHeight="1" s="393">
      <c r="A90" s="295" t="n"/>
      <c r="B90" s="307">
        <f>+B89+1</f>
        <v/>
      </c>
      <c r="C90" s="611" t="inlineStr">
        <is>
          <t>COD 31</t>
        </is>
      </c>
      <c r="D90" s="469">
        <f>_xlfn.XLOOKUP(C90,CODIGOS_Y_PAGOS[CODIGO],CODIGOS_Y_PAGOS[NOMBRE PARTICIPANTE],"")</f>
        <v/>
      </c>
      <c r="E90" s="298">
        <f>_xlfn.XLOOKUP($C90,SEMANA2[COD],SEMANA2[Columna14],"")</f>
        <v/>
      </c>
      <c r="F90" s="298">
        <f>_xlfn.XLOOKUP(C90,SEMANA2[COD],SEMANA2[Columna19],"")</f>
        <v/>
      </c>
      <c r="G90" s="299">
        <f>IFERROR(+F90/E90,"0,00")</f>
        <v/>
      </c>
      <c r="H90" s="300">
        <f>_xlfn.XLOOKUP(C90,SEMANA2[COD],SEMANA2[Columna32],"")</f>
        <v/>
      </c>
      <c r="I90" s="300">
        <f>_xlfn.XLOOKUP(C90,SEMANA2[COD],SEMANA2[Columna30],"")</f>
        <v/>
      </c>
      <c r="J90" s="301">
        <f>IFERROR(+I90/H90,"0,00")</f>
        <v/>
      </c>
      <c r="K90" s="302">
        <f>_xlfn.XLOOKUP(C90,SEMANA2[COD],SEMANA2[Columna32],"")</f>
        <v/>
      </c>
      <c r="L90" s="302">
        <f>_xlfn.XLOOKUP(C90,SEMANA2[COD],SEMANA2[Columna34],"")</f>
        <v/>
      </c>
      <c r="M90" s="303">
        <f>IFERROR(+L90/K90,"0,00")</f>
        <v/>
      </c>
      <c r="N90" s="304">
        <f>_xlfn.XLOOKUP(C90,SEMANA2[COD],SEMANA2[Columna36],"")</f>
        <v/>
      </c>
      <c r="O90" s="304">
        <f>_xlfn.XLOOKUP(C90,SEMANA2[COD],SEMANA2[Columna37],"")</f>
        <v/>
      </c>
      <c r="P90" s="305">
        <f>IFERROR(+O90/N90,"0,00")</f>
        <v/>
      </c>
      <c r="Q90" s="306">
        <f>_xlfn.XLOOKUP(C90,SEMANA2[COD],SEMANA2[Columna1],"")</f>
        <v/>
      </c>
      <c r="R90" s="3" t="n"/>
      <c r="U90" s="393" t="inlineStr">
        <is>
          <t>COD 31</t>
        </is>
      </c>
      <c r="V90" s="393">
        <f>U90</f>
        <v/>
      </c>
    </row>
    <row r="91" outlineLevel="1" ht="23.1" customFormat="1" customHeight="1" s="393">
      <c r="A91" s="295" t="n"/>
      <c r="B91" s="307">
        <f>+B90+1</f>
        <v/>
      </c>
      <c r="C91" s="611" t="inlineStr">
        <is>
          <t>COD 32</t>
        </is>
      </c>
      <c r="D91" s="469">
        <f>_xlfn.XLOOKUP(C91,CODIGOS_Y_PAGOS[CODIGO],CODIGOS_Y_PAGOS[NOMBRE PARTICIPANTE],"")</f>
        <v/>
      </c>
      <c r="E91" s="298">
        <f>_xlfn.XLOOKUP($C91,SEMANA2[COD],SEMANA2[Columna14],"")</f>
        <v/>
      </c>
      <c r="F91" s="298">
        <f>_xlfn.XLOOKUP(C91,SEMANA2[COD],SEMANA2[Columna19],"")</f>
        <v/>
      </c>
      <c r="G91" s="299">
        <f>IFERROR(+F91/E91,"0,00")</f>
        <v/>
      </c>
      <c r="H91" s="300">
        <f>_xlfn.XLOOKUP(C91,SEMANA2[COD],SEMANA2[Columna32],"")</f>
        <v/>
      </c>
      <c r="I91" s="300">
        <f>_xlfn.XLOOKUP(C91,SEMANA2[COD],SEMANA2[Columna30],"")</f>
        <v/>
      </c>
      <c r="J91" s="301">
        <f>IFERROR(+I91/H91,"0,00")</f>
        <v/>
      </c>
      <c r="K91" s="302">
        <f>_xlfn.XLOOKUP(C91,SEMANA2[COD],SEMANA2[Columna32],"")</f>
        <v/>
      </c>
      <c r="L91" s="302">
        <f>_xlfn.XLOOKUP(C91,SEMANA2[COD],SEMANA2[Columna34],"")</f>
        <v/>
      </c>
      <c r="M91" s="303">
        <f>IFERROR(+L91/K91,"0,00")</f>
        <v/>
      </c>
      <c r="N91" s="304">
        <f>_xlfn.XLOOKUP(C91,SEMANA2[COD],SEMANA2[Columna36],"")</f>
        <v/>
      </c>
      <c r="O91" s="304">
        <f>_xlfn.XLOOKUP(C91,SEMANA2[COD],SEMANA2[Columna37],"")</f>
        <v/>
      </c>
      <c r="P91" s="305">
        <f>IFERROR(+O91/N91,"0,00")</f>
        <v/>
      </c>
      <c r="Q91" s="306">
        <f>_xlfn.XLOOKUP(C91,SEMANA2[COD],SEMANA2[Columna1],"")</f>
        <v/>
      </c>
      <c r="R91" s="3" t="n"/>
      <c r="U91" s="393" t="inlineStr">
        <is>
          <t>COD 32</t>
        </is>
      </c>
      <c r="V91" s="393">
        <f>U91</f>
        <v/>
      </c>
    </row>
    <row r="92" outlineLevel="1" ht="23.1" customFormat="1" customHeight="1" s="393">
      <c r="A92" s="295" t="n"/>
      <c r="B92" s="307">
        <f>+B91+1</f>
        <v/>
      </c>
      <c r="C92" s="611" t="inlineStr">
        <is>
          <t>COD 33</t>
        </is>
      </c>
      <c r="D92" s="469">
        <f>_xlfn.XLOOKUP(C92,CODIGOS_Y_PAGOS[CODIGO],CODIGOS_Y_PAGOS[NOMBRE PARTICIPANTE],"")</f>
        <v/>
      </c>
      <c r="E92" s="298">
        <f>_xlfn.XLOOKUP($C92,SEMANA2[COD],SEMANA2[Columna14],"")</f>
        <v/>
      </c>
      <c r="F92" s="298">
        <f>_xlfn.XLOOKUP(C92,SEMANA2[COD],SEMANA2[Columna19],"")</f>
        <v/>
      </c>
      <c r="G92" s="299">
        <f>IFERROR(+F92/E92,"0,00")</f>
        <v/>
      </c>
      <c r="H92" s="300">
        <f>_xlfn.XLOOKUP(C92,SEMANA2[COD],SEMANA2[Columna32],"")</f>
        <v/>
      </c>
      <c r="I92" s="300">
        <f>_xlfn.XLOOKUP(C92,SEMANA2[COD],SEMANA2[Columna30],"")</f>
        <v/>
      </c>
      <c r="J92" s="301">
        <f>IFERROR(+I92/H92,"0,00")</f>
        <v/>
      </c>
      <c r="K92" s="302">
        <f>_xlfn.XLOOKUP(C92,SEMANA2[COD],SEMANA2[Columna32],"")</f>
        <v/>
      </c>
      <c r="L92" s="302">
        <f>_xlfn.XLOOKUP(C92,SEMANA2[COD],SEMANA2[Columna34],"")</f>
        <v/>
      </c>
      <c r="M92" s="303">
        <f>IFERROR(+L92/K92,"0,00")</f>
        <v/>
      </c>
      <c r="N92" s="304">
        <f>_xlfn.XLOOKUP(C92,SEMANA2[COD],SEMANA2[Columna36],"")</f>
        <v/>
      </c>
      <c r="O92" s="304">
        <f>_xlfn.XLOOKUP(C92,SEMANA2[COD],SEMANA2[Columna37],"")</f>
        <v/>
      </c>
      <c r="P92" s="305">
        <f>IFERROR(+O92/N92,"0,00")</f>
        <v/>
      </c>
      <c r="Q92" s="306">
        <f>_xlfn.XLOOKUP(C92,SEMANA2[COD],SEMANA2[Columna1],"")</f>
        <v/>
      </c>
      <c r="R92" s="3" t="n"/>
      <c r="U92" s="393" t="inlineStr">
        <is>
          <t>COD 33</t>
        </is>
      </c>
      <c r="V92" s="393">
        <f>U92</f>
        <v/>
      </c>
    </row>
    <row r="93" outlineLevel="1" ht="23.1" customFormat="1" customHeight="1" s="393">
      <c r="A93" s="295" t="n"/>
      <c r="B93" s="307">
        <f>+B92+1</f>
        <v/>
      </c>
      <c r="C93" s="611" t="inlineStr">
        <is>
          <t>COD 34</t>
        </is>
      </c>
      <c r="D93" s="469">
        <f>_xlfn.XLOOKUP(C93,CODIGOS_Y_PAGOS[CODIGO],CODIGOS_Y_PAGOS[NOMBRE PARTICIPANTE],"")</f>
        <v/>
      </c>
      <c r="E93" s="298">
        <f>_xlfn.XLOOKUP($C93,SEMANA2[COD],SEMANA2[Columna14],"")</f>
        <v/>
      </c>
      <c r="F93" s="298">
        <f>_xlfn.XLOOKUP(C93,SEMANA2[COD],SEMANA2[Columna19],"")</f>
        <v/>
      </c>
      <c r="G93" s="299">
        <f>IFERROR(+F93/E93,"0,00")</f>
        <v/>
      </c>
      <c r="H93" s="300">
        <f>_xlfn.XLOOKUP(C93,SEMANA2[COD],SEMANA2[Columna32],"")</f>
        <v/>
      </c>
      <c r="I93" s="300">
        <f>_xlfn.XLOOKUP(C93,SEMANA2[COD],SEMANA2[Columna30],"")</f>
        <v/>
      </c>
      <c r="J93" s="301">
        <f>IFERROR(+I93/H93,"0,00")</f>
        <v/>
      </c>
      <c r="K93" s="302">
        <f>_xlfn.XLOOKUP(C93,SEMANA2[COD],SEMANA2[Columna32],"")</f>
        <v/>
      </c>
      <c r="L93" s="302">
        <f>_xlfn.XLOOKUP(C93,SEMANA2[COD],SEMANA2[Columna34],"")</f>
        <v/>
      </c>
      <c r="M93" s="303">
        <f>IFERROR(+L93/K93,"0,00")</f>
        <v/>
      </c>
      <c r="N93" s="304">
        <f>_xlfn.XLOOKUP(C93,SEMANA2[COD],SEMANA2[Columna36],"")</f>
        <v/>
      </c>
      <c r="O93" s="304">
        <f>_xlfn.XLOOKUP(C93,SEMANA2[COD],SEMANA2[Columna37],"")</f>
        <v/>
      </c>
      <c r="P93" s="305">
        <f>IFERROR(+O93/N93,"0,00")</f>
        <v/>
      </c>
      <c r="Q93" s="306">
        <f>_xlfn.XLOOKUP(C93,SEMANA2[COD],SEMANA2[Columna1],"")</f>
        <v/>
      </c>
      <c r="R93" s="3" t="n"/>
      <c r="U93" s="393" t="inlineStr">
        <is>
          <t>COD 34</t>
        </is>
      </c>
      <c r="V93" s="393">
        <f>U93</f>
        <v/>
      </c>
    </row>
    <row r="94" outlineLevel="1" ht="23.1" customFormat="1" customHeight="1" s="393">
      <c r="A94" s="295" t="n"/>
      <c r="B94" s="307">
        <f>+B93+1</f>
        <v/>
      </c>
      <c r="C94" s="611" t="inlineStr">
        <is>
          <t>COD 35</t>
        </is>
      </c>
      <c r="D94" s="469">
        <f>_xlfn.XLOOKUP(C94,CODIGOS_Y_PAGOS[CODIGO],CODIGOS_Y_PAGOS[NOMBRE PARTICIPANTE],"")</f>
        <v/>
      </c>
      <c r="E94" s="298">
        <f>_xlfn.XLOOKUP($C94,SEMANA2[COD],SEMANA2[Columna14],"")</f>
        <v/>
      </c>
      <c r="F94" s="298">
        <f>_xlfn.XLOOKUP(C94,SEMANA2[COD],SEMANA2[Columna19],"")</f>
        <v/>
      </c>
      <c r="G94" s="299">
        <f>IFERROR(+F94/E94,"0,00")</f>
        <v/>
      </c>
      <c r="H94" s="300">
        <f>_xlfn.XLOOKUP(C94,SEMANA2[COD],SEMANA2[Columna32],"")</f>
        <v/>
      </c>
      <c r="I94" s="300">
        <f>_xlfn.XLOOKUP(C94,SEMANA2[COD],SEMANA2[Columna30],"")</f>
        <v/>
      </c>
      <c r="J94" s="301">
        <f>IFERROR(+I94/H94,"0,00")</f>
        <v/>
      </c>
      <c r="K94" s="302">
        <f>_xlfn.XLOOKUP(C94,SEMANA2[COD],SEMANA2[Columna32],"")</f>
        <v/>
      </c>
      <c r="L94" s="302">
        <f>_xlfn.XLOOKUP(C94,SEMANA2[COD],SEMANA2[Columna34],"")</f>
        <v/>
      </c>
      <c r="M94" s="303">
        <f>IFERROR(+L94/K94,"0,00")</f>
        <v/>
      </c>
      <c r="N94" s="304">
        <f>_xlfn.XLOOKUP(C94,SEMANA2[COD],SEMANA2[Columna36],"")</f>
        <v/>
      </c>
      <c r="O94" s="304">
        <f>_xlfn.XLOOKUP(C94,SEMANA2[COD],SEMANA2[Columna37],"")</f>
        <v/>
      </c>
      <c r="P94" s="305">
        <f>IFERROR(+O94/N94,"0,00")</f>
        <v/>
      </c>
      <c r="Q94" s="306">
        <f>_xlfn.XLOOKUP(C94,SEMANA2[COD],SEMANA2[Columna1],"")</f>
        <v/>
      </c>
      <c r="R94" s="3" t="n"/>
      <c r="U94" s="393" t="inlineStr">
        <is>
          <t>COD 35</t>
        </is>
      </c>
      <c r="V94" s="393">
        <f>U94</f>
        <v/>
      </c>
    </row>
    <row r="95" outlineLevel="1" ht="23.1" customFormat="1" customHeight="1" s="393">
      <c r="A95" s="295" t="n"/>
      <c r="B95" s="307">
        <f>+B94+1</f>
        <v/>
      </c>
      <c r="C95" s="611" t="inlineStr">
        <is>
          <t>COD 36</t>
        </is>
      </c>
      <c r="D95" s="469">
        <f>_xlfn.XLOOKUP(C95,CODIGOS_Y_PAGOS[CODIGO],CODIGOS_Y_PAGOS[NOMBRE PARTICIPANTE],"")</f>
        <v/>
      </c>
      <c r="E95" s="298">
        <f>_xlfn.XLOOKUP($C95,SEMANA2[COD],SEMANA2[Columna14],"")</f>
        <v/>
      </c>
      <c r="F95" s="298">
        <f>_xlfn.XLOOKUP(C95,SEMANA2[COD],SEMANA2[Columna19],"")</f>
        <v/>
      </c>
      <c r="G95" s="299">
        <f>IFERROR(+F95/E95,"0,00")</f>
        <v/>
      </c>
      <c r="H95" s="300">
        <f>_xlfn.XLOOKUP(C95,SEMANA2[COD],SEMANA2[Columna32],"")</f>
        <v/>
      </c>
      <c r="I95" s="300">
        <f>_xlfn.XLOOKUP(C95,SEMANA2[COD],SEMANA2[Columna30],"")</f>
        <v/>
      </c>
      <c r="J95" s="301">
        <f>IFERROR(+I95/H95,"0,00")</f>
        <v/>
      </c>
      <c r="K95" s="302">
        <f>_xlfn.XLOOKUP(C95,SEMANA2[COD],SEMANA2[Columna32],"")</f>
        <v/>
      </c>
      <c r="L95" s="302">
        <f>_xlfn.XLOOKUP(C95,SEMANA2[COD],SEMANA2[Columna34],"")</f>
        <v/>
      </c>
      <c r="M95" s="303">
        <f>IFERROR(+L95/K95,"0,00")</f>
        <v/>
      </c>
      <c r="N95" s="304">
        <f>_xlfn.XLOOKUP(C95,SEMANA2[COD],SEMANA2[Columna36],"")</f>
        <v/>
      </c>
      <c r="O95" s="304">
        <f>_xlfn.XLOOKUP(C95,SEMANA2[COD],SEMANA2[Columna37],"")</f>
        <v/>
      </c>
      <c r="P95" s="305">
        <f>IFERROR(+O95/N95,"0,00")</f>
        <v/>
      </c>
      <c r="Q95" s="306">
        <f>_xlfn.XLOOKUP(C95,SEMANA2[COD],SEMANA2[Columna1],"")</f>
        <v/>
      </c>
      <c r="R95" s="3" t="n"/>
      <c r="U95" s="393" t="inlineStr">
        <is>
          <t>COD 36</t>
        </is>
      </c>
      <c r="V95" s="393">
        <f>U95</f>
        <v/>
      </c>
    </row>
    <row r="96" outlineLevel="1" ht="23.1" customFormat="1" customHeight="1" s="393">
      <c r="A96" s="295" t="n"/>
      <c r="B96" s="307">
        <f>+B95+1</f>
        <v/>
      </c>
      <c r="C96" s="611" t="inlineStr">
        <is>
          <t>COD 37</t>
        </is>
      </c>
      <c r="D96" s="469">
        <f>_xlfn.XLOOKUP(C96,CODIGOS_Y_PAGOS[CODIGO],CODIGOS_Y_PAGOS[NOMBRE PARTICIPANTE],"")</f>
        <v/>
      </c>
      <c r="E96" s="298">
        <f>_xlfn.XLOOKUP($C96,SEMANA2[COD],SEMANA2[Columna14],"")</f>
        <v/>
      </c>
      <c r="F96" s="298">
        <f>_xlfn.XLOOKUP(C96,SEMANA2[COD],SEMANA2[Columna19],"")</f>
        <v/>
      </c>
      <c r="G96" s="299">
        <f>IFERROR(+F96/E96,"0,00")</f>
        <v/>
      </c>
      <c r="H96" s="300">
        <f>_xlfn.XLOOKUP(C96,SEMANA2[COD],SEMANA2[Columna32],"")</f>
        <v/>
      </c>
      <c r="I96" s="300">
        <f>_xlfn.XLOOKUP(C96,SEMANA2[COD],SEMANA2[Columna30],"")</f>
        <v/>
      </c>
      <c r="J96" s="301">
        <f>IFERROR(+I96/H96,"0,00")</f>
        <v/>
      </c>
      <c r="K96" s="302">
        <f>_xlfn.XLOOKUP(C96,SEMANA2[COD],SEMANA2[Columna32],"")</f>
        <v/>
      </c>
      <c r="L96" s="302">
        <f>_xlfn.XLOOKUP(C96,SEMANA2[COD],SEMANA2[Columna34],"")</f>
        <v/>
      </c>
      <c r="M96" s="303">
        <f>IFERROR(+L96/K96,"0,00")</f>
        <v/>
      </c>
      <c r="N96" s="304">
        <f>_xlfn.XLOOKUP(C96,SEMANA2[COD],SEMANA2[Columna36],"")</f>
        <v/>
      </c>
      <c r="O96" s="304">
        <f>_xlfn.XLOOKUP(C96,SEMANA2[COD],SEMANA2[Columna37],"")</f>
        <v/>
      </c>
      <c r="P96" s="305">
        <f>IFERROR(+O96/N96,"0,00")</f>
        <v/>
      </c>
      <c r="Q96" s="306">
        <f>_xlfn.XLOOKUP(C96,SEMANA2[COD],SEMANA2[Columna1],"")</f>
        <v/>
      </c>
      <c r="R96" s="3" t="n"/>
      <c r="U96" s="393" t="inlineStr">
        <is>
          <t>COD 37</t>
        </is>
      </c>
      <c r="V96" s="393">
        <f>U96</f>
        <v/>
      </c>
    </row>
    <row r="97" outlineLevel="1" ht="23.1" customFormat="1" customHeight="1" s="393">
      <c r="A97" s="295" t="n"/>
      <c r="B97" s="307">
        <f>+B96+1</f>
        <v/>
      </c>
      <c r="C97" s="611" t="inlineStr">
        <is>
          <t>COD 38</t>
        </is>
      </c>
      <c r="D97" s="469">
        <f>_xlfn.XLOOKUP(C97,CODIGOS_Y_PAGOS[CODIGO],CODIGOS_Y_PAGOS[NOMBRE PARTICIPANTE],"")</f>
        <v/>
      </c>
      <c r="E97" s="298">
        <f>_xlfn.XLOOKUP($C97,SEMANA2[COD],SEMANA2[Columna14],"")</f>
        <v/>
      </c>
      <c r="F97" s="298">
        <f>_xlfn.XLOOKUP(C97,SEMANA2[COD],SEMANA2[Columna19],"")</f>
        <v/>
      </c>
      <c r="G97" s="299">
        <f>IFERROR(+F97/E97,"0,00")</f>
        <v/>
      </c>
      <c r="H97" s="300">
        <f>_xlfn.XLOOKUP(C97,SEMANA2[COD],SEMANA2[Columna32],"")</f>
        <v/>
      </c>
      <c r="I97" s="300">
        <f>_xlfn.XLOOKUP(C97,SEMANA2[COD],SEMANA2[Columna30],"")</f>
        <v/>
      </c>
      <c r="J97" s="301">
        <f>IFERROR(+I97/H97,"0,00")</f>
        <v/>
      </c>
      <c r="K97" s="302">
        <f>_xlfn.XLOOKUP(C97,SEMANA2[COD],SEMANA2[Columna32],"")</f>
        <v/>
      </c>
      <c r="L97" s="302">
        <f>_xlfn.XLOOKUP(C97,SEMANA2[COD],SEMANA2[Columna34],"")</f>
        <v/>
      </c>
      <c r="M97" s="303">
        <f>IFERROR(+L97/K97,"0,00")</f>
        <v/>
      </c>
      <c r="N97" s="304">
        <f>_xlfn.XLOOKUP(C97,SEMANA2[COD],SEMANA2[Columna36],"")</f>
        <v/>
      </c>
      <c r="O97" s="304">
        <f>_xlfn.XLOOKUP(C97,SEMANA2[COD],SEMANA2[Columna37],"")</f>
        <v/>
      </c>
      <c r="P97" s="305">
        <f>IFERROR(+O97/N97,"0,00")</f>
        <v/>
      </c>
      <c r="Q97" s="306">
        <f>_xlfn.XLOOKUP(C97,SEMANA2[COD],SEMANA2[Columna1],"")</f>
        <v/>
      </c>
      <c r="R97" s="3" t="n"/>
      <c r="U97" s="393" t="inlineStr">
        <is>
          <t>COD 38</t>
        </is>
      </c>
      <c r="V97" s="393">
        <f>U97</f>
        <v/>
      </c>
    </row>
    <row r="98" outlineLevel="1" ht="23.1" customFormat="1" customHeight="1" s="393">
      <c r="A98" s="295" t="n"/>
      <c r="B98" s="307">
        <f>+B97+1</f>
        <v/>
      </c>
      <c r="C98" s="611" t="inlineStr">
        <is>
          <t>COD 39</t>
        </is>
      </c>
      <c r="D98" s="469">
        <f>_xlfn.XLOOKUP(C98,CODIGOS_Y_PAGOS[CODIGO],CODIGOS_Y_PAGOS[NOMBRE PARTICIPANTE],"")</f>
        <v/>
      </c>
      <c r="E98" s="298">
        <f>_xlfn.XLOOKUP($C98,SEMANA2[COD],SEMANA2[Columna14],"")</f>
        <v/>
      </c>
      <c r="F98" s="298">
        <f>_xlfn.XLOOKUP(C98,SEMANA2[COD],SEMANA2[Columna19],"")</f>
        <v/>
      </c>
      <c r="G98" s="299">
        <f>IFERROR(+F98/E98,"0,00")</f>
        <v/>
      </c>
      <c r="H98" s="300">
        <f>_xlfn.XLOOKUP(C98,SEMANA2[COD],SEMANA2[Columna32],"")</f>
        <v/>
      </c>
      <c r="I98" s="300">
        <f>_xlfn.XLOOKUP(C98,SEMANA2[COD],SEMANA2[Columna30],"")</f>
        <v/>
      </c>
      <c r="J98" s="301">
        <f>IFERROR(+I98/H98,"0,00")</f>
        <v/>
      </c>
      <c r="K98" s="302">
        <f>_xlfn.XLOOKUP(C98,SEMANA2[COD],SEMANA2[Columna32],"")</f>
        <v/>
      </c>
      <c r="L98" s="302">
        <f>_xlfn.XLOOKUP(C98,SEMANA2[COD],SEMANA2[Columna34],"")</f>
        <v/>
      </c>
      <c r="M98" s="303">
        <f>IFERROR(+L98/K98,"0,00")</f>
        <v/>
      </c>
      <c r="N98" s="304">
        <f>_xlfn.XLOOKUP(C98,SEMANA2[COD],SEMANA2[Columna36],"")</f>
        <v/>
      </c>
      <c r="O98" s="304">
        <f>_xlfn.XLOOKUP(C98,SEMANA2[COD],SEMANA2[Columna37],"")</f>
        <v/>
      </c>
      <c r="P98" s="305">
        <f>IFERROR(+O98/N98,"0,00")</f>
        <v/>
      </c>
      <c r="Q98" s="306">
        <f>_xlfn.XLOOKUP(C98,SEMANA2[COD],SEMANA2[Columna1],"")</f>
        <v/>
      </c>
      <c r="R98" s="3" t="n"/>
      <c r="U98" s="393" t="inlineStr">
        <is>
          <t>COD 39</t>
        </is>
      </c>
      <c r="V98" s="393">
        <f>U98</f>
        <v/>
      </c>
    </row>
    <row r="99" outlineLevel="2" ht="23.1" customFormat="1" customHeight="1" s="393">
      <c r="A99" s="295" t="n"/>
      <c r="B99" s="307">
        <f>+B98+1</f>
        <v/>
      </c>
      <c r="C99" s="611" t="inlineStr">
        <is>
          <t>COD 40</t>
        </is>
      </c>
      <c r="D99" s="297">
        <f>_xlfn.XLOOKUP(C99,CODIGOS_Y_PAGOS[CODIGO],CODIGOS_Y_PAGOS[NOMBRE PARTICIPANTE],"")</f>
        <v/>
      </c>
      <c r="E99" s="298">
        <f>_xlfn.XLOOKUP($C99,SEMANA2[COD],SEMANA2[Columna14],"")</f>
        <v/>
      </c>
      <c r="F99" s="298">
        <f>_xlfn.XLOOKUP(C99,SEMANA2[COD],SEMANA2[Columna19],"")</f>
        <v/>
      </c>
      <c r="G99" s="299">
        <f>IFERROR(+F99/E99,"0,00")</f>
        <v/>
      </c>
      <c r="H99" s="300">
        <f>_xlfn.XLOOKUP(C99,SEMANA2[COD],SEMANA2[Columna32],"")</f>
        <v/>
      </c>
      <c r="I99" s="300">
        <f>_xlfn.XLOOKUP(C99,SEMANA2[COD],SEMANA2[Columna30],"")</f>
        <v/>
      </c>
      <c r="J99" s="301">
        <f>IFERROR(+I99/H99,"0,00")</f>
        <v/>
      </c>
      <c r="K99" s="302">
        <f>_xlfn.XLOOKUP(C99,SEMANA2[COD],SEMANA2[Columna32],"")</f>
        <v/>
      </c>
      <c r="L99" s="302">
        <f>_xlfn.XLOOKUP(C99,SEMANA2[COD],SEMANA2[Columna34],"")</f>
        <v/>
      </c>
      <c r="M99" s="303">
        <f>IFERROR(+L99/K99,"0,00")</f>
        <v/>
      </c>
      <c r="N99" s="304">
        <f>_xlfn.XLOOKUP(C99,SEMANA2[COD],SEMANA2[Columna36],"")</f>
        <v/>
      </c>
      <c r="O99" s="304">
        <f>_xlfn.XLOOKUP(C99,SEMANA2[COD],SEMANA2[Columna37],"")</f>
        <v/>
      </c>
      <c r="P99" s="305">
        <f>IFERROR(+O99/N99,"0,00")</f>
        <v/>
      </c>
      <c r="Q99" s="306">
        <f>_xlfn.XLOOKUP(C99,SEMANA2[COD],SEMANA2[Columna1],"")</f>
        <v/>
      </c>
      <c r="R99" s="3" t="n"/>
      <c r="U99" s="393" t="inlineStr">
        <is>
          <t>COD 40</t>
        </is>
      </c>
      <c r="V99" s="393">
        <f>U99</f>
        <v/>
      </c>
    </row>
    <row r="100" outlineLevel="2" ht="23.1" customFormat="1" customHeight="1" s="393">
      <c r="A100" s="295" t="n"/>
      <c r="B100" s="307">
        <f>+B99+1</f>
        <v/>
      </c>
      <c r="C100" s="611" t="inlineStr">
        <is>
          <t>COD 41</t>
        </is>
      </c>
      <c r="D100" s="297">
        <f>_xlfn.XLOOKUP(C100,CODIGOS_Y_PAGOS[CODIGO],CODIGOS_Y_PAGOS[NOMBRE PARTICIPANTE],"")</f>
        <v/>
      </c>
      <c r="E100" s="298">
        <f>_xlfn.XLOOKUP($C100,SEMANA2[COD],SEMANA2[Columna14],"")</f>
        <v/>
      </c>
      <c r="F100" s="298">
        <f>_xlfn.XLOOKUP(C100,SEMANA2[COD],SEMANA2[Columna19],"")</f>
        <v/>
      </c>
      <c r="G100" s="299">
        <f>IFERROR(+F100/E100,"0,00")</f>
        <v/>
      </c>
      <c r="H100" s="300">
        <f>_xlfn.XLOOKUP(C100,SEMANA2[COD],SEMANA2[Columna32],"")</f>
        <v/>
      </c>
      <c r="I100" s="300">
        <f>_xlfn.XLOOKUP(C100,SEMANA2[COD],SEMANA2[Columna30],"")</f>
        <v/>
      </c>
      <c r="J100" s="301">
        <f>IFERROR(+I100/H100,"0,00")</f>
        <v/>
      </c>
      <c r="K100" s="302">
        <f>_xlfn.XLOOKUP(C100,SEMANA2[COD],SEMANA2[Columna32],"")</f>
        <v/>
      </c>
      <c r="L100" s="302">
        <f>_xlfn.XLOOKUP(C100,SEMANA2[COD],SEMANA2[Columna34],"")</f>
        <v/>
      </c>
      <c r="M100" s="303">
        <f>IFERROR(+L100/K100,"0,00")</f>
        <v/>
      </c>
      <c r="N100" s="304">
        <f>_xlfn.XLOOKUP(C100,SEMANA2[COD],SEMANA2[Columna36],"")</f>
        <v/>
      </c>
      <c r="O100" s="304">
        <f>_xlfn.XLOOKUP(C100,SEMANA2[COD],SEMANA2[Columna37],"")</f>
        <v/>
      </c>
      <c r="P100" s="305">
        <f>IFERROR(+O100/N100,"0,00")</f>
        <v/>
      </c>
      <c r="Q100" s="306">
        <f>_xlfn.XLOOKUP(C100,SEMANA2[COD],SEMANA2[Columna1],"")</f>
        <v/>
      </c>
      <c r="R100" s="3" t="n"/>
      <c r="U100" s="393" t="inlineStr">
        <is>
          <t>COD 41</t>
        </is>
      </c>
      <c r="V100" s="393">
        <f>U100</f>
        <v/>
      </c>
    </row>
    <row r="101" outlineLevel="2" ht="23.1" customFormat="1" customHeight="1" s="393">
      <c r="A101" s="295" t="n"/>
      <c r="B101" s="307">
        <f>+B100+1</f>
        <v/>
      </c>
      <c r="C101" s="611" t="inlineStr">
        <is>
          <t>COD 42</t>
        </is>
      </c>
      <c r="D101" s="297">
        <f>_xlfn.XLOOKUP(C101,CODIGOS_Y_PAGOS[CODIGO],CODIGOS_Y_PAGOS[NOMBRE PARTICIPANTE],"")</f>
        <v/>
      </c>
      <c r="E101" s="298">
        <f>_xlfn.XLOOKUP($C101,SEMANA2[COD],SEMANA2[Columna14],"")</f>
        <v/>
      </c>
      <c r="F101" s="298">
        <f>_xlfn.XLOOKUP(C101,SEMANA2[COD],SEMANA2[Columna19],"")</f>
        <v/>
      </c>
      <c r="G101" s="299">
        <f>IFERROR(+F101/E101,"0,00")</f>
        <v/>
      </c>
      <c r="H101" s="300">
        <f>_xlfn.XLOOKUP(C101,SEMANA2[COD],SEMANA2[Columna32],"")</f>
        <v/>
      </c>
      <c r="I101" s="300">
        <f>_xlfn.XLOOKUP(C101,SEMANA2[COD],SEMANA2[Columna30],"")</f>
        <v/>
      </c>
      <c r="J101" s="301">
        <f>IFERROR(+I101/H101,"0,00")</f>
        <v/>
      </c>
      <c r="K101" s="302">
        <f>_xlfn.XLOOKUP(C101,SEMANA2[COD],SEMANA2[Columna32],"")</f>
        <v/>
      </c>
      <c r="L101" s="302">
        <f>_xlfn.XLOOKUP(C101,SEMANA2[COD],SEMANA2[Columna34],"")</f>
        <v/>
      </c>
      <c r="M101" s="303">
        <f>IFERROR(+L101/K101,"0,00")</f>
        <v/>
      </c>
      <c r="N101" s="304">
        <f>_xlfn.XLOOKUP(C101,SEMANA2[COD],SEMANA2[Columna36],"")</f>
        <v/>
      </c>
      <c r="O101" s="304">
        <f>_xlfn.XLOOKUP(C101,SEMANA2[COD],SEMANA2[Columna37],"")</f>
        <v/>
      </c>
      <c r="P101" s="305">
        <f>IFERROR(+O101/N101,"0,00")</f>
        <v/>
      </c>
      <c r="Q101" s="306">
        <f>_xlfn.XLOOKUP(C101,SEMANA2[COD],SEMANA2[Columna1],"")</f>
        <v/>
      </c>
      <c r="R101" s="3" t="n"/>
      <c r="U101" s="393" t="inlineStr">
        <is>
          <t>COD 42</t>
        </is>
      </c>
      <c r="V101" s="393">
        <f>U101</f>
        <v/>
      </c>
    </row>
    <row r="102" outlineLevel="2" ht="23.1" customFormat="1" customHeight="1" s="393">
      <c r="A102" s="295" t="n"/>
      <c r="B102" s="309">
        <f>+B101+1</f>
        <v/>
      </c>
      <c r="C102" s="611" t="inlineStr">
        <is>
          <t>COD 43</t>
        </is>
      </c>
      <c r="D102" s="297">
        <f>_xlfn.XLOOKUP(C102,CODIGOS_Y_PAGOS[CODIGO],CODIGOS_Y_PAGOS[NOMBRE PARTICIPANTE],"")</f>
        <v/>
      </c>
      <c r="E102" s="298">
        <f>_xlfn.XLOOKUP($C102,SEMANA2[COD],SEMANA2[Columna14],"")</f>
        <v/>
      </c>
      <c r="F102" s="298">
        <f>_xlfn.XLOOKUP(C102,SEMANA2[COD],SEMANA2[Columna19],"")</f>
        <v/>
      </c>
      <c r="G102" s="299">
        <f>IFERROR(+F102/E102,"0,00")</f>
        <v/>
      </c>
      <c r="H102" s="300">
        <f>_xlfn.XLOOKUP(C102,SEMANA2[COD],SEMANA2[Columna32],"")</f>
        <v/>
      </c>
      <c r="I102" s="300">
        <f>_xlfn.XLOOKUP(C102,SEMANA2[COD],SEMANA2[Columna30],"")</f>
        <v/>
      </c>
      <c r="J102" s="301">
        <f>IFERROR(+I102/H102,"0,00")</f>
        <v/>
      </c>
      <c r="K102" s="302">
        <f>_xlfn.XLOOKUP(C102,SEMANA2[COD],SEMANA2[Columna32],"")</f>
        <v/>
      </c>
      <c r="L102" s="302">
        <f>_xlfn.XLOOKUP(C102,SEMANA2[COD],SEMANA2[Columna34],"")</f>
        <v/>
      </c>
      <c r="M102" s="303">
        <f>IFERROR(+L102/K102,"0,00")</f>
        <v/>
      </c>
      <c r="N102" s="304">
        <f>_xlfn.XLOOKUP(C102,SEMANA2[COD],SEMANA2[Columna36],"")</f>
        <v/>
      </c>
      <c r="O102" s="304">
        <f>_xlfn.XLOOKUP(C102,SEMANA2[COD],SEMANA2[Columna37],"")</f>
        <v/>
      </c>
      <c r="P102" s="305">
        <f>IFERROR(+O102/N102,"0,00")</f>
        <v/>
      </c>
      <c r="Q102" s="306">
        <f>_xlfn.XLOOKUP(C102,SEMANA2[COD],SEMANA2[Columna1],"")</f>
        <v/>
      </c>
      <c r="R102" s="3" t="n"/>
      <c r="U102" s="393" t="inlineStr">
        <is>
          <t>COD 43</t>
        </is>
      </c>
      <c r="V102" s="393">
        <f>U102</f>
        <v/>
      </c>
    </row>
    <row r="103" outlineLevel="2" ht="23.1" customFormat="1" customHeight="1" s="393">
      <c r="A103" s="295" t="n"/>
      <c r="B103" s="309">
        <f>+B102+1</f>
        <v/>
      </c>
      <c r="C103" s="611" t="inlineStr">
        <is>
          <t>COD 44</t>
        </is>
      </c>
      <c r="D103" s="297">
        <f>_xlfn.XLOOKUP(C103,CODIGOS_Y_PAGOS[CODIGO],CODIGOS_Y_PAGOS[NOMBRE PARTICIPANTE],"")</f>
        <v/>
      </c>
      <c r="E103" s="298">
        <f>_xlfn.XLOOKUP($C103,SEMANA2[COD],SEMANA2[Columna14],"")</f>
        <v/>
      </c>
      <c r="F103" s="298">
        <f>_xlfn.XLOOKUP(C103,SEMANA2[COD],SEMANA2[Columna19],"")</f>
        <v/>
      </c>
      <c r="G103" s="299">
        <f>IFERROR(+F103/E103,"0,00")</f>
        <v/>
      </c>
      <c r="H103" s="300">
        <f>_xlfn.XLOOKUP(C103,SEMANA2[COD],SEMANA2[Columna32],"")</f>
        <v/>
      </c>
      <c r="I103" s="300">
        <f>_xlfn.XLOOKUP(C103,SEMANA2[COD],SEMANA2[Columna30],"")</f>
        <v/>
      </c>
      <c r="J103" s="301">
        <f>IFERROR(+I103/H103,"0,00")</f>
        <v/>
      </c>
      <c r="K103" s="302">
        <f>_xlfn.XLOOKUP(C103,SEMANA2[COD],SEMANA2[Columna32],"")</f>
        <v/>
      </c>
      <c r="L103" s="302">
        <f>_xlfn.XLOOKUP(C103,SEMANA2[COD],SEMANA2[Columna34],"")</f>
        <v/>
      </c>
      <c r="M103" s="303">
        <f>IFERROR(+L103/K103,"0,00")</f>
        <v/>
      </c>
      <c r="N103" s="304">
        <f>_xlfn.XLOOKUP(C103,SEMANA2[COD],SEMANA2[Columna36],"")</f>
        <v/>
      </c>
      <c r="O103" s="304">
        <f>_xlfn.XLOOKUP(C103,SEMANA2[COD],SEMANA2[Columna37],"")</f>
        <v/>
      </c>
      <c r="P103" s="305">
        <f>IFERROR(+O103/N103,"0,00")</f>
        <v/>
      </c>
      <c r="Q103" s="306">
        <f>_xlfn.XLOOKUP(C103,SEMANA2[COD],SEMANA2[Columna1],"")</f>
        <v/>
      </c>
      <c r="R103" s="3" t="n"/>
      <c r="U103" s="393" t="inlineStr">
        <is>
          <t>COD 44</t>
        </is>
      </c>
      <c r="V103" s="393">
        <f>U103</f>
        <v/>
      </c>
    </row>
    <row r="104" outlineLevel="2" ht="23.1" customFormat="1" customHeight="1" s="393">
      <c r="A104" s="295" t="n"/>
      <c r="B104" s="309">
        <f>+B103+1</f>
        <v/>
      </c>
      <c r="C104" s="611" t="inlineStr">
        <is>
          <t>COD 45</t>
        </is>
      </c>
      <c r="D104" s="297">
        <f>_xlfn.XLOOKUP(C104,CODIGOS_Y_PAGOS[CODIGO],CODIGOS_Y_PAGOS[NOMBRE PARTICIPANTE],"")</f>
        <v/>
      </c>
      <c r="E104" s="298">
        <f>_xlfn.XLOOKUP($C104,SEMANA2[COD],SEMANA2[Columna14],"")</f>
        <v/>
      </c>
      <c r="F104" s="298">
        <f>_xlfn.XLOOKUP(C104,SEMANA2[COD],SEMANA2[Columna19],"")</f>
        <v/>
      </c>
      <c r="G104" s="299">
        <f>IFERROR(+F104/E104,"0,00")</f>
        <v/>
      </c>
      <c r="H104" s="300">
        <f>_xlfn.XLOOKUP(C104,SEMANA2[COD],SEMANA2[Columna32],"")</f>
        <v/>
      </c>
      <c r="I104" s="300">
        <f>_xlfn.XLOOKUP(C104,SEMANA2[COD],SEMANA2[Columna30],"")</f>
        <v/>
      </c>
      <c r="J104" s="301">
        <f>IFERROR(+I104/H104,"0,00")</f>
        <v/>
      </c>
      <c r="K104" s="302">
        <f>_xlfn.XLOOKUP(C104,SEMANA2[COD],SEMANA2[Columna32],"")</f>
        <v/>
      </c>
      <c r="L104" s="302">
        <f>_xlfn.XLOOKUP(C104,SEMANA2[COD],SEMANA2[Columna34],"")</f>
        <v/>
      </c>
      <c r="M104" s="303">
        <f>IFERROR(+L104/K104,"0,00")</f>
        <v/>
      </c>
      <c r="N104" s="304">
        <f>_xlfn.XLOOKUP(C104,SEMANA2[COD],SEMANA2[Columna36],"")</f>
        <v/>
      </c>
      <c r="O104" s="304">
        <f>_xlfn.XLOOKUP(C104,SEMANA2[COD],SEMANA2[Columna37],"")</f>
        <v/>
      </c>
      <c r="P104" s="305">
        <f>IFERROR(+O104/N104,"0,00")</f>
        <v/>
      </c>
      <c r="Q104" s="306">
        <f>_xlfn.XLOOKUP(C104,SEMANA2[COD],SEMANA2[Columna1],"")</f>
        <v/>
      </c>
      <c r="R104" s="3" t="n"/>
      <c r="U104" s="393" t="inlineStr">
        <is>
          <t>COD 45</t>
        </is>
      </c>
      <c r="V104" s="393">
        <f>U104</f>
        <v/>
      </c>
    </row>
    <row r="105" outlineLevel="2" ht="23.1" customFormat="1" customHeight="1" s="393">
      <c r="A105" s="295" t="n"/>
      <c r="B105" s="309">
        <f>+B104+1</f>
        <v/>
      </c>
      <c r="C105" s="611" t="inlineStr">
        <is>
          <t>COD 46</t>
        </is>
      </c>
      <c r="D105" s="297">
        <f>_xlfn.XLOOKUP(C105,CODIGOS_Y_PAGOS[CODIGO],CODIGOS_Y_PAGOS[NOMBRE PARTICIPANTE],"")</f>
        <v/>
      </c>
      <c r="E105" s="298">
        <f>_xlfn.XLOOKUP($C105,SEMANA2[COD],SEMANA2[Columna14],"")</f>
        <v/>
      </c>
      <c r="F105" s="298">
        <f>_xlfn.XLOOKUP(C105,SEMANA2[COD],SEMANA2[Columna19],"")</f>
        <v/>
      </c>
      <c r="G105" s="299">
        <f>IFERROR(+F105/E105,"0,00")</f>
        <v/>
      </c>
      <c r="H105" s="300">
        <f>_xlfn.XLOOKUP(C105,SEMANA2[COD],SEMANA2[Columna32],"")</f>
        <v/>
      </c>
      <c r="I105" s="300">
        <f>_xlfn.XLOOKUP(C105,SEMANA2[COD],SEMANA2[Columna30],"")</f>
        <v/>
      </c>
      <c r="J105" s="301">
        <f>IFERROR(+I105/H105,"0,00")</f>
        <v/>
      </c>
      <c r="K105" s="302">
        <f>_xlfn.XLOOKUP(C105,SEMANA2[COD],SEMANA2[Columna32],"")</f>
        <v/>
      </c>
      <c r="L105" s="302">
        <f>_xlfn.XLOOKUP(C105,SEMANA2[COD],SEMANA2[Columna34],"")</f>
        <v/>
      </c>
      <c r="M105" s="303">
        <f>IFERROR(+L105/K105,"0,00")</f>
        <v/>
      </c>
      <c r="N105" s="304">
        <f>_xlfn.XLOOKUP(C105,SEMANA2[COD],SEMANA2[Columna36],"")</f>
        <v/>
      </c>
      <c r="O105" s="304">
        <f>_xlfn.XLOOKUP(C105,SEMANA2[COD],SEMANA2[Columna37],"")</f>
        <v/>
      </c>
      <c r="P105" s="305">
        <f>IFERROR(+O105/N105,"0,00")</f>
        <v/>
      </c>
      <c r="Q105" s="306">
        <f>_xlfn.XLOOKUP(C105,SEMANA2[COD],SEMANA2[Columna1],"")</f>
        <v/>
      </c>
      <c r="R105" s="3" t="n"/>
      <c r="U105" s="393" t="inlineStr">
        <is>
          <t>COD 46</t>
        </is>
      </c>
      <c r="V105" s="393">
        <f>U105</f>
        <v/>
      </c>
    </row>
    <row r="106" outlineLevel="2" ht="23.1" customFormat="1" customHeight="1" s="393">
      <c r="A106" s="295" t="n"/>
      <c r="B106" s="309">
        <f>+B105+1</f>
        <v/>
      </c>
      <c r="C106" s="611" t="inlineStr">
        <is>
          <t>COD 47</t>
        </is>
      </c>
      <c r="D106" s="297">
        <f>_xlfn.XLOOKUP(C106,CODIGOS_Y_PAGOS[CODIGO],CODIGOS_Y_PAGOS[NOMBRE PARTICIPANTE],"")</f>
        <v/>
      </c>
      <c r="E106" s="298">
        <f>_xlfn.XLOOKUP($C106,SEMANA2[COD],SEMANA2[Columna14],"")</f>
        <v/>
      </c>
      <c r="F106" s="298">
        <f>_xlfn.XLOOKUP(C106,SEMANA2[COD],SEMANA2[Columna19],"")</f>
        <v/>
      </c>
      <c r="G106" s="299">
        <f>IFERROR(+F106/E106,"0,00")</f>
        <v/>
      </c>
      <c r="H106" s="300">
        <f>_xlfn.XLOOKUP(C106,SEMANA2[COD],SEMANA2[Columna32],"")</f>
        <v/>
      </c>
      <c r="I106" s="300">
        <f>_xlfn.XLOOKUP(C106,SEMANA2[COD],SEMANA2[Columna30],"")</f>
        <v/>
      </c>
      <c r="J106" s="301">
        <f>IFERROR(+I106/H106,"0,00")</f>
        <v/>
      </c>
      <c r="K106" s="302">
        <f>_xlfn.XLOOKUP(C106,SEMANA2[COD],SEMANA2[Columna32],"")</f>
        <v/>
      </c>
      <c r="L106" s="302">
        <f>_xlfn.XLOOKUP(C106,SEMANA2[COD],SEMANA2[Columna34],"")</f>
        <v/>
      </c>
      <c r="M106" s="303">
        <f>IFERROR(+L106/K106,"0,00")</f>
        <v/>
      </c>
      <c r="N106" s="304">
        <f>_xlfn.XLOOKUP(C106,SEMANA2[COD],SEMANA2[Columna36],"")</f>
        <v/>
      </c>
      <c r="O106" s="304">
        <f>_xlfn.XLOOKUP(C106,SEMANA2[COD],SEMANA2[Columna37],"")</f>
        <v/>
      </c>
      <c r="P106" s="305">
        <f>IFERROR(+O106/N106,"0,00")</f>
        <v/>
      </c>
      <c r="Q106" s="306">
        <f>_xlfn.XLOOKUP(C106,SEMANA2[COD],SEMANA2[Columna1],"")</f>
        <v/>
      </c>
      <c r="R106" s="3" t="n"/>
      <c r="U106" s="393" t="inlineStr">
        <is>
          <t>COD 47</t>
        </is>
      </c>
      <c r="V106" s="393">
        <f>U106</f>
        <v/>
      </c>
    </row>
    <row r="107" outlineLevel="2" ht="23.1" customFormat="1" customHeight="1" s="393">
      <c r="A107" s="295" t="n"/>
      <c r="B107" s="309">
        <f>+B106+1</f>
        <v/>
      </c>
      <c r="C107" s="611" t="inlineStr">
        <is>
          <t>COD 48</t>
        </is>
      </c>
      <c r="D107" s="297">
        <f>_xlfn.XLOOKUP(C107,CODIGOS_Y_PAGOS[CODIGO],CODIGOS_Y_PAGOS[NOMBRE PARTICIPANTE],"")</f>
        <v/>
      </c>
      <c r="E107" s="298">
        <f>_xlfn.XLOOKUP($C107,SEMANA2[COD],SEMANA2[Columna14],"")</f>
        <v/>
      </c>
      <c r="F107" s="298">
        <f>_xlfn.XLOOKUP(C107,SEMANA2[COD],SEMANA2[Columna19],"")</f>
        <v/>
      </c>
      <c r="G107" s="299">
        <f>IFERROR(+F107/E107,"0,00")</f>
        <v/>
      </c>
      <c r="H107" s="300">
        <f>_xlfn.XLOOKUP(C107,SEMANA2[COD],SEMANA2[Columna32],"")</f>
        <v/>
      </c>
      <c r="I107" s="300">
        <f>_xlfn.XLOOKUP(C107,SEMANA2[COD],SEMANA2[Columna30],"")</f>
        <v/>
      </c>
      <c r="J107" s="301">
        <f>IFERROR(+I107/H107,"0,00")</f>
        <v/>
      </c>
      <c r="K107" s="302">
        <f>_xlfn.XLOOKUP(C107,SEMANA2[COD],SEMANA2[Columna32],"")</f>
        <v/>
      </c>
      <c r="L107" s="302">
        <f>_xlfn.XLOOKUP(C107,SEMANA2[COD],SEMANA2[Columna34],"")</f>
        <v/>
      </c>
      <c r="M107" s="303">
        <f>IFERROR(+L107/K107,"0,00")</f>
        <v/>
      </c>
      <c r="N107" s="304">
        <f>_xlfn.XLOOKUP(C107,SEMANA2[COD],SEMANA2[Columna36],"")</f>
        <v/>
      </c>
      <c r="O107" s="304">
        <f>_xlfn.XLOOKUP(C107,SEMANA2[COD],SEMANA2[Columna37],"")</f>
        <v/>
      </c>
      <c r="P107" s="305">
        <f>IFERROR(+O107/N107,"0,00")</f>
        <v/>
      </c>
      <c r="Q107" s="306">
        <f>_xlfn.XLOOKUP(C107,SEMANA2[COD],SEMANA2[Columna1],"")</f>
        <v/>
      </c>
      <c r="R107" s="3" t="n"/>
      <c r="U107" s="393" t="inlineStr">
        <is>
          <t>COD 48</t>
        </is>
      </c>
      <c r="V107" s="393">
        <f>U107</f>
        <v/>
      </c>
    </row>
    <row r="108" outlineLevel="2" ht="23.1" customFormat="1" customHeight="1" s="393">
      <c r="A108" s="295" t="n"/>
      <c r="B108" s="309">
        <f>+B107+1</f>
        <v/>
      </c>
      <c r="C108" s="611" t="inlineStr">
        <is>
          <t>COD 49</t>
        </is>
      </c>
      <c r="D108" s="297">
        <f>_xlfn.XLOOKUP(C108,CODIGOS_Y_PAGOS[CODIGO],CODIGOS_Y_PAGOS[NOMBRE PARTICIPANTE],"")</f>
        <v/>
      </c>
      <c r="E108" s="298">
        <f>_xlfn.XLOOKUP($C108,SEMANA2[COD],SEMANA2[Columna14],"")</f>
        <v/>
      </c>
      <c r="F108" s="298">
        <f>_xlfn.XLOOKUP(C108,SEMANA2[COD],SEMANA2[Columna19],"")</f>
        <v/>
      </c>
      <c r="G108" s="299">
        <f>IFERROR(+F108/E108,"0,00")</f>
        <v/>
      </c>
      <c r="H108" s="300">
        <f>_xlfn.XLOOKUP(C108,SEMANA2[COD],SEMANA2[Columna32],"")</f>
        <v/>
      </c>
      <c r="I108" s="300">
        <f>_xlfn.XLOOKUP(C108,SEMANA2[COD],SEMANA2[Columna30],"")</f>
        <v/>
      </c>
      <c r="J108" s="301">
        <f>IFERROR(+I108/H108,"0,00")</f>
        <v/>
      </c>
      <c r="K108" s="302">
        <f>_xlfn.XLOOKUP(C108,SEMANA2[COD],SEMANA2[Columna32],"")</f>
        <v/>
      </c>
      <c r="L108" s="302">
        <f>_xlfn.XLOOKUP(C108,SEMANA2[COD],SEMANA2[Columna34],"")</f>
        <v/>
      </c>
      <c r="M108" s="303">
        <f>IFERROR(+L108/K108,"0,00")</f>
        <v/>
      </c>
      <c r="N108" s="304">
        <f>_xlfn.XLOOKUP(C108,SEMANA2[COD],SEMANA2[Columna36],"")</f>
        <v/>
      </c>
      <c r="O108" s="304">
        <f>_xlfn.XLOOKUP(C108,SEMANA2[COD],SEMANA2[Columna37],"")</f>
        <v/>
      </c>
      <c r="P108" s="305">
        <f>IFERROR(+O108/N108,"0,00")</f>
        <v/>
      </c>
      <c r="Q108" s="306">
        <f>_xlfn.XLOOKUP(C108,SEMANA2[COD],SEMANA2[Columna1],"")</f>
        <v/>
      </c>
      <c r="R108" s="3" t="n"/>
      <c r="U108" s="393" t="inlineStr">
        <is>
          <t>COD 49</t>
        </is>
      </c>
      <c r="V108" s="393">
        <f>U108</f>
        <v/>
      </c>
    </row>
    <row r="109" outlineLevel="2" ht="23.1" customFormat="1" customHeight="1" s="393">
      <c r="A109" s="295" t="n"/>
      <c r="B109" s="309">
        <f>+B108+1</f>
        <v/>
      </c>
      <c r="C109" s="611" t="inlineStr">
        <is>
          <t>COD 50</t>
        </is>
      </c>
      <c r="D109" s="297">
        <f>_xlfn.XLOOKUP(C109,CODIGOS_Y_PAGOS[CODIGO],CODIGOS_Y_PAGOS[NOMBRE PARTICIPANTE],"")</f>
        <v/>
      </c>
      <c r="E109" s="298">
        <f>_xlfn.XLOOKUP($C109,SEMANA2[COD],SEMANA2[Columna14],"")</f>
        <v/>
      </c>
      <c r="F109" s="298">
        <f>_xlfn.XLOOKUP(C109,SEMANA2[COD],SEMANA2[Columna19],"")</f>
        <v/>
      </c>
      <c r="G109" s="299">
        <f>IFERROR(+F109/E109,"0,00")</f>
        <v/>
      </c>
      <c r="H109" s="300">
        <f>_xlfn.XLOOKUP(C109,SEMANA2[COD],SEMANA2[Columna32],"")</f>
        <v/>
      </c>
      <c r="I109" s="300">
        <f>_xlfn.XLOOKUP(C109,SEMANA2[COD],SEMANA2[Columna30],"")</f>
        <v/>
      </c>
      <c r="J109" s="301">
        <f>IFERROR(+I109/H109,"0,00")</f>
        <v/>
      </c>
      <c r="K109" s="302">
        <f>_xlfn.XLOOKUP(C109,SEMANA2[COD],SEMANA2[Columna32],"")</f>
        <v/>
      </c>
      <c r="L109" s="302">
        <f>_xlfn.XLOOKUP(C109,SEMANA2[COD],SEMANA2[Columna34],"")</f>
        <v/>
      </c>
      <c r="M109" s="303">
        <f>IFERROR(+L109/K109,"0,00")</f>
        <v/>
      </c>
      <c r="N109" s="304">
        <f>_xlfn.XLOOKUP(C109,SEMANA2[COD],SEMANA2[Columna36],"")</f>
        <v/>
      </c>
      <c r="O109" s="304">
        <f>_xlfn.XLOOKUP(C109,SEMANA2[COD],SEMANA2[Columna37],"")</f>
        <v/>
      </c>
      <c r="P109" s="305">
        <f>IFERROR(+O109/N109,"0,00")</f>
        <v/>
      </c>
      <c r="Q109" s="306">
        <f>_xlfn.XLOOKUP(C109,SEMANA2[COD],SEMANA2[Columna1],"")</f>
        <v/>
      </c>
      <c r="R109" s="3" t="n"/>
      <c r="U109" s="393" t="inlineStr">
        <is>
          <t>COD 50</t>
        </is>
      </c>
      <c r="V109" s="393">
        <f>U109</f>
        <v/>
      </c>
    </row>
    <row r="110" outlineLevel="1" ht="12" customFormat="1" customHeight="1" s="316">
      <c r="A110" s="295" t="n"/>
      <c r="B110" s="310" t="n"/>
      <c r="C110" s="311" t="n"/>
      <c r="D110" s="312" t="n"/>
      <c r="E110" s="313" t="n"/>
      <c r="F110" s="313" t="n"/>
      <c r="G110" s="314" t="n"/>
      <c r="H110" s="313" t="n"/>
      <c r="I110" s="313" t="n"/>
      <c r="J110" s="314" t="n"/>
      <c r="K110" s="313" t="n"/>
      <c r="L110" s="313" t="n"/>
      <c r="M110" s="314" t="n"/>
      <c r="N110" s="313" t="n"/>
      <c r="O110" s="313" t="n"/>
      <c r="P110" s="315" t="n"/>
      <c r="Q110" s="310" t="n"/>
      <c r="R110" s="3" t="n"/>
    </row>
    <row r="111" ht="21.75" customHeight="1" s="568">
      <c r="A111" s="3" t="n"/>
      <c r="B111" s="317" t="n"/>
      <c r="C111" s="318" t="n"/>
      <c r="D111" s="318" t="n"/>
      <c r="E111" s="319" t="n"/>
      <c r="F111" s="319" t="n"/>
      <c r="G111" s="320" t="n"/>
      <c r="H111" s="319" t="n"/>
      <c r="I111" s="319" t="n"/>
      <c r="J111" s="321" t="n"/>
      <c r="K111" s="321" t="n"/>
      <c r="L111" s="350">
        <f>'SEM 1'!CG3</f>
        <v/>
      </c>
      <c r="M111" s="361" t="n"/>
      <c r="N111" s="319" t="n"/>
      <c r="O111" s="319" t="n"/>
      <c r="P111" s="322" t="n"/>
      <c r="Q111" s="362">
        <f>+N58</f>
        <v/>
      </c>
      <c r="R111" s="3" t="n"/>
    </row>
    <row r="112" ht="22.5" customHeight="1" s="568">
      <c r="A112" s="1" t="n"/>
      <c r="B112" s="359" t="inlineStr">
        <is>
          <t>LOS MÁS DESTACADOS DE LA SEMANA</t>
        </is>
      </c>
      <c r="C112" s="517" t="n"/>
      <c r="D112" s="360" t="n"/>
      <c r="E112" s="517" t="n"/>
      <c r="F112" s="517" t="n"/>
      <c r="G112" s="517" t="n"/>
      <c r="H112" s="517" t="n"/>
      <c r="I112" s="517" t="n"/>
      <c r="J112" s="517" t="n"/>
      <c r="K112" s="517" t="n"/>
      <c r="L112" s="517" t="n"/>
      <c r="M112" s="323" t="n"/>
      <c r="N112" s="324" t="n"/>
      <c r="O112" s="324" t="n"/>
      <c r="P112" s="324" t="n"/>
      <c r="Q112" s="325" t="n"/>
      <c r="R112" s="3" t="n"/>
    </row>
    <row r="113" ht="18" customFormat="1" customHeight="1" s="576">
      <c r="A113" s="285" t="n"/>
      <c r="B113" s="326" t="inlineStr">
        <is>
          <t>CODIGO</t>
        </is>
      </c>
      <c r="C113" s="327" t="n"/>
      <c r="D113" s="328" t="inlineStr">
        <is>
          <t>NOMBRE PARTICIPANTE</t>
        </is>
      </c>
      <c r="E113" s="518" t="inlineStr">
        <is>
          <t>CATEGORIA</t>
        </is>
      </c>
      <c r="F113" s="518" t="n"/>
      <c r="G113" s="518" t="n"/>
      <c r="H113" s="518" t="n"/>
      <c r="I113" s="518" t="n"/>
      <c r="J113" s="518" t="n"/>
      <c r="K113" s="386" t="inlineStr">
        <is>
          <t>LOGRO</t>
        </is>
      </c>
      <c r="L113" s="387" t="n"/>
      <c r="M113" s="575" t="n"/>
      <c r="P113" s="519" t="n"/>
      <c r="Q113" s="329" t="n"/>
      <c r="R113" s="3" t="n"/>
      <c r="U113" s="576" t="inlineStr">
        <is>
          <t>MAS PUNTOS</t>
        </is>
      </c>
      <c r="Y113" s="576" t="inlineStr">
        <is>
          <t>MAS 1RAS MARCAS</t>
        </is>
      </c>
      <c r="AC113" s="576" t="inlineStr">
        <is>
          <t>MAS 2DAS MARCAS</t>
        </is>
      </c>
      <c r="AG113" s="576" t="inlineStr">
        <is>
          <t>MAS 3RAS MARCAS</t>
        </is>
      </c>
      <c r="AK113" s="576" t="inlineStr">
        <is>
          <t>MAYOR DIVIDENDO DIA</t>
        </is>
      </c>
      <c r="AO113" s="576" t="inlineStr">
        <is>
          <t>MAYOR DIV. SUPERFIJA</t>
        </is>
      </c>
      <c r="AS113" s="576" t="inlineStr">
        <is>
          <t>MAYOR DIV. FIJA</t>
        </is>
      </c>
    </row>
    <row r="114" ht="23.1" customFormat="1" customHeight="1" s="393">
      <c r="A114" s="295" t="n"/>
      <c r="B114" s="616" t="n"/>
      <c r="C114" s="613">
        <f>U114</f>
        <v/>
      </c>
      <c r="D114" s="357">
        <f>_xlfn.XLOOKUP(C114,CODIGOS_Y_PAGOS[CODIGO],CODIGOS_Y_PAGOS[NOMBRE PARTICIPANTE],"")</f>
        <v/>
      </c>
      <c r="E114" s="352" t="inlineStr">
        <is>
          <t>MAS PUNTOS EN LA SEMANA</t>
        </is>
      </c>
      <c r="F114" s="352" t="n"/>
      <c r="G114" s="352" t="n"/>
      <c r="H114" s="352" t="n"/>
      <c r="I114" s="352" t="n"/>
      <c r="J114" s="384" t="n"/>
      <c r="K114" s="614">
        <f>MAX(Q$60:Q$109)</f>
        <v/>
      </c>
      <c r="L114" s="615" t="n"/>
      <c r="M114" s="363" t="n"/>
      <c r="N114" s="363" t="n"/>
      <c r="O114" s="364" t="n"/>
      <c r="P114" s="364" t="n"/>
      <c r="Q114" s="330" t="n"/>
      <c r="R114" s="3" t="n"/>
      <c r="U114" s="393">
        <f t="array" ref="U114:V114">_xlfn._xlws.FILTER(C60:D109, Q60:Q109 = MAX(Q60:Q109))</f>
        <v/>
      </c>
      <c r="V114" s="393" t="inlineStr">
        <is>
          <t>GANADORES Y PULSO</t>
        </is>
      </c>
      <c r="Y114" s="393">
        <f t="array" ref="Y114:Z114">_xlfn._xlws.FILTER(C60:D109, F60:F109 = MAX(F60:F109))</f>
        <v/>
      </c>
      <c r="Z114" s="393" t="inlineStr">
        <is>
          <t>RUBEN DARIO CARDENAS</t>
        </is>
      </c>
      <c r="AC114" s="393">
        <f t="array" ref="AC114:AD115">_xlfn._xlws.FILTER(C60:D109, I60:I109 = MAX(I60:I109))</f>
        <v/>
      </c>
      <c r="AD114" s="393" t="inlineStr">
        <is>
          <t>JESUS QUERALES</t>
        </is>
      </c>
      <c r="AG114" s="393">
        <f t="array" ref="AG114:AH115">_xlfn._xlws.FILTER(C60:D109, L60:L109 = MAX(L60:L109))</f>
        <v/>
      </c>
      <c r="AH114" s="393" t="inlineStr">
        <is>
          <t>GANADORES Y PULSO</t>
        </is>
      </c>
      <c r="AK114" s="393">
        <f t="array" ref="AK114:AL114">_xlfn._xlws.FILTER('SEM 2'!CY27:CZ61, 'SEM 2'!DA27:DA61 = MIN('SEM 2'!DA27:DA62))</f>
        <v/>
      </c>
      <c r="AL114" s="393" t="inlineStr">
        <is>
          <t>COD 30</t>
        </is>
      </c>
      <c r="AO114" s="393">
        <f t="array" ref="AO114:AP114">_xlfn._xlws.FILTER('SEM 2'!EI59:EJ61,'SEM 2'!EG59:EG61)</f>
        <v/>
      </c>
      <c r="AP114" s="393" t="e">
        <v>#VALUE!</v>
      </c>
      <c r="AS114" s="393">
        <f t="array" ref="AS114:AT114">_xlfn._xlws.FILTER('SEM 2'!DQ59:DR61,'SEM 2'!DO59:DO61)</f>
        <v/>
      </c>
      <c r="AT114" s="393" t="e">
        <v>#VALUE!</v>
      </c>
    </row>
    <row r="115" outlineLevel="1" ht="23.1" customFormat="1" customHeight="1" s="393">
      <c r="A115" s="295" t="n"/>
      <c r="B115" s="616" t="n"/>
      <c r="C115" s="613">
        <f>U115</f>
        <v/>
      </c>
      <c r="D115" s="357">
        <f>_xlfn.XLOOKUP(C115,CODIGOS_Y_PAGOS[CODIGO],CODIGOS_Y_PAGOS[NOMBRE PARTICIPANTE],"")</f>
        <v/>
      </c>
      <c r="E115" s="352" t="inlineStr">
        <is>
          <t>MAS PUNTOS EN LA SEMANA</t>
        </is>
      </c>
      <c r="F115" s="352" t="n"/>
      <c r="G115" s="352" t="n"/>
      <c r="H115" s="352" t="n"/>
      <c r="I115" s="352" t="n"/>
      <c r="J115" s="384" t="n"/>
      <c r="K115" s="614">
        <f>_xlfn.XLOOKUP(C115,'SEM 2'!$C$8:$C$57,'SEM 2'!$CS$8:$CS$57,"")</f>
        <v/>
      </c>
      <c r="L115" s="615" t="n"/>
      <c r="M115" s="363" t="n"/>
      <c r="N115" s="363" t="n"/>
      <c r="O115" s="364" t="n"/>
      <c r="P115" s="364" t="n"/>
      <c r="Q115" s="330" t="n"/>
      <c r="R115" s="3" t="n"/>
      <c r="AC115" s="393" t="inlineStr">
        <is>
          <t>COD 10</t>
        </is>
      </c>
      <c r="AD115" s="393" t="inlineStr">
        <is>
          <t>JESUS CARAYACA</t>
        </is>
      </c>
      <c r="AG115" s="393" t="inlineStr">
        <is>
          <t>COD 05</t>
        </is>
      </c>
      <c r="AH115" s="393" t="inlineStr">
        <is>
          <t>MARCOS HIDALGO</t>
        </is>
      </c>
    </row>
    <row r="116" outlineLevel="1" ht="23.1" customFormat="1" customHeight="1" s="393">
      <c r="A116" s="295" t="n"/>
      <c r="B116" s="616" t="n"/>
      <c r="C116" s="613">
        <f>U116</f>
        <v/>
      </c>
      <c r="D116" s="357">
        <f>_xlfn.XLOOKUP(C116,CODIGOS_Y_PAGOS[CODIGO],CODIGOS_Y_PAGOS[NOMBRE PARTICIPANTE],"")</f>
        <v/>
      </c>
      <c r="E116" s="352" t="inlineStr">
        <is>
          <t>MAS PUNTOS EN LA SEMANA</t>
        </is>
      </c>
      <c r="F116" s="352" t="n"/>
      <c r="G116" s="352" t="n"/>
      <c r="H116" s="352" t="n"/>
      <c r="I116" s="352" t="n"/>
      <c r="J116" s="384" t="n"/>
      <c r="K116" s="614">
        <f>_xlfn.XLOOKUP(C116,'SEM 2'!$C$8:$C$57,'SEM 2'!$CS$8:$CS$57,"")</f>
        <v/>
      </c>
      <c r="L116" s="617" t="n"/>
      <c r="M116" s="363" t="n"/>
      <c r="N116" s="363" t="n"/>
      <c r="O116" s="364" t="n"/>
      <c r="P116" s="364" t="n"/>
      <c r="Q116" s="330" t="n"/>
      <c r="R116" s="3" t="n"/>
    </row>
    <row r="117" ht="23.1" customFormat="1" customHeight="1" s="393">
      <c r="A117" s="295" t="n"/>
      <c r="B117" s="618" t="n"/>
      <c r="C117" s="619">
        <f>Y114</f>
        <v/>
      </c>
      <c r="D117" s="357">
        <f>_xlfn.XLOOKUP(C117,CODIGOS_Y_PAGOS[CODIGO],CODIGOS_Y_PAGOS[NOMBRE PARTICIPANTE],"")</f>
        <v/>
      </c>
      <c r="E117" s="352" t="inlineStr">
        <is>
          <t>MAS ACIERTOS EN 1RA MARCA</t>
        </is>
      </c>
      <c r="F117" s="352" t="n"/>
      <c r="G117" s="352" t="n"/>
      <c r="H117" s="352" t="n"/>
      <c r="I117" s="352" t="n"/>
      <c r="J117" s="384" t="n"/>
      <c r="K117" s="467">
        <f>_xlfn.XLOOKUP(C117,'SEM 2'!$C$8:$C$57,'SEM 2'!$CH$8:$CH$57,"")</f>
        <v/>
      </c>
      <c r="L117" s="615" t="n"/>
      <c r="M117" s="363" t="n"/>
      <c r="N117" s="363" t="n"/>
      <c r="O117" s="364" t="n"/>
      <c r="P117" s="364" t="n"/>
      <c r="Q117" s="330" t="n"/>
      <c r="R117" s="3" t="n"/>
    </row>
    <row r="118" outlineLevel="1" ht="23.1" customFormat="1" customHeight="1" s="393">
      <c r="A118" s="295" t="n"/>
      <c r="B118" s="618" t="n"/>
      <c r="C118" s="619">
        <f>Y115</f>
        <v/>
      </c>
      <c r="D118" s="357">
        <f>_xlfn.XLOOKUP(C118,CODIGOS_Y_PAGOS[CODIGO],CODIGOS_Y_PAGOS[NOMBRE PARTICIPANTE],"")</f>
        <v/>
      </c>
      <c r="E118" s="352" t="inlineStr">
        <is>
          <t>MAS ACIERTOS EN 1RA MARCA</t>
        </is>
      </c>
      <c r="F118" s="352" t="n"/>
      <c r="G118" s="352" t="n"/>
      <c r="H118" s="352" t="n"/>
      <c r="I118" s="352" t="n"/>
      <c r="J118" s="384" t="n"/>
      <c r="K118" s="467">
        <f>_xlfn.XLOOKUP(C118,'SEM 2'!$C$8:$C$57,'SEM 2'!$CH$8:$CH$57,"")</f>
        <v/>
      </c>
      <c r="L118" s="617" t="n"/>
      <c r="M118" s="363" t="n"/>
      <c r="N118" s="363" t="n"/>
      <c r="O118" s="364" t="n"/>
      <c r="P118" s="364" t="n"/>
      <c r="Q118" s="330" t="n"/>
      <c r="R118" s="3" t="n"/>
    </row>
    <row r="119" outlineLevel="1" ht="23.1" customFormat="1" customHeight="1" s="393">
      <c r="A119" s="295" t="n"/>
      <c r="B119" s="618" t="n"/>
      <c r="C119" s="619">
        <f>Y116</f>
        <v/>
      </c>
      <c r="D119" s="357">
        <f>_xlfn.XLOOKUP(C119,CODIGOS_Y_PAGOS[CODIGO],CODIGOS_Y_PAGOS[NOMBRE PARTICIPANTE],"")</f>
        <v/>
      </c>
      <c r="E119" s="352" t="inlineStr">
        <is>
          <t>MAS ACIERTOS EN 1RA MARCA</t>
        </is>
      </c>
      <c r="F119" s="352" t="n"/>
      <c r="G119" s="352" t="n"/>
      <c r="H119" s="352" t="n"/>
      <c r="I119" s="352" t="n"/>
      <c r="J119" s="384" t="n"/>
      <c r="K119" s="467">
        <f>_xlfn.XLOOKUP(C119,'SEM 2'!$C$8:$C$57,'SEM 2'!$CH$8:$CH$57,"")</f>
        <v/>
      </c>
      <c r="L119" s="617" t="n"/>
      <c r="M119" s="363" t="n"/>
      <c r="N119" s="363" t="n"/>
      <c r="O119" s="364" t="n"/>
      <c r="P119" s="364" t="n"/>
      <c r="Q119" s="330" t="n"/>
      <c r="R119" s="3" t="n"/>
    </row>
    <row r="120" ht="23.1" customFormat="1" customHeight="1" s="393">
      <c r="A120" s="295" t="n"/>
      <c r="B120" s="618" t="n"/>
      <c r="C120" s="619">
        <f>AC114</f>
        <v/>
      </c>
      <c r="D120" s="357">
        <f>_xlfn.XLOOKUP(C120,CODIGOS_Y_PAGOS[CODIGO],CODIGOS_Y_PAGOS[NOMBRE PARTICIPANTE],"")</f>
        <v/>
      </c>
      <c r="E120" s="352" t="inlineStr">
        <is>
          <t>MAS ACIERTOS EN 2 MARCAS</t>
        </is>
      </c>
      <c r="F120" s="352" t="n"/>
      <c r="G120" s="352" t="n"/>
      <c r="H120" s="352" t="n"/>
      <c r="I120" s="352" t="n"/>
      <c r="J120" s="384" t="n"/>
      <c r="K120" s="467">
        <f>_xlfn.XLOOKUP(C120,'SEM 2'!$C$8:$C$57,'SEM 2'!$CK$8:$CK$57,"")</f>
        <v/>
      </c>
      <c r="L120" s="615" t="n"/>
      <c r="M120" s="363" t="n"/>
      <c r="N120" s="363" t="n"/>
      <c r="O120" s="364" t="n"/>
      <c r="P120" s="364" t="n"/>
      <c r="Q120" s="330" t="n"/>
      <c r="R120" s="3" t="n"/>
    </row>
    <row r="121" ht="23.1" customFormat="1" customHeight="1" s="393">
      <c r="A121" s="295" t="n"/>
      <c r="B121" s="618" t="n"/>
      <c r="C121" s="619">
        <f>AC115</f>
        <v/>
      </c>
      <c r="D121" s="357">
        <f>_xlfn.XLOOKUP(C121,CODIGOS_Y_PAGOS[CODIGO],CODIGOS_Y_PAGOS[NOMBRE PARTICIPANTE],"")</f>
        <v/>
      </c>
      <c r="E121" s="352" t="inlineStr">
        <is>
          <t>MAS ACIERTOS EN 2 MARCAS</t>
        </is>
      </c>
      <c r="F121" s="352" t="n"/>
      <c r="G121" s="352" t="n"/>
      <c r="H121" s="352" t="n"/>
      <c r="I121" s="352" t="n"/>
      <c r="J121" s="384" t="n"/>
      <c r="K121" s="467">
        <f>_xlfn.XLOOKUP(C121,'SEM 2'!$C$8:$C$57,'SEM 2'!$CK$8:$CK$57,"")</f>
        <v/>
      </c>
      <c r="L121" s="388" t="n"/>
      <c r="M121" s="363" t="n"/>
      <c r="N121" s="363" t="n"/>
      <c r="O121" s="364" t="n"/>
      <c r="P121" s="364" t="n"/>
      <c r="Q121" s="330" t="n"/>
      <c r="R121" s="3" t="n"/>
    </row>
    <row r="122" outlineLevel="1" ht="23.1" customFormat="1" customHeight="1" s="393">
      <c r="A122" s="295" t="n"/>
      <c r="B122" s="618" t="n"/>
      <c r="C122" s="619">
        <f>AC116</f>
        <v/>
      </c>
      <c r="D122" s="357">
        <f>_xlfn.XLOOKUP(C122,CODIGOS_Y_PAGOS[CODIGO],CODIGOS_Y_PAGOS[NOMBRE PARTICIPANTE],"")</f>
        <v/>
      </c>
      <c r="E122" s="352" t="inlineStr">
        <is>
          <t>MAS ACIERTOS EN 2 MARCAS</t>
        </is>
      </c>
      <c r="F122" s="352" t="n"/>
      <c r="G122" s="352" t="n"/>
      <c r="H122" s="352" t="n"/>
      <c r="I122" s="352" t="n"/>
      <c r="J122" s="384" t="n"/>
      <c r="K122" s="467">
        <f>_xlfn.XLOOKUP(C122,'SEM 2'!$C$8:$C$57,'SEM 2'!$CK$8:$CK$57,"")</f>
        <v/>
      </c>
      <c r="L122" s="388" t="n"/>
      <c r="M122" s="363" t="n"/>
      <c r="N122" s="363" t="n"/>
      <c r="O122" s="364" t="n"/>
      <c r="P122" s="364" t="n"/>
      <c r="Q122" s="330" t="n"/>
      <c r="R122" s="3" t="n"/>
    </row>
    <row r="123" ht="23.1" customFormat="1" customHeight="1" s="393">
      <c r="A123" s="295" t="n"/>
      <c r="B123" s="618" t="n"/>
      <c r="C123" s="619">
        <f>AG114</f>
        <v/>
      </c>
      <c r="D123" s="357">
        <f>_xlfn.XLOOKUP(C123,CODIGOS_Y_PAGOS[CODIGO],CODIGOS_Y_PAGOS[NOMBRE PARTICIPANTE],"")</f>
        <v/>
      </c>
      <c r="E123" s="352" t="inlineStr">
        <is>
          <t>MAS ACIERTOS EN 3 MARCAS</t>
        </is>
      </c>
      <c r="F123" s="353" t="n"/>
      <c r="G123" s="353" t="n"/>
      <c r="H123" s="353" t="n"/>
      <c r="I123" s="353" t="n"/>
      <c r="J123" s="385" t="n"/>
      <c r="K123" s="467">
        <f>_xlfn.XLOOKUP(C123,'SEM 2'!$C$8:$C$57,'SEM 2'!$CN$8:$CN$57,"")</f>
        <v/>
      </c>
      <c r="L123" s="615" t="n"/>
      <c r="M123" s="365" t="n"/>
      <c r="N123" s="365" t="n"/>
      <c r="O123" s="366" t="n"/>
      <c r="P123" s="366" t="n"/>
      <c r="Q123" s="367" t="n"/>
      <c r="R123" s="3" t="n"/>
    </row>
    <row r="124" ht="23.1" customFormat="1" customHeight="1" s="393">
      <c r="A124" s="295" t="n"/>
      <c r="B124" s="618" t="n"/>
      <c r="C124" s="619">
        <f>AG115</f>
        <v/>
      </c>
      <c r="D124" s="357">
        <f>_xlfn.XLOOKUP(C124,CODIGOS_Y_PAGOS[CODIGO],CODIGOS_Y_PAGOS[NOMBRE PARTICIPANTE],"")</f>
        <v/>
      </c>
      <c r="E124" s="352" t="inlineStr">
        <is>
          <t>MAS ACIERTOS EN 3 MARCAS</t>
        </is>
      </c>
      <c r="F124" s="353" t="n"/>
      <c r="G124" s="353" t="n"/>
      <c r="H124" s="353" t="n"/>
      <c r="I124" s="353" t="n"/>
      <c r="J124" s="385" t="n"/>
      <c r="K124" s="467">
        <f>_xlfn.XLOOKUP(C124,'SEM 2'!$C$8:$C$57,'SEM 2'!$CN$8:$CN$57,"")</f>
        <v/>
      </c>
      <c r="L124" s="403" t="n"/>
      <c r="M124" s="363" t="n"/>
      <c r="N124" s="363" t="n"/>
      <c r="O124" s="364" t="n"/>
      <c r="P124" s="364" t="n"/>
      <c r="Q124" s="330" t="n"/>
      <c r="R124" s="3" t="n"/>
    </row>
    <row r="125" outlineLevel="1" ht="23.1" customFormat="1" customHeight="1" s="393">
      <c r="A125" s="295" t="n"/>
      <c r="B125" s="618" t="n"/>
      <c r="C125" s="619">
        <f>AG116</f>
        <v/>
      </c>
      <c r="D125" s="357">
        <f>_xlfn.XLOOKUP(C125,CODIGOS_Y_PAGOS[CODIGO],CODIGOS_Y_PAGOS[NOMBRE PARTICIPANTE],"")</f>
        <v/>
      </c>
      <c r="E125" s="352" t="inlineStr">
        <is>
          <t>MAS ACIERTOS EN 3 MARCAS</t>
        </is>
      </c>
      <c r="F125" s="353" t="n"/>
      <c r="G125" s="353" t="n"/>
      <c r="H125" s="353" t="n"/>
      <c r="I125" s="353" t="n"/>
      <c r="J125" s="385" t="n"/>
      <c r="K125" s="467">
        <f>_xlfn.XLOOKUP(C125,'SEM 2'!$C$8:$C$57,'SEM 2'!$CN$8:$CN$57,"")</f>
        <v/>
      </c>
      <c r="L125" s="388" t="n"/>
      <c r="M125" s="363" t="n"/>
      <c r="N125" s="363" t="n"/>
      <c r="O125" s="364" t="n"/>
      <c r="P125" s="364" t="n"/>
      <c r="Q125" s="330" t="n"/>
      <c r="R125" s="3" t="n"/>
    </row>
    <row r="126" ht="23.1" customFormat="1" customHeight="1" s="393">
      <c r="A126" s="295" t="n"/>
      <c r="B126" s="618" t="n"/>
      <c r="C126" s="619">
        <f>AL114</f>
        <v/>
      </c>
      <c r="D126" s="357">
        <f>_xlfn.XLOOKUP(C126,CODIGOS_Y_PAGOS[CODIGO],CODIGOS_Y_PAGOS[NOMBRE PARTICIPANTE],"")</f>
        <v/>
      </c>
      <c r="E126" s="573" t="inlineStr">
        <is>
          <t>MAYOR DIVIDENDO DEL DIA</t>
        </is>
      </c>
      <c r="F126" s="553" t="n"/>
      <c r="G126" s="553" t="n"/>
      <c r="H126" s="553" t="n"/>
      <c r="I126" s="553" t="n"/>
      <c r="J126" s="574" t="n"/>
      <c r="K126" s="464">
        <f>IF(D126="","",'SEM 2'!$CZ$24)</f>
        <v/>
      </c>
      <c r="L126" s="615" t="n"/>
      <c r="M126" s="620">
        <f>AK114</f>
        <v/>
      </c>
      <c r="N126" s="368">
        <f>IF(M126="","",'SEM 2'!$DA$25)</f>
        <v/>
      </c>
      <c r="O126" s="465">
        <f t="array" ref="O126">_xlfn._xlws.FILTER('[1]ALFABETICO SEM'!$M$1:$M$196, ('[1]ALFABETICO SEM'!$L$1:$L$196 = $M$126) * ('[1]ALFABETICO SEM'!$N$1:$N$196 = N126), " - ")</f>
        <v/>
      </c>
      <c r="P126" s="390" t="n"/>
      <c r="Q126" s="391" t="n"/>
      <c r="R126" s="3" t="n"/>
      <c r="T126" s="465" t="inlineStr">
        <is>
          <t>GRAN ANDRES</t>
        </is>
      </c>
      <c r="U126" s="390" t="n"/>
      <c r="V126" s="391" t="n"/>
    </row>
    <row r="127" outlineLevel="1" ht="23.1" customFormat="1" customHeight="1" s="393">
      <c r="A127" s="295" t="n"/>
      <c r="B127" s="618" t="n"/>
      <c r="C127" s="619">
        <f>AL115</f>
        <v/>
      </c>
      <c r="D127" s="357">
        <f>_xlfn.XLOOKUP(C127,CODIGOS_Y_PAGOS[CODIGO],CODIGOS_Y_PAGOS[NOMBRE PARTICIPANTE],"")</f>
        <v/>
      </c>
      <c r="E127" s="573" t="inlineStr">
        <is>
          <t>MAYOR DIVIDENDO DEL DIA</t>
        </is>
      </c>
      <c r="F127" s="553" t="n"/>
      <c r="G127" s="553" t="n"/>
      <c r="H127" s="553" t="n"/>
      <c r="I127" s="553" t="n"/>
      <c r="J127" s="574" t="n"/>
      <c r="K127" s="464">
        <f>IF(D127="","",'SEM 2'!$CZ$24)</f>
        <v/>
      </c>
      <c r="L127" s="615" t="n"/>
      <c r="M127" s="620">
        <f>IF(D127="","",'SEM 1'!$CZ$25)</f>
        <v/>
      </c>
      <c r="N127" s="368">
        <f>IF(M127="","",'SEM 1'!$DA$25)</f>
        <v/>
      </c>
      <c r="O127" s="465">
        <f t="array" ref="O127">_xlfn._xlws.FILTER('[1]ALFABETICO SEM'!$M$1:$M$196, ('[1]ALFABETICO SEM'!$L$1:$L$196 = $M$126) * ('[1]ALFABETICO SEM'!$N$1:$N$196 = N127), " - ")</f>
        <v/>
      </c>
      <c r="P127" s="390" t="n"/>
      <c r="Q127" s="391" t="n"/>
      <c r="R127" s="3" t="n"/>
      <c r="T127" s="465" t="inlineStr">
        <is>
          <t xml:space="preserve"> - </t>
        </is>
      </c>
      <c r="U127" s="390" t="n"/>
      <c r="V127" s="391" t="n"/>
    </row>
    <row r="128" outlineLevel="1" ht="23.1" customFormat="1" customHeight="1" s="393">
      <c r="A128" s="295" t="n"/>
      <c r="B128" s="618" t="n"/>
      <c r="C128" s="619">
        <f>AL116</f>
        <v/>
      </c>
      <c r="D128" s="357">
        <f>_xlfn.XLOOKUP(C128,CODIGOS_Y_PAGOS[CODIGO],CODIGOS_Y_PAGOS[NOMBRE PARTICIPANTE],"")</f>
        <v/>
      </c>
      <c r="E128" s="573" t="inlineStr">
        <is>
          <t>MAYOR DIVIDENDO DEL DIA</t>
        </is>
      </c>
      <c r="F128" s="553" t="n"/>
      <c r="G128" s="553" t="n"/>
      <c r="H128" s="553" t="n"/>
      <c r="I128" s="553" t="n"/>
      <c r="J128" s="574" t="n"/>
      <c r="K128" s="464">
        <f>IF(D128="","",'SEM 2'!$CZ$24)</f>
        <v/>
      </c>
      <c r="L128" s="615" t="n"/>
      <c r="M128" s="620">
        <f>IF(D128="","",'SEM 1'!$CZ$25)</f>
        <v/>
      </c>
      <c r="N128" s="368">
        <f>IF(M128="","",'SEM 1'!$DA$25)</f>
        <v/>
      </c>
      <c r="O128" s="465">
        <f t="array" ref="O128">_xlfn._xlws.FILTER('[1]ALFABETICO SEM'!$M$1:$M$196, ('[1]ALFABETICO SEM'!$L$1:$L$196 = $M$126) * ('[1]ALFABETICO SEM'!$N$1:$N$196 = N128), " - ")</f>
        <v/>
      </c>
      <c r="P128" s="390" t="n"/>
      <c r="Q128" s="391" t="n"/>
      <c r="R128" s="3" t="n"/>
      <c r="T128" s="465" t="inlineStr">
        <is>
          <t xml:space="preserve"> - </t>
        </is>
      </c>
      <c r="U128" s="390" t="n"/>
      <c r="V128" s="391" t="n"/>
    </row>
    <row r="129" outlineLevel="1" ht="23.1" customFormat="1" customHeight="1" s="393">
      <c r="A129" s="295" t="n"/>
      <c r="B129" s="618" t="n"/>
      <c r="C129" s="619" t="n"/>
      <c r="D129" s="357">
        <f>_xlfn.XLOOKUP(C129,CODIGOS_Y_PAGOS[CODIGO],CODIGOS_Y_PAGOS[NOMBRE PARTICIPANTE],"")</f>
        <v/>
      </c>
      <c r="E129" s="573" t="inlineStr">
        <is>
          <t>MARCA MAYOR DIVIDENDO</t>
        </is>
      </c>
      <c r="F129" s="553" t="n"/>
      <c r="G129" s="553" t="n"/>
      <c r="H129" s="553" t="n"/>
      <c r="I129" s="553" t="n"/>
      <c r="J129" s="574" t="n"/>
      <c r="K129" s="614" t="n"/>
      <c r="L129" s="615" t="n"/>
      <c r="M129" s="620" t="n"/>
      <c r="N129" s="368" t="n"/>
      <c r="O129" s="370" t="n"/>
      <c r="P129" s="369" t="n"/>
      <c r="Q129" s="371" t="n"/>
      <c r="R129" s="3" t="n"/>
      <c r="T129" s="370" t="n"/>
      <c r="U129" s="369" t="n"/>
      <c r="V129" s="371" t="n"/>
    </row>
    <row r="130" outlineLevel="1" ht="23.1" customFormat="1" customHeight="1" s="393">
      <c r="A130" s="295" t="n"/>
      <c r="B130" s="618" t="n"/>
      <c r="C130" s="619" t="n"/>
      <c r="D130" s="357">
        <f>_xlfn.XLOOKUP(C130,CODIGOS_Y_PAGOS[CODIGO],CODIGOS_Y_PAGOS[NOMBRE PARTICIPANTE],"")</f>
        <v/>
      </c>
      <c r="E130" s="573" t="inlineStr">
        <is>
          <t>MARCA MAYOR DIVIDENDO</t>
        </is>
      </c>
      <c r="F130" s="553" t="n"/>
      <c r="G130" s="553" t="n"/>
      <c r="H130" s="553" t="n"/>
      <c r="I130" s="553" t="n"/>
      <c r="J130" s="574" t="n"/>
      <c r="K130" s="614" t="n"/>
      <c r="L130" s="615" t="n"/>
      <c r="M130" s="620" t="n"/>
      <c r="N130" s="368" t="n"/>
      <c r="O130" s="389" t="n"/>
      <c r="P130" s="390" t="n"/>
      <c r="Q130" s="391" t="n"/>
      <c r="R130" s="3" t="n"/>
      <c r="T130" s="389" t="n"/>
      <c r="U130" s="390" t="n"/>
      <c r="V130" s="391" t="n"/>
    </row>
    <row r="131" outlineLevel="1" ht="23.1" customFormat="1" customHeight="1" s="393">
      <c r="A131" s="295" t="n"/>
      <c r="B131" s="618" t="n"/>
      <c r="C131" s="619" t="n"/>
      <c r="D131" s="357">
        <f>_xlfn.XLOOKUP(C131,CODIGOS_Y_PAGOS[CODIGO],CODIGOS_Y_PAGOS[NOMBRE PARTICIPANTE],"")</f>
        <v/>
      </c>
      <c r="E131" s="573" t="inlineStr">
        <is>
          <t>MARCA MAYOR DIVIDENDO</t>
        </is>
      </c>
      <c r="F131" s="553" t="n"/>
      <c r="G131" s="553" t="n"/>
      <c r="H131" s="553" t="n"/>
      <c r="I131" s="553" t="n"/>
      <c r="J131" s="574" t="n"/>
      <c r="K131" s="614" t="n"/>
      <c r="L131" s="615" t="n"/>
      <c r="M131" s="620" t="n"/>
      <c r="N131" s="368" t="n"/>
      <c r="O131" s="370" t="n"/>
      <c r="P131" s="369" t="n"/>
      <c r="Q131" s="371" t="n"/>
      <c r="R131" s="3" t="n"/>
      <c r="T131" s="370" t="n"/>
      <c r="U131" s="369" t="n"/>
      <c r="V131" s="371" t="n"/>
    </row>
    <row r="132" ht="23.1" customFormat="1" customHeight="1" s="393">
      <c r="A132" s="295" t="n"/>
      <c r="B132" s="618" t="n"/>
      <c r="C132" s="619">
        <f>AO114</f>
        <v/>
      </c>
      <c r="D132" s="357">
        <f>_xlfn.XLOOKUP(C132,CODIGOS_Y_PAGOS[CODIGO],CODIGOS_Y_PAGOS[NOMBRE PARTICIPANTE],"")</f>
        <v/>
      </c>
      <c r="E132" s="573" t="inlineStr">
        <is>
          <t>SUPERFIJA MAYOR DIVIDENDO</t>
        </is>
      </c>
      <c r="F132" s="553" t="n"/>
      <c r="G132" s="553" t="n"/>
      <c r="H132" s="553" t="n"/>
      <c r="I132" s="553" t="n"/>
      <c r="J132" s="574" t="n"/>
      <c r="K132" s="464">
        <f>IF(D132="","",'SEM 2'!EH59)</f>
        <v/>
      </c>
      <c r="L132" s="615" t="n"/>
      <c r="M132" s="620">
        <f>IF(D132="","",'SEM 2'!EJ59)</f>
        <v/>
      </c>
      <c r="N132" s="368">
        <f>IF(M132="","",'SEM 2'!$EG$59)</f>
        <v/>
      </c>
      <c r="O132" s="465">
        <f t="array" ref="O132">_xlfn._xlws.FILTER('[1]ALFABETICO SEM'!$M$1:$M$196, ('[1]ALFABETICO SEM'!$L$1:$L$196 = $M$132) * ('[1]ALFABETICO SEM'!$N$1:$N$196 = N132), " - ")</f>
        <v/>
      </c>
      <c r="P132" s="390" t="n"/>
      <c r="Q132" s="391" t="n"/>
      <c r="R132" s="3" t="n"/>
      <c r="T132" s="465" t="inlineStr">
        <is>
          <t>BLACK STONE</t>
        </is>
      </c>
      <c r="U132" s="390" t="n"/>
      <c r="V132" s="391" t="n"/>
    </row>
    <row r="133" outlineLevel="1" ht="23.1" customFormat="1" customHeight="1" s="393">
      <c r="A133" s="295" t="n"/>
      <c r="B133" s="618" t="n"/>
      <c r="C133" s="619">
        <f>AO115</f>
        <v/>
      </c>
      <c r="D133" s="357">
        <f>_xlfn.XLOOKUP(C133,CODIGOS_Y_PAGOS[CODIGO],CODIGOS_Y_PAGOS[NOMBRE PARTICIPANTE],"")</f>
        <v/>
      </c>
      <c r="E133" s="573" t="inlineStr">
        <is>
          <t>SUPERFIJA MAYOR DIVIDENDO</t>
        </is>
      </c>
      <c r="F133" s="553" t="n"/>
      <c r="G133" s="553" t="n"/>
      <c r="H133" s="553" t="n"/>
      <c r="I133" s="553" t="n"/>
      <c r="J133" s="574" t="n"/>
      <c r="K133" s="464">
        <f>IF(D133="","",'SEM 2'!EH60)</f>
        <v/>
      </c>
      <c r="L133" s="615" t="n"/>
      <c r="M133" s="620">
        <f>IF(D133="","",'SEM 2'!EJ60)</f>
        <v/>
      </c>
      <c r="N133" s="368">
        <f>IF(M133="","",'SEM 2'!$EG$59)</f>
        <v/>
      </c>
      <c r="O133" s="465">
        <f t="array" ref="O133">_xlfn._xlws.FILTER('[1]ALFABETICO SEM'!$M$1:$M$196, ('[1]ALFABETICO SEM'!$L$1:$L$196 = $M$132) * ('[1]ALFABETICO SEM'!$N$1:$N$196 = N133), " - ")</f>
        <v/>
      </c>
      <c r="P133" s="369" t="n"/>
      <c r="Q133" s="371" t="n"/>
      <c r="R133" s="3" t="n"/>
      <c r="T133" s="465" t="inlineStr">
        <is>
          <t xml:space="preserve"> - </t>
        </is>
      </c>
      <c r="U133" s="369" t="n"/>
      <c r="V133" s="371" t="n"/>
    </row>
    <row r="134" outlineLevel="1" ht="23.1" customFormat="1" customHeight="1" s="393">
      <c r="A134" s="295" t="n"/>
      <c r="B134" s="618" t="n"/>
      <c r="C134" s="619">
        <f>AO116</f>
        <v/>
      </c>
      <c r="D134" s="357">
        <f>_xlfn.XLOOKUP(C134,CODIGOS_Y_PAGOS[CODIGO],CODIGOS_Y_PAGOS[NOMBRE PARTICIPANTE],"")</f>
        <v/>
      </c>
      <c r="E134" s="573" t="inlineStr">
        <is>
          <t>SUPERFIJA MAYOR DIVIDENDO</t>
        </is>
      </c>
      <c r="F134" s="553" t="n"/>
      <c r="G134" s="553" t="n"/>
      <c r="H134" s="553" t="n"/>
      <c r="I134" s="553" t="n"/>
      <c r="J134" s="574" t="n"/>
      <c r="K134" s="464">
        <f>IF(D134="","",'SEM 2'!EH61)</f>
        <v/>
      </c>
      <c r="L134" s="615" t="n"/>
      <c r="M134" s="620">
        <f>IF(D134="","",'SEM 2'!EJ61)</f>
        <v/>
      </c>
      <c r="N134" s="368">
        <f>IF(M134="","",'SEM 2'!$EG$59)</f>
        <v/>
      </c>
      <c r="O134" s="465">
        <f t="array" ref="O134">_xlfn._xlws.FILTER('[1]ALFABETICO SEM'!$M$1:$M$196, ('[1]ALFABETICO SEM'!$L$1:$L$196 = $M$132) * ('[1]ALFABETICO SEM'!$N$1:$N$196 = N134), " - ")</f>
        <v/>
      </c>
      <c r="P134" s="390" t="n"/>
      <c r="Q134" s="391" t="n"/>
      <c r="R134" s="3" t="n"/>
      <c r="T134" s="465" t="inlineStr">
        <is>
          <t xml:space="preserve"> - </t>
        </is>
      </c>
      <c r="U134" s="390" t="n"/>
      <c r="V134" s="391" t="n"/>
    </row>
    <row r="135" ht="23.1" customFormat="1" customHeight="1" s="393">
      <c r="A135" s="295" t="n"/>
      <c r="B135" s="618" t="n"/>
      <c r="C135" s="619">
        <f>'SEM 2'!DQ59</f>
        <v/>
      </c>
      <c r="D135" s="357">
        <f>_xlfn.XLOOKUP(C135,CODIGOS_Y_PAGOS[CODIGO],CODIGOS_Y_PAGOS[NOMBRE PARTICIPANTE],"")</f>
        <v/>
      </c>
      <c r="E135" s="573" t="inlineStr">
        <is>
          <t>FIJA MAYOR DIVIDENDO</t>
        </is>
      </c>
      <c r="F135" s="553" t="n"/>
      <c r="G135" s="553" t="n"/>
      <c r="H135" s="553" t="n"/>
      <c r="I135" s="553" t="n"/>
      <c r="J135" s="574" t="n"/>
      <c r="K135" s="464">
        <f>IF(D135="","",'SEM 2'!DP59)</f>
        <v/>
      </c>
      <c r="L135" s="615" t="n"/>
      <c r="M135" s="620">
        <f>IF(D135="","",'SEM 2'!DR59)</f>
        <v/>
      </c>
      <c r="N135" s="368">
        <f>IF(M135="","",'SEM 2'!$DO$59)</f>
        <v/>
      </c>
      <c r="O135" s="465">
        <f t="array" ref="O135">_xlfn._xlws.FILTER('[1]ALFABETICO SEM'!$M$1:$M$196, ('[1]ALFABETICO SEM'!$L$1:$L$196 = $M$135) * ('[1]ALFABETICO SEM'!$N$1:$N$196 = N135), " - ")</f>
        <v/>
      </c>
      <c r="P135" s="372" t="n"/>
      <c r="Q135" s="373" t="n"/>
      <c r="R135" s="3" t="n"/>
      <c r="T135" s="465" t="inlineStr">
        <is>
          <t>TINTA FINA</t>
        </is>
      </c>
      <c r="U135" s="372" t="n"/>
      <c r="V135" s="373" t="n"/>
    </row>
    <row r="136" outlineLevel="2" ht="23.1" customHeight="1" s="568">
      <c r="A136" s="3" t="n"/>
      <c r="B136" s="618" t="n"/>
      <c r="C136" s="619">
        <f>'SEM 2'!DQ60</f>
        <v/>
      </c>
      <c r="D136" s="357">
        <f>_xlfn.XLOOKUP(C136,CODIGOS_Y_PAGOS[CODIGO],CODIGOS_Y_PAGOS[NOMBRE PARTICIPANTE],"")</f>
        <v/>
      </c>
      <c r="E136" s="573" t="inlineStr">
        <is>
          <t>FIJA MAYOR DIVIDENDO</t>
        </is>
      </c>
      <c r="F136" s="553" t="n"/>
      <c r="G136" s="553" t="n"/>
      <c r="H136" s="553" t="n"/>
      <c r="I136" s="553" t="n"/>
      <c r="J136" s="574" t="n"/>
      <c r="K136" s="464">
        <f>IF(D136="","",'SEM 2'!DP60)</f>
        <v/>
      </c>
      <c r="L136" s="615" t="n"/>
      <c r="M136" s="620">
        <f>IF(D136="","",'SEM 2'!DR60)</f>
        <v/>
      </c>
      <c r="N136" s="368">
        <f>IF(M136="","",'SEM 2'!$DO$59)</f>
        <v/>
      </c>
      <c r="O136" s="465">
        <f t="array" ref="O136">_xlfn._xlws.FILTER('[1]ALFABETICO SEM'!$M$1:$M$196, ('[1]ALFABETICO SEM'!$L$1:$L$196 = $M$135) * ('[1]ALFABETICO SEM'!$N$1:$N$196 = N136), " - ")</f>
        <v/>
      </c>
      <c r="P136" s="390" t="n"/>
      <c r="Q136" s="391" t="n"/>
      <c r="R136" s="3" t="n"/>
    </row>
    <row r="137" outlineLevel="2" ht="23.1" customHeight="1" s="568">
      <c r="A137" s="1" t="n"/>
      <c r="B137" s="618" t="n"/>
      <c r="C137" s="619">
        <f>'SEM 2'!DQ61</f>
        <v/>
      </c>
      <c r="D137" s="357">
        <f>_xlfn.XLOOKUP(C137,CODIGOS_Y_PAGOS[CODIGO],CODIGOS_Y_PAGOS[NOMBRE PARTICIPANTE],"")</f>
        <v/>
      </c>
      <c r="E137" s="573" t="inlineStr">
        <is>
          <t>FIJA MAYOR DIVIDENDO</t>
        </is>
      </c>
      <c r="F137" s="553" t="n"/>
      <c r="G137" s="553" t="n"/>
      <c r="H137" s="553" t="n"/>
      <c r="I137" s="553" t="n"/>
      <c r="J137" s="574" t="n"/>
      <c r="K137" s="464">
        <f>IF(D137="","",'SEM 2'!DP61)</f>
        <v/>
      </c>
      <c r="L137" s="615" t="n"/>
      <c r="M137" s="620">
        <f>IF(D137="","",'SEM 2'!DR61)</f>
        <v/>
      </c>
      <c r="N137" s="368">
        <f>IF(M137="","",'SEM 2'!$DO$59)</f>
        <v/>
      </c>
      <c r="O137" s="465">
        <f t="array" ref="O137">_xlfn._xlws.FILTER('[1]ALFABETICO SEM'!$M$1:$M$196, ('[1]ALFABETICO SEM'!$L$1:$L$196 = $M$135) * ('[1]ALFABETICO SEM'!$N$1:$N$196 = N137), " - ")</f>
        <v/>
      </c>
      <c r="P137" s="372" t="n"/>
      <c r="Q137" s="373" t="n"/>
      <c r="R137" s="3" t="n"/>
    </row>
    <row r="138" outlineLevel="1" ht="10.5" customFormat="1" customHeight="1" s="393">
      <c r="A138" s="295" t="n"/>
      <c r="B138" s="331" t="n"/>
      <c r="C138" s="331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R138" s="316" t="n"/>
    </row>
    <row r="139" ht="21.75" customFormat="1" customHeight="1" s="393" thickBot="1">
      <c r="A139" s="295" t="n"/>
      <c r="B139" s="473" t="n"/>
      <c r="C139" s="474" t="n"/>
      <c r="D139" s="475">
        <f>L111</f>
        <v/>
      </c>
      <c r="E139" s="476" t="n"/>
      <c r="F139" s="477" t="n"/>
      <c r="G139" s="478">
        <f>+Q111</f>
        <v/>
      </c>
      <c r="H139" s="3" t="n"/>
      <c r="I139" s="376" t="n"/>
      <c r="J139" s="377" t="n"/>
      <c r="K139" s="377" t="n"/>
      <c r="L139" s="377" t="n"/>
      <c r="M139" s="377" t="n"/>
      <c r="N139" s="378">
        <f>D139</f>
        <v/>
      </c>
      <c r="O139" s="378" t="n"/>
      <c r="P139" s="377" t="n"/>
      <c r="Q139" s="379">
        <f>+G139</f>
        <v/>
      </c>
      <c r="R139" s="316" t="n"/>
    </row>
    <row r="140" ht="21" customFormat="1" customHeight="1" s="393">
      <c r="A140" s="295" t="n"/>
      <c r="B140" s="479" t="n"/>
      <c r="C140" s="375" t="n"/>
      <c r="D140" s="375" t="n"/>
      <c r="E140" s="375" t="n"/>
      <c r="F140" s="375" t="n"/>
      <c r="G140" s="480" t="inlineStr">
        <is>
          <t>RANKING GANADORES ACERTADOS</t>
        </is>
      </c>
      <c r="H140" s="3" t="n"/>
      <c r="I140" s="380" t="n"/>
      <c r="J140" s="374" t="n"/>
      <c r="K140" s="374" t="n"/>
      <c r="L140" s="374" t="n"/>
      <c r="M140" s="374" t="n"/>
      <c r="N140" s="374" t="n"/>
      <c r="O140" s="374" t="n"/>
      <c r="P140" s="374" t="n"/>
      <c r="Q140" s="381" t="inlineStr">
        <is>
          <t>RANKING FIJAS ACERTADAS</t>
        </is>
      </c>
      <c r="R140" s="316" t="n"/>
    </row>
    <row r="141" ht="23.1" customFormat="1" customHeight="1" s="393">
      <c r="A141" s="295" t="n"/>
      <c r="B141" s="334" t="n">
        <v>0</v>
      </c>
      <c r="C141" s="287" t="inlineStr">
        <is>
          <t>CODIGO</t>
        </is>
      </c>
      <c r="D141" s="288" t="inlineStr">
        <is>
          <t>NOMBRE PARTICIPANTE</t>
        </is>
      </c>
      <c r="E141" s="335" t="inlineStr">
        <is>
          <t>CARRERAS</t>
        </is>
      </c>
      <c r="F141" s="335" t="inlineStr">
        <is>
          <t>ACIERTOS</t>
        </is>
      </c>
      <c r="G141" s="335" t="inlineStr">
        <is>
          <t>RENDIMIEN   TO</t>
        </is>
      </c>
      <c r="H141" s="295" t="n"/>
      <c r="I141" s="382" t="n">
        <v>0</v>
      </c>
      <c r="J141" s="336" t="inlineStr">
        <is>
          <t>CODIGO</t>
        </is>
      </c>
      <c r="K141" s="337" t="inlineStr">
        <is>
          <t>NOMBRE PARTICIPANTE</t>
        </is>
      </c>
      <c r="L141" s="338" t="n"/>
      <c r="M141" s="338" t="n"/>
      <c r="N141" s="339" t="n"/>
      <c r="O141" s="340" t="inlineStr">
        <is>
          <t>CARRERAS</t>
        </is>
      </c>
      <c r="P141" s="335" t="inlineStr">
        <is>
          <t>ACIERTOS</t>
        </is>
      </c>
      <c r="Q141" s="335" t="inlineStr">
        <is>
          <t>RENDIMIENTO</t>
        </is>
      </c>
      <c r="R141" s="316" t="n"/>
    </row>
    <row r="142" ht="23.1" customFormat="1" customHeight="1" s="393">
      <c r="A142" s="295" t="n"/>
      <c r="B142" s="307">
        <f>+B141+1</f>
        <v/>
      </c>
      <c r="C142" s="621">
        <f t="array" ref="C142:C191">_xlfn.SORTBY($C$5:$C$54,$L$5:$L$54,-1)</f>
        <v/>
      </c>
      <c r="D142" s="468">
        <f>_xlfn.XLOOKUP(C142,CODIGOS_Y_PAGOS[CODIGO],CODIGOS_Y_PAGOS[NOMBRE PARTICIPANTE],"")</f>
        <v/>
      </c>
      <c r="E142" s="341">
        <f>_xlfn.XLOOKUP(C142,$C$5:$C$54,$K$5:$K$54)</f>
        <v/>
      </c>
      <c r="F142" s="341">
        <f>_xlfn.XLOOKUP(C142,$C$5:$C$54,$L$5:$L$54)</f>
        <v/>
      </c>
      <c r="G142" s="383">
        <f>+F142/E142</f>
        <v/>
      </c>
      <c r="H142" s="316" t="n"/>
      <c r="I142" s="307">
        <f>+I141+1</f>
        <v/>
      </c>
      <c r="J142" s="621">
        <f t="array" ref="J142:J191">_xlfn.SORTBY($C$5:$C$54,$P$5:$P$54,-1)</f>
        <v/>
      </c>
      <c r="K142" s="468">
        <f>_xlfn.XLOOKUP(J142,CODIGOS_Y_PAGOS[CODIGO],CODIGOS_Y_PAGOS[NOMBRE PARTICIPANTE],"")</f>
        <v/>
      </c>
      <c r="L142" s="343" t="n"/>
      <c r="M142" s="343" t="n"/>
      <c r="N142" s="344" t="n"/>
      <c r="O142" s="345">
        <f>_xlfn.XLOOKUP(J142,$C$5:$C$54,$N$5:$N$54)</f>
        <v/>
      </c>
      <c r="P142" s="345">
        <f>_xlfn.XLOOKUP(J142,$C$5:$C$54,$O$5:$O$54)</f>
        <v/>
      </c>
      <c r="Q142" s="383">
        <f>+P142/O142</f>
        <v/>
      </c>
      <c r="R142" s="316" t="n"/>
    </row>
    <row r="143" ht="23.1" customFormat="1" customHeight="1" s="393">
      <c r="A143" s="295" t="n"/>
      <c r="B143" s="307">
        <f>+B142+1</f>
        <v/>
      </c>
      <c r="C143" s="621" t="inlineStr">
        <is>
          <t>COD 05</t>
        </is>
      </c>
      <c r="D143" s="468">
        <f>_xlfn.XLOOKUP(C143,CODIGOS_Y_PAGOS[CODIGO],CODIGOS_Y_PAGOS[NOMBRE PARTICIPANTE],"")</f>
        <v/>
      </c>
      <c r="E143" s="341">
        <f>_xlfn.XLOOKUP(C143,$C$5:$C$54,$K$5:$K$54)</f>
        <v/>
      </c>
      <c r="F143" s="341">
        <f>_xlfn.XLOOKUP(C143,$C$5:$C$54,$L$5:$L$54)</f>
        <v/>
      </c>
      <c r="G143" s="383">
        <f>+F143/E143</f>
        <v/>
      </c>
      <c r="H143" s="316" t="n"/>
      <c r="I143" s="307">
        <f>+I142+1</f>
        <v/>
      </c>
      <c r="J143" s="621" t="inlineStr">
        <is>
          <t>COD 15</t>
        </is>
      </c>
      <c r="K143" s="468">
        <f>_xlfn.XLOOKUP(J143,CODIGOS_Y_PAGOS[CODIGO],CODIGOS_Y_PAGOS[NOMBRE PARTICIPANTE],"")</f>
        <v/>
      </c>
      <c r="L143" s="346" t="n"/>
      <c r="M143" s="346" t="n"/>
      <c r="N143" s="347" t="n"/>
      <c r="O143" s="345">
        <f>_xlfn.XLOOKUP(J143,$C$5:$C$54,$N$5:$N$54)</f>
        <v/>
      </c>
      <c r="P143" s="345">
        <f>_xlfn.XLOOKUP(J143,$C$5:$C$54,$O$5:$O$54)</f>
        <v/>
      </c>
      <c r="Q143" s="383">
        <f>+P143/O143</f>
        <v/>
      </c>
      <c r="R143" s="316" t="n"/>
    </row>
    <row r="144" ht="23.1" customFormat="1" customHeight="1" s="393">
      <c r="A144" s="295" t="n"/>
      <c r="B144" s="307">
        <f>+B143+1</f>
        <v/>
      </c>
      <c r="C144" s="621" t="inlineStr">
        <is>
          <t>COD 21</t>
        </is>
      </c>
      <c r="D144" s="468">
        <f>_xlfn.XLOOKUP(C144,CODIGOS_Y_PAGOS[CODIGO],CODIGOS_Y_PAGOS[NOMBRE PARTICIPANTE],"")</f>
        <v/>
      </c>
      <c r="E144" s="341">
        <f>_xlfn.XLOOKUP(C144,$C$5:$C$54,$K$5:$K$54)</f>
        <v/>
      </c>
      <c r="F144" s="341">
        <f>_xlfn.XLOOKUP(C144,$C$5:$C$54,$L$5:$L$54)</f>
        <v/>
      </c>
      <c r="G144" s="383">
        <f>+F144/E144</f>
        <v/>
      </c>
      <c r="H144" s="316" t="n"/>
      <c r="I144" s="307">
        <f>+I143+1</f>
        <v/>
      </c>
      <c r="J144" s="621" t="inlineStr">
        <is>
          <t>COD 13</t>
        </is>
      </c>
      <c r="K144" s="468">
        <f>_xlfn.XLOOKUP(J144,CODIGOS_Y_PAGOS[CODIGO],CODIGOS_Y_PAGOS[NOMBRE PARTICIPANTE],"")</f>
        <v/>
      </c>
      <c r="L144" s="346" t="n"/>
      <c r="M144" s="346" t="n"/>
      <c r="N144" s="347" t="n"/>
      <c r="O144" s="345">
        <f>_xlfn.XLOOKUP(J144,$C$5:$C$54,$N$5:$N$54)</f>
        <v/>
      </c>
      <c r="P144" s="345">
        <f>_xlfn.XLOOKUP(J144,$C$5:$C$54,$O$5:$O$54)</f>
        <v/>
      </c>
      <c r="Q144" s="383">
        <f>+P144/O144</f>
        <v/>
      </c>
      <c r="R144" s="316" t="n"/>
    </row>
    <row r="145" ht="23.1" customFormat="1" customHeight="1" s="393">
      <c r="A145" s="295" t="n"/>
      <c r="B145" s="307">
        <f>+B144+1</f>
        <v/>
      </c>
      <c r="C145" s="621" t="inlineStr">
        <is>
          <t>COD 25</t>
        </is>
      </c>
      <c r="D145" s="468">
        <f>_xlfn.XLOOKUP(C145,CODIGOS_Y_PAGOS[CODIGO],CODIGOS_Y_PAGOS[NOMBRE PARTICIPANTE],"")</f>
        <v/>
      </c>
      <c r="E145" s="341">
        <f>_xlfn.XLOOKUP(C145,$C$5:$C$54,$K$5:$K$54)</f>
        <v/>
      </c>
      <c r="F145" s="341">
        <f>_xlfn.XLOOKUP(C145,$C$5:$C$54,$L$5:$L$54)</f>
        <v/>
      </c>
      <c r="G145" s="383">
        <f>+F145/E145</f>
        <v/>
      </c>
      <c r="H145" s="316" t="n"/>
      <c r="I145" s="307">
        <f>+I144+1</f>
        <v/>
      </c>
      <c r="J145" s="621" t="inlineStr">
        <is>
          <t>COD 02</t>
        </is>
      </c>
      <c r="K145" s="468">
        <f>_xlfn.XLOOKUP(J145,CODIGOS_Y_PAGOS[CODIGO],CODIGOS_Y_PAGOS[NOMBRE PARTICIPANTE],"")</f>
        <v/>
      </c>
      <c r="L145" s="346" t="n"/>
      <c r="M145" s="346" t="n"/>
      <c r="N145" s="347" t="n"/>
      <c r="O145" s="345">
        <f>_xlfn.XLOOKUP(J145,$C$5:$C$54,$N$5:$N$54)</f>
        <v/>
      </c>
      <c r="P145" s="345">
        <f>_xlfn.XLOOKUP(J145,$C$5:$C$54,$O$5:$O$54)</f>
        <v/>
      </c>
      <c r="Q145" s="383">
        <f>+P145/O145</f>
        <v/>
      </c>
      <c r="R145" s="316" t="n"/>
    </row>
    <row r="146" ht="23.1" customFormat="1" customHeight="1" s="393">
      <c r="A146" s="295" t="n"/>
      <c r="B146" s="307">
        <f>+B145+1</f>
        <v/>
      </c>
      <c r="C146" s="621" t="inlineStr">
        <is>
          <t>COD 09</t>
        </is>
      </c>
      <c r="D146" s="468">
        <f>_xlfn.XLOOKUP(C146,CODIGOS_Y_PAGOS[CODIGO],CODIGOS_Y_PAGOS[NOMBRE PARTICIPANTE],"")</f>
        <v/>
      </c>
      <c r="E146" s="341">
        <f>_xlfn.XLOOKUP(C146,$C$5:$C$54,$K$5:$K$54)</f>
        <v/>
      </c>
      <c r="F146" s="341">
        <f>_xlfn.XLOOKUP(C146,$C$5:$C$54,$L$5:$L$54)</f>
        <v/>
      </c>
      <c r="G146" s="383">
        <f>+F146/E146</f>
        <v/>
      </c>
      <c r="H146" s="316" t="n"/>
      <c r="I146" s="307">
        <f>+I145+1</f>
        <v/>
      </c>
      <c r="J146" s="621" t="inlineStr">
        <is>
          <t>COD 21</t>
        </is>
      </c>
      <c r="K146" s="468">
        <f>_xlfn.XLOOKUP(J146,CODIGOS_Y_PAGOS[CODIGO],CODIGOS_Y_PAGOS[NOMBRE PARTICIPANTE],"")</f>
        <v/>
      </c>
      <c r="L146" s="346" t="n"/>
      <c r="M146" s="346" t="n"/>
      <c r="N146" s="347" t="n"/>
      <c r="O146" s="345">
        <f>_xlfn.XLOOKUP(J146,$C$5:$C$54,$N$5:$N$54)</f>
        <v/>
      </c>
      <c r="P146" s="345">
        <f>_xlfn.XLOOKUP(J146,$C$5:$C$54,$O$5:$O$54)</f>
        <v/>
      </c>
      <c r="Q146" s="383">
        <f>+P146/O146</f>
        <v/>
      </c>
      <c r="R146" s="316" t="n"/>
    </row>
    <row r="147" ht="23.1" customFormat="1" customHeight="1" s="393">
      <c r="A147" s="295" t="n"/>
      <c r="B147" s="307">
        <f>+B146+1</f>
        <v/>
      </c>
      <c r="C147" s="621" t="inlineStr">
        <is>
          <t>COD 16</t>
        </is>
      </c>
      <c r="D147" s="468">
        <f>_xlfn.XLOOKUP(C147,CODIGOS_Y_PAGOS[CODIGO],CODIGOS_Y_PAGOS[NOMBRE PARTICIPANTE],"")</f>
        <v/>
      </c>
      <c r="E147" s="341">
        <f>_xlfn.XLOOKUP(C147,$C$5:$C$54,$K$5:$K$54)</f>
        <v/>
      </c>
      <c r="F147" s="341">
        <f>_xlfn.XLOOKUP(C147,$C$5:$C$54,$L$5:$L$54)</f>
        <v/>
      </c>
      <c r="G147" s="383">
        <f>+F147/E147</f>
        <v/>
      </c>
      <c r="H147" s="316" t="n"/>
      <c r="I147" s="307">
        <f>+I146+1</f>
        <v/>
      </c>
      <c r="J147" s="621" t="inlineStr">
        <is>
          <t>COD 10</t>
        </is>
      </c>
      <c r="K147" s="468">
        <f>_xlfn.XLOOKUP(J147,CODIGOS_Y_PAGOS[CODIGO],CODIGOS_Y_PAGOS[NOMBRE PARTICIPANTE],"")</f>
        <v/>
      </c>
      <c r="L147" s="346" t="n"/>
      <c r="M147" s="346" t="n"/>
      <c r="N147" s="347" t="n"/>
      <c r="O147" s="345">
        <f>_xlfn.XLOOKUP(J147,$C$5:$C$54,$N$5:$N$54)</f>
        <v/>
      </c>
      <c r="P147" s="345">
        <f>_xlfn.XLOOKUP(J147,$C$5:$C$54,$O$5:$O$54)</f>
        <v/>
      </c>
      <c r="Q147" s="383">
        <f>+P147/O147</f>
        <v/>
      </c>
      <c r="R147" s="316" t="n"/>
    </row>
    <row r="148" ht="23.1" customHeight="1" s="568">
      <c r="A148" s="3" t="n"/>
      <c r="B148" s="307">
        <f>+B147+1</f>
        <v/>
      </c>
      <c r="C148" s="621" t="inlineStr">
        <is>
          <t>COD 28</t>
        </is>
      </c>
      <c r="D148" s="468">
        <f>_xlfn.XLOOKUP(C148,CODIGOS_Y_PAGOS[CODIGO],CODIGOS_Y_PAGOS[NOMBRE PARTICIPANTE],"")</f>
        <v/>
      </c>
      <c r="E148" s="341">
        <f>_xlfn.XLOOKUP(C148,$C$5:$C$54,$K$5:$K$54)</f>
        <v/>
      </c>
      <c r="F148" s="341">
        <f>_xlfn.XLOOKUP(C148,$C$5:$C$54,$L$5:$L$54)</f>
        <v/>
      </c>
      <c r="G148" s="383">
        <f>+F148/E148</f>
        <v/>
      </c>
      <c r="H148" s="316" t="n"/>
      <c r="I148" s="307">
        <f>+I147+1</f>
        <v/>
      </c>
      <c r="J148" s="621" t="inlineStr">
        <is>
          <t>COD 25</t>
        </is>
      </c>
      <c r="K148" s="468">
        <f>_xlfn.XLOOKUP(J148,CODIGOS_Y_PAGOS[CODIGO],CODIGOS_Y_PAGOS[NOMBRE PARTICIPANTE],"")</f>
        <v/>
      </c>
      <c r="L148" s="346" t="n"/>
      <c r="M148" s="346" t="n"/>
      <c r="N148" s="347" t="n"/>
      <c r="O148" s="345">
        <f>_xlfn.XLOOKUP(J148,$C$5:$C$54,$N$5:$N$54)</f>
        <v/>
      </c>
      <c r="P148" s="345">
        <f>_xlfn.XLOOKUP(J148,$C$5:$C$54,$O$5:$O$54)</f>
        <v/>
      </c>
      <c r="Q148" s="383">
        <f>+P148/O148</f>
        <v/>
      </c>
      <c r="R148" s="3" t="n"/>
    </row>
    <row r="149" ht="23.1" customHeight="1" s="568">
      <c r="B149" s="307">
        <f>+B148+1</f>
        <v/>
      </c>
      <c r="C149" s="621" t="inlineStr">
        <is>
          <t>COD 29</t>
        </is>
      </c>
      <c r="D149" s="468">
        <f>_xlfn.XLOOKUP(C149,CODIGOS_Y_PAGOS[CODIGO],CODIGOS_Y_PAGOS[NOMBRE PARTICIPANTE],"")</f>
        <v/>
      </c>
      <c r="E149" s="341">
        <f>_xlfn.XLOOKUP(C149,$C$5:$C$54,$K$5:$K$54)</f>
        <v/>
      </c>
      <c r="F149" s="341">
        <f>_xlfn.XLOOKUP(C149,$C$5:$C$54,$L$5:$L$54)</f>
        <v/>
      </c>
      <c r="G149" s="383">
        <f>+F149/E149</f>
        <v/>
      </c>
      <c r="H149" s="316" t="n"/>
      <c r="I149" s="307">
        <f>+I148+1</f>
        <v/>
      </c>
      <c r="J149" s="621" t="inlineStr">
        <is>
          <t>COD 05</t>
        </is>
      </c>
      <c r="K149" s="468">
        <f>_xlfn.XLOOKUP(J149,CODIGOS_Y_PAGOS[CODIGO],CODIGOS_Y_PAGOS[NOMBRE PARTICIPANTE],"")</f>
        <v/>
      </c>
      <c r="L149" s="346" t="n"/>
      <c r="M149" s="346" t="n"/>
      <c r="N149" s="347" t="n"/>
      <c r="O149" s="345">
        <f>_xlfn.XLOOKUP(J149,$C$5:$C$54,$N$5:$N$54)</f>
        <v/>
      </c>
      <c r="P149" s="345">
        <f>_xlfn.XLOOKUP(J149,$C$5:$C$54,$O$5:$O$54)</f>
        <v/>
      </c>
      <c r="Q149" s="383">
        <f>+P149/O149</f>
        <v/>
      </c>
      <c r="R149" s="3" t="n"/>
    </row>
    <row r="150" ht="23.1" customHeight="1" s="568">
      <c r="B150" s="307">
        <f>+B149+1</f>
        <v/>
      </c>
      <c r="C150" s="621" t="inlineStr">
        <is>
          <t>COD 02</t>
        </is>
      </c>
      <c r="D150" s="468">
        <f>_xlfn.XLOOKUP(C150,CODIGOS_Y_PAGOS[CODIGO],CODIGOS_Y_PAGOS[NOMBRE PARTICIPANTE],"")</f>
        <v/>
      </c>
      <c r="E150" s="341">
        <f>_xlfn.XLOOKUP(C150,$C$5:$C$54,$K$5:$K$54)</f>
        <v/>
      </c>
      <c r="F150" s="341">
        <f>_xlfn.XLOOKUP(C150,$C$5:$C$54,$L$5:$L$54)</f>
        <v/>
      </c>
      <c r="G150" s="383">
        <f>+F150/E150</f>
        <v/>
      </c>
      <c r="H150" s="316" t="n"/>
      <c r="I150" s="307">
        <f>+I149+1</f>
        <v/>
      </c>
      <c r="J150" s="621" t="inlineStr">
        <is>
          <t>COD 27</t>
        </is>
      </c>
      <c r="K150" s="468">
        <f>_xlfn.XLOOKUP(J150,CODIGOS_Y_PAGOS[CODIGO],CODIGOS_Y_PAGOS[NOMBRE PARTICIPANTE],"")</f>
        <v/>
      </c>
      <c r="L150" s="346" t="n"/>
      <c r="M150" s="346" t="n"/>
      <c r="N150" s="347" t="n"/>
      <c r="O150" s="345">
        <f>_xlfn.XLOOKUP(J150,$C$5:$C$54,$N$5:$N$54)</f>
        <v/>
      </c>
      <c r="P150" s="345">
        <f>_xlfn.XLOOKUP(J150,$C$5:$C$54,$O$5:$O$54)</f>
        <v/>
      </c>
      <c r="Q150" s="383">
        <f>+P150/O150</f>
        <v/>
      </c>
      <c r="R150" s="3" t="n"/>
    </row>
    <row r="151" ht="23.1" customHeight="1" s="568">
      <c r="B151" s="307">
        <f>+B150+1</f>
        <v/>
      </c>
      <c r="C151" s="621" t="inlineStr">
        <is>
          <t>COD 10</t>
        </is>
      </c>
      <c r="D151" s="468">
        <f>_xlfn.XLOOKUP(C151,CODIGOS_Y_PAGOS[CODIGO],CODIGOS_Y_PAGOS[NOMBRE PARTICIPANTE],"")</f>
        <v/>
      </c>
      <c r="E151" s="341">
        <f>_xlfn.XLOOKUP(C151,$C$5:$C$54,$K$5:$K$54)</f>
        <v/>
      </c>
      <c r="F151" s="341">
        <f>_xlfn.XLOOKUP(C151,$C$5:$C$54,$L$5:$L$54)</f>
        <v/>
      </c>
      <c r="G151" s="383">
        <f>+F151/E151</f>
        <v/>
      </c>
      <c r="H151" s="316" t="n"/>
      <c r="I151" s="307">
        <f>+I150+1</f>
        <v/>
      </c>
      <c r="J151" s="621" t="inlineStr">
        <is>
          <t>COD 08</t>
        </is>
      </c>
      <c r="K151" s="468">
        <f>_xlfn.XLOOKUP(J151,CODIGOS_Y_PAGOS[CODIGO],CODIGOS_Y_PAGOS[NOMBRE PARTICIPANTE],"")</f>
        <v/>
      </c>
      <c r="L151" s="346" t="n"/>
      <c r="M151" s="346" t="n"/>
      <c r="N151" s="347" t="n"/>
      <c r="O151" s="345">
        <f>_xlfn.XLOOKUP(J151,$C$5:$C$54,$N$5:$N$54)</f>
        <v/>
      </c>
      <c r="P151" s="345">
        <f>_xlfn.XLOOKUP(J151,$C$5:$C$54,$O$5:$O$54)</f>
        <v/>
      </c>
      <c r="Q151" s="383">
        <f>+P151/O151</f>
        <v/>
      </c>
      <c r="R151" s="3" t="n"/>
    </row>
    <row r="152" ht="21" customHeight="1" s="568">
      <c r="B152" s="331" t="n"/>
      <c r="C152" s="351" t="inlineStr">
        <is>
          <t>COD 11</t>
        </is>
      </c>
      <c r="D152" s="481">
        <f>_xlfn.XLOOKUP(C152,CODIGOS_Y_PAGOS[CODIGO],CODIGOS_Y_PAGOS[NOMBRE PARTICIPANTE],"")</f>
        <v/>
      </c>
      <c r="E152" s="471">
        <f>_xlfn.XLOOKUP(C152,$C$5:$C$54,$K$5:$K$54)</f>
        <v/>
      </c>
      <c r="F152" s="471">
        <f>_xlfn.XLOOKUP(C152,$C$5:$C$54,$L$5:$L$54)</f>
        <v/>
      </c>
      <c r="G152" s="472">
        <f>+F152/E152</f>
        <v/>
      </c>
      <c r="H152" s="3" t="n"/>
      <c r="I152" s="3" t="n"/>
      <c r="J152" s="351" t="inlineStr">
        <is>
          <t>COD 16</t>
        </is>
      </c>
      <c r="K152" s="3" t="n"/>
      <c r="L152" s="3" t="n"/>
      <c r="M152" s="3" t="n"/>
      <c r="N152" s="3" t="n"/>
      <c r="O152" s="3" t="n"/>
      <c r="P152" s="3" t="n"/>
      <c r="Q152" s="3" t="n"/>
      <c r="R152" s="3" t="n"/>
    </row>
    <row r="153" ht="21" customHeight="1" s="568">
      <c r="C153" s="73" t="inlineStr">
        <is>
          <t>COD 37</t>
        </is>
      </c>
      <c r="D153" s="481">
        <f>_xlfn.XLOOKUP(C153,CODIGOS_Y_PAGOS[CODIGO],CODIGOS_Y_PAGOS[NOMBRE PARTICIPANTE],"")</f>
        <v/>
      </c>
      <c r="E153" s="471">
        <f>_xlfn.XLOOKUP(C153,$C$5:$C$54,$K$5:$K$54)</f>
        <v/>
      </c>
      <c r="F153" s="471">
        <f>_xlfn.XLOOKUP(C153,$C$5:$C$54,$L$5:$L$54)</f>
        <v/>
      </c>
      <c r="G153" s="472">
        <f>+F153/E153</f>
        <v/>
      </c>
      <c r="J153" s="73" t="inlineStr">
        <is>
          <t>COD 34</t>
        </is>
      </c>
      <c r="R153" s="3" t="n"/>
    </row>
    <row r="154" ht="21" customHeight="1" s="568">
      <c r="C154" s="73" t="inlineStr">
        <is>
          <t>COD 14</t>
        </is>
      </c>
      <c r="D154" s="481">
        <f>_xlfn.XLOOKUP(C154,CODIGOS_Y_PAGOS[CODIGO],CODIGOS_Y_PAGOS[NOMBRE PARTICIPANTE],"")</f>
        <v/>
      </c>
      <c r="E154" s="471">
        <f>_xlfn.XLOOKUP(C154,$C$5:$C$54,$K$5:$K$54)</f>
        <v/>
      </c>
      <c r="F154" s="471">
        <f>_xlfn.XLOOKUP(C154,$C$5:$C$54,$L$5:$L$54)</f>
        <v/>
      </c>
      <c r="G154" s="472">
        <f>+F154/E154</f>
        <v/>
      </c>
      <c r="J154" s="73" t="inlineStr">
        <is>
          <t>COD 37</t>
        </is>
      </c>
      <c r="R154" s="3" t="n"/>
    </row>
    <row r="155" ht="21" customHeight="1" s="568">
      <c r="C155" s="73" t="inlineStr">
        <is>
          <t>COD 18</t>
        </is>
      </c>
      <c r="D155" s="481">
        <f>_xlfn.XLOOKUP(C155,CODIGOS_Y_PAGOS[CODIGO],CODIGOS_Y_PAGOS[NOMBRE PARTICIPANTE],"")</f>
        <v/>
      </c>
      <c r="E155" s="471">
        <f>_xlfn.XLOOKUP(C155,$C$5:$C$54,$K$5:$K$54)</f>
        <v/>
      </c>
      <c r="F155" s="471">
        <f>_xlfn.XLOOKUP(C155,$C$5:$C$54,$L$5:$L$54)</f>
        <v/>
      </c>
      <c r="G155" s="472">
        <f>+F155/E155</f>
        <v/>
      </c>
      <c r="J155" s="73" t="inlineStr">
        <is>
          <t>COD 07</t>
        </is>
      </c>
      <c r="R155" s="3" t="n"/>
    </row>
    <row r="156" ht="21" customHeight="1" s="568">
      <c r="C156" s="73" t="inlineStr">
        <is>
          <t>COD 26</t>
        </is>
      </c>
      <c r="D156" s="481">
        <f>_xlfn.XLOOKUP(C156,CODIGOS_Y_PAGOS[CODIGO],CODIGOS_Y_PAGOS[NOMBRE PARTICIPANTE],"")</f>
        <v/>
      </c>
      <c r="E156" s="471">
        <f>_xlfn.XLOOKUP(C156,$C$5:$C$54,$K$5:$K$54)</f>
        <v/>
      </c>
      <c r="F156" s="471">
        <f>_xlfn.XLOOKUP(C156,$C$5:$C$54,$L$5:$L$54)</f>
        <v/>
      </c>
      <c r="G156" s="472">
        <f>+F156/E156</f>
        <v/>
      </c>
      <c r="J156" s="73" t="inlineStr">
        <is>
          <t>COD 35</t>
        </is>
      </c>
      <c r="R156" s="3" t="n"/>
    </row>
    <row r="157" ht="21" customHeight="1" s="568">
      <c r="C157" s="73" t="inlineStr">
        <is>
          <t>COD 22</t>
        </is>
      </c>
      <c r="D157" s="481">
        <f>_xlfn.XLOOKUP(C157,CODIGOS_Y_PAGOS[CODIGO],CODIGOS_Y_PAGOS[NOMBRE PARTICIPANTE],"")</f>
        <v/>
      </c>
      <c r="E157" s="471">
        <f>_xlfn.XLOOKUP(C157,$C$5:$C$54,$K$5:$K$54)</f>
        <v/>
      </c>
      <c r="F157" s="471">
        <f>_xlfn.XLOOKUP(C157,$C$5:$C$54,$L$5:$L$54)</f>
        <v/>
      </c>
      <c r="G157" s="472">
        <f>+F157/E157</f>
        <v/>
      </c>
      <c r="J157" s="73" t="inlineStr">
        <is>
          <t>COD 17</t>
        </is>
      </c>
      <c r="R157" s="3" t="n"/>
    </row>
    <row r="158" ht="21" customHeight="1" s="568">
      <c r="C158" s="73" t="inlineStr">
        <is>
          <t>COD 23</t>
        </is>
      </c>
      <c r="D158" s="481">
        <f>_xlfn.XLOOKUP(C158,CODIGOS_Y_PAGOS[CODIGO],CODIGOS_Y_PAGOS[NOMBRE PARTICIPANTE],"")</f>
        <v/>
      </c>
      <c r="E158" s="471">
        <f>_xlfn.XLOOKUP(C158,$C$5:$C$54,$K$5:$K$54)</f>
        <v/>
      </c>
      <c r="F158" s="471">
        <f>_xlfn.XLOOKUP(C158,$C$5:$C$54,$L$5:$L$54)</f>
        <v/>
      </c>
      <c r="G158" s="472">
        <f>+F158/E158</f>
        <v/>
      </c>
      <c r="J158" s="73" t="inlineStr">
        <is>
          <t>COD 18</t>
        </is>
      </c>
      <c r="R158" s="3" t="n"/>
    </row>
    <row r="159" ht="21" customHeight="1" s="568">
      <c r="C159" s="73" t="inlineStr">
        <is>
          <t>COD 03</t>
        </is>
      </c>
      <c r="D159" s="481">
        <f>_xlfn.XLOOKUP(C159,CODIGOS_Y_PAGOS[CODIGO],CODIGOS_Y_PAGOS[NOMBRE PARTICIPANTE],"")</f>
        <v/>
      </c>
      <c r="E159" s="471">
        <f>_xlfn.XLOOKUP(C159,$C$5:$C$54,$K$5:$K$54)</f>
        <v/>
      </c>
      <c r="F159" s="471">
        <f>_xlfn.XLOOKUP(C159,$C$5:$C$54,$L$5:$L$54)</f>
        <v/>
      </c>
      <c r="G159" s="472">
        <f>+F159/E159</f>
        <v/>
      </c>
      <c r="J159" s="73" t="inlineStr">
        <is>
          <t>COD 26</t>
        </is>
      </c>
    </row>
    <row r="160" ht="21" customHeight="1" s="568">
      <c r="C160" s="73" t="inlineStr">
        <is>
          <t>COD 15</t>
        </is>
      </c>
      <c r="D160" s="481">
        <f>_xlfn.XLOOKUP(C160,CODIGOS_Y_PAGOS[CODIGO],CODIGOS_Y_PAGOS[NOMBRE PARTICIPANTE],"")</f>
        <v/>
      </c>
      <c r="E160" s="471">
        <f>_xlfn.XLOOKUP(C160,$C$5:$C$54,$K$5:$K$54)</f>
        <v/>
      </c>
      <c r="F160" s="471">
        <f>_xlfn.XLOOKUP(C160,$C$5:$C$54,$L$5:$L$54)</f>
        <v/>
      </c>
      <c r="G160" s="472">
        <f>+F160/E160</f>
        <v/>
      </c>
      <c r="J160" s="73" t="inlineStr">
        <is>
          <t>COD 24</t>
        </is>
      </c>
    </row>
    <row r="161" ht="21" customHeight="1" s="568">
      <c r="C161" s="73" t="inlineStr">
        <is>
          <t>COD 34</t>
        </is>
      </c>
      <c r="D161" s="481">
        <f>_xlfn.XLOOKUP(C161,CODIGOS_Y_PAGOS[CODIGO],CODIGOS_Y_PAGOS[NOMBRE PARTICIPANTE],"")</f>
        <v/>
      </c>
      <c r="E161" s="471">
        <f>_xlfn.XLOOKUP(C161,$C$5:$C$54,$K$5:$K$54)</f>
        <v/>
      </c>
      <c r="F161" s="471">
        <f>_xlfn.XLOOKUP(C161,$C$5:$C$54,$L$5:$L$54)</f>
        <v/>
      </c>
      <c r="G161" s="472">
        <f>+F161/E161</f>
        <v/>
      </c>
      <c r="J161" s="73" t="inlineStr">
        <is>
          <t>COD 22</t>
        </is>
      </c>
    </row>
    <row r="162" ht="21" customHeight="1" s="568">
      <c r="C162" s="73" t="inlineStr">
        <is>
          <t>COD 35</t>
        </is>
      </c>
      <c r="D162" s="481">
        <f>_xlfn.XLOOKUP(C162,CODIGOS_Y_PAGOS[CODIGO],CODIGOS_Y_PAGOS[NOMBRE PARTICIPANTE],"")</f>
        <v/>
      </c>
      <c r="E162" s="471">
        <f>_xlfn.XLOOKUP(C162,$C$5:$C$54,$K$5:$K$54)</f>
        <v/>
      </c>
      <c r="F162" s="471">
        <f>_xlfn.XLOOKUP(C162,$C$5:$C$54,$L$5:$L$54)</f>
        <v/>
      </c>
      <c r="G162" s="472">
        <f>+F162/E162</f>
        <v/>
      </c>
      <c r="J162" s="73" t="inlineStr">
        <is>
          <t>COD 06</t>
        </is>
      </c>
    </row>
    <row r="163" ht="21" customHeight="1" s="568">
      <c r="C163" s="73" t="inlineStr">
        <is>
          <t>COD 20</t>
        </is>
      </c>
      <c r="D163" s="481">
        <f>_xlfn.XLOOKUP(C163,CODIGOS_Y_PAGOS[CODIGO],CODIGOS_Y_PAGOS[NOMBRE PARTICIPANTE],"")</f>
        <v/>
      </c>
      <c r="E163" s="471">
        <f>_xlfn.XLOOKUP(C163,$C$5:$C$54,$K$5:$K$54)</f>
        <v/>
      </c>
      <c r="F163" s="471">
        <f>_xlfn.XLOOKUP(C163,$C$5:$C$54,$L$5:$L$54)</f>
        <v/>
      </c>
      <c r="G163" s="472">
        <f>+F163/E163</f>
        <v/>
      </c>
      <c r="J163" s="73" t="inlineStr">
        <is>
          <t>COD 09</t>
        </is>
      </c>
    </row>
    <row r="164" ht="21" customHeight="1" s="568">
      <c r="C164" s="73" t="inlineStr">
        <is>
          <t>COD 27</t>
        </is>
      </c>
      <c r="D164" s="481">
        <f>_xlfn.XLOOKUP(C164,CODIGOS_Y_PAGOS[CODIGO],CODIGOS_Y_PAGOS[NOMBRE PARTICIPANTE],"")</f>
        <v/>
      </c>
      <c r="E164" s="471">
        <f>_xlfn.XLOOKUP(C164,$C$5:$C$54,$K$5:$K$54)</f>
        <v/>
      </c>
      <c r="F164" s="471">
        <f>_xlfn.XLOOKUP(C164,$C$5:$C$54,$L$5:$L$54)</f>
        <v/>
      </c>
      <c r="G164" s="472">
        <f>+F164/E164</f>
        <v/>
      </c>
      <c r="J164" s="73" t="inlineStr">
        <is>
          <t>COD 01</t>
        </is>
      </c>
    </row>
    <row r="165" ht="21" customHeight="1" s="568">
      <c r="C165" s="73" t="inlineStr">
        <is>
          <t>COD 19</t>
        </is>
      </c>
      <c r="D165" s="481">
        <f>_xlfn.XLOOKUP(C165,CODIGOS_Y_PAGOS[CODIGO],CODIGOS_Y_PAGOS[NOMBRE PARTICIPANTE],"")</f>
        <v/>
      </c>
      <c r="E165" s="471">
        <f>_xlfn.XLOOKUP(C165,$C$5:$C$54,$K$5:$K$54)</f>
        <v/>
      </c>
      <c r="F165" s="471">
        <f>_xlfn.XLOOKUP(C165,$C$5:$C$54,$L$5:$L$54)</f>
        <v/>
      </c>
      <c r="G165" s="472">
        <f>+F165/E165</f>
        <v/>
      </c>
      <c r="J165" s="73" t="inlineStr">
        <is>
          <t>COD 11</t>
        </is>
      </c>
    </row>
    <row r="166" ht="21" customHeight="1" s="568">
      <c r="C166" s="73" t="inlineStr">
        <is>
          <t>COD 32</t>
        </is>
      </c>
      <c r="D166" s="481">
        <f>_xlfn.XLOOKUP(C166,CODIGOS_Y_PAGOS[CODIGO],CODIGOS_Y_PAGOS[NOMBRE PARTICIPANTE],"")</f>
        <v/>
      </c>
      <c r="E166" s="471">
        <f>_xlfn.XLOOKUP(C166,$C$5:$C$54,$K$5:$K$54)</f>
        <v/>
      </c>
      <c r="F166" s="471">
        <f>_xlfn.XLOOKUP(C166,$C$5:$C$54,$L$5:$L$54)</f>
        <v/>
      </c>
      <c r="G166" s="472">
        <f>+F166/E166</f>
        <v/>
      </c>
      <c r="J166" s="73" t="inlineStr">
        <is>
          <t>COD 03</t>
        </is>
      </c>
    </row>
    <row r="167" ht="21" customHeight="1" s="568">
      <c r="C167" s="73" t="inlineStr">
        <is>
          <t>COD 07</t>
        </is>
      </c>
      <c r="D167" s="481">
        <f>_xlfn.XLOOKUP(C167,CODIGOS_Y_PAGOS[CODIGO],CODIGOS_Y_PAGOS[NOMBRE PARTICIPANTE],"")</f>
        <v/>
      </c>
      <c r="E167" s="471">
        <f>_xlfn.XLOOKUP(C167,$C$5:$C$54,$K$5:$K$54)</f>
        <v/>
      </c>
      <c r="F167" s="471">
        <f>_xlfn.XLOOKUP(C167,$C$5:$C$54,$L$5:$L$54)</f>
        <v/>
      </c>
      <c r="G167" s="472">
        <f>+F167/E167</f>
        <v/>
      </c>
      <c r="J167" s="73" t="inlineStr">
        <is>
          <t>COD 28</t>
        </is>
      </c>
    </row>
    <row r="168" ht="21" customHeight="1" s="568">
      <c r="C168" s="73" t="inlineStr">
        <is>
          <t>COD 31</t>
        </is>
      </c>
      <c r="D168" s="481">
        <f>_xlfn.XLOOKUP(C168,CODIGOS_Y_PAGOS[CODIGO],CODIGOS_Y_PAGOS[NOMBRE PARTICIPANTE],"")</f>
        <v/>
      </c>
      <c r="E168" s="471">
        <f>_xlfn.XLOOKUP(C168,$C$5:$C$54,$K$5:$K$54)</f>
        <v/>
      </c>
      <c r="F168" s="471">
        <f>_xlfn.XLOOKUP(C168,$C$5:$C$54,$L$5:$L$54)</f>
        <v/>
      </c>
      <c r="G168" s="472">
        <f>+F168/E168</f>
        <v/>
      </c>
      <c r="J168" s="73" t="inlineStr">
        <is>
          <t>COD 29</t>
        </is>
      </c>
    </row>
    <row r="169" ht="21" customHeight="1" s="568">
      <c r="C169" s="73" t="inlineStr">
        <is>
          <t>COD 12</t>
        </is>
      </c>
      <c r="D169" s="481">
        <f>_xlfn.XLOOKUP(C169,CODIGOS_Y_PAGOS[CODIGO],CODIGOS_Y_PAGOS[NOMBRE PARTICIPANTE],"")</f>
        <v/>
      </c>
      <c r="E169" s="471">
        <f>_xlfn.XLOOKUP(C169,$C$5:$C$54,$K$5:$K$54)</f>
        <v/>
      </c>
      <c r="F169" s="471">
        <f>_xlfn.XLOOKUP(C169,$C$5:$C$54,$L$5:$L$54)</f>
        <v/>
      </c>
      <c r="G169" s="472">
        <f>+F169/E169</f>
        <v/>
      </c>
      <c r="J169" s="73" t="inlineStr">
        <is>
          <t>COD 32</t>
        </is>
      </c>
    </row>
    <row r="170" ht="21" customHeight="1" s="568">
      <c r="C170" s="73" t="inlineStr">
        <is>
          <t>COD 38</t>
        </is>
      </c>
      <c r="D170" s="481">
        <f>_xlfn.XLOOKUP(C170,CODIGOS_Y_PAGOS[CODIGO],CODIGOS_Y_PAGOS[NOMBRE PARTICIPANTE],"")</f>
        <v/>
      </c>
      <c r="E170" s="471">
        <f>_xlfn.XLOOKUP(C170,$C$5:$C$54,$K$5:$K$54)</f>
        <v/>
      </c>
      <c r="F170" s="471">
        <f>_xlfn.XLOOKUP(C170,$C$5:$C$54,$L$5:$L$54)</f>
        <v/>
      </c>
      <c r="G170" s="472">
        <f>+F170/E170</f>
        <v/>
      </c>
      <c r="J170" s="73" t="inlineStr">
        <is>
          <t>COD 04</t>
        </is>
      </c>
    </row>
    <row r="171" ht="21" customHeight="1" s="568">
      <c r="C171" s="73" t="inlineStr">
        <is>
          <t>COD 30</t>
        </is>
      </c>
      <c r="D171" s="481">
        <f>_xlfn.XLOOKUP(C171,CODIGOS_Y_PAGOS[CODIGO],CODIGOS_Y_PAGOS[NOMBRE PARTICIPANTE],"")</f>
        <v/>
      </c>
      <c r="E171" s="471">
        <f>_xlfn.XLOOKUP(C171,$C$5:$C$54,$K$5:$K$54)</f>
        <v/>
      </c>
      <c r="F171" s="471">
        <f>_xlfn.XLOOKUP(C171,$C$5:$C$54,$L$5:$L$54)</f>
        <v/>
      </c>
      <c r="G171" s="472">
        <f>+F171/E171</f>
        <v/>
      </c>
      <c r="J171" s="73" t="inlineStr">
        <is>
          <t>COD 36</t>
        </is>
      </c>
    </row>
    <row r="172" ht="21" customHeight="1" s="568">
      <c r="C172" s="73" t="inlineStr">
        <is>
          <t>COD 08</t>
        </is>
      </c>
      <c r="D172" s="481">
        <f>_xlfn.XLOOKUP(C172,CODIGOS_Y_PAGOS[CODIGO],CODIGOS_Y_PAGOS[NOMBRE PARTICIPANTE],"")</f>
        <v/>
      </c>
      <c r="E172" s="471">
        <f>_xlfn.XLOOKUP(C172,$C$5:$C$54,$K$5:$K$54)</f>
        <v/>
      </c>
      <c r="F172" s="471">
        <f>_xlfn.XLOOKUP(C172,$C$5:$C$54,$L$5:$L$54)</f>
        <v/>
      </c>
      <c r="G172" s="472">
        <f>+F172/E172</f>
        <v/>
      </c>
      <c r="J172" s="73" t="inlineStr">
        <is>
          <t>COD 33</t>
        </is>
      </c>
    </row>
    <row r="173" ht="21" customHeight="1" s="568">
      <c r="C173" s="73" t="inlineStr">
        <is>
          <t>COD 04</t>
        </is>
      </c>
      <c r="D173" s="481">
        <f>_xlfn.XLOOKUP(C173,CODIGOS_Y_PAGOS[CODIGO],CODIGOS_Y_PAGOS[NOMBRE PARTICIPANTE],"")</f>
        <v/>
      </c>
      <c r="E173" s="471">
        <f>_xlfn.XLOOKUP(C173,$C$5:$C$54,$K$5:$K$54)</f>
        <v/>
      </c>
      <c r="F173" s="471">
        <f>_xlfn.XLOOKUP(C173,$C$5:$C$54,$L$5:$L$54)</f>
        <v/>
      </c>
      <c r="G173" s="472">
        <f>+F173/E173</f>
        <v/>
      </c>
      <c r="J173" s="73" t="inlineStr">
        <is>
          <t>COD 38</t>
        </is>
      </c>
    </row>
    <row r="174" ht="21" customHeight="1" s="568">
      <c r="C174" s="73" t="inlineStr">
        <is>
          <t>COD 06</t>
        </is>
      </c>
      <c r="D174" s="481">
        <f>_xlfn.XLOOKUP(C174,CODIGOS_Y_PAGOS[CODIGO],CODIGOS_Y_PAGOS[NOMBRE PARTICIPANTE],"")</f>
        <v/>
      </c>
      <c r="E174" s="471">
        <f>_xlfn.XLOOKUP(C174,$C$5:$C$54,$K$5:$K$54)</f>
        <v/>
      </c>
      <c r="F174" s="471">
        <f>_xlfn.XLOOKUP(C174,$C$5:$C$54,$L$5:$L$54)</f>
        <v/>
      </c>
      <c r="G174" s="472">
        <f>+F174/E174</f>
        <v/>
      </c>
      <c r="J174" s="73" t="inlineStr">
        <is>
          <t>COD 30</t>
        </is>
      </c>
    </row>
    <row r="175" ht="21" customHeight="1" s="568">
      <c r="C175" s="73" t="inlineStr">
        <is>
          <t>COD 36</t>
        </is>
      </c>
      <c r="D175" s="481">
        <f>_xlfn.XLOOKUP(C175,CODIGOS_Y_PAGOS[CODIGO],CODIGOS_Y_PAGOS[NOMBRE PARTICIPANTE],"")</f>
        <v/>
      </c>
      <c r="E175" s="471">
        <f>_xlfn.XLOOKUP(C175,$C$5:$C$54,$K$5:$K$54)</f>
        <v/>
      </c>
      <c r="F175" s="471">
        <f>_xlfn.XLOOKUP(C175,$C$5:$C$54,$L$5:$L$54)</f>
        <v/>
      </c>
      <c r="G175" s="472">
        <f>+F175/E175</f>
        <v/>
      </c>
      <c r="J175" s="73" t="inlineStr">
        <is>
          <t>COD 12</t>
        </is>
      </c>
    </row>
    <row r="176" ht="21" customHeight="1" s="568">
      <c r="C176" s="73" t="inlineStr">
        <is>
          <t>COD 33</t>
        </is>
      </c>
      <c r="D176" s="481">
        <f>_xlfn.XLOOKUP(C176,CODIGOS_Y_PAGOS[CODIGO],CODIGOS_Y_PAGOS[NOMBRE PARTICIPANTE],"")</f>
        <v/>
      </c>
      <c r="E176" s="471">
        <f>_xlfn.XLOOKUP(C176,$C$5:$C$54,$K$5:$K$54)</f>
        <v/>
      </c>
      <c r="F176" s="471">
        <f>_xlfn.XLOOKUP(C176,$C$5:$C$54,$L$5:$L$54)</f>
        <v/>
      </c>
      <c r="G176" s="472">
        <f>+F176/E176</f>
        <v/>
      </c>
      <c r="J176" s="73" t="inlineStr">
        <is>
          <t>COD 19</t>
        </is>
      </c>
    </row>
    <row r="177" ht="21" customHeight="1" s="568">
      <c r="C177" s="73" t="inlineStr">
        <is>
          <t>COD 13</t>
        </is>
      </c>
      <c r="D177" s="481">
        <f>_xlfn.XLOOKUP(C177,CODIGOS_Y_PAGOS[CODIGO],CODIGOS_Y_PAGOS[NOMBRE PARTICIPANTE],"")</f>
        <v/>
      </c>
      <c r="E177" s="471">
        <f>_xlfn.XLOOKUP(C177,$C$5:$C$54,$K$5:$K$54)</f>
        <v/>
      </c>
      <c r="F177" s="471">
        <f>_xlfn.XLOOKUP(C177,$C$5:$C$54,$L$5:$L$54)</f>
        <v/>
      </c>
      <c r="G177" s="472">
        <f>+F177/E177</f>
        <v/>
      </c>
      <c r="J177" s="73" t="inlineStr">
        <is>
          <t>COD 31</t>
        </is>
      </c>
    </row>
    <row r="178" ht="21" customHeight="1" s="568">
      <c r="C178" s="73" t="inlineStr">
        <is>
          <t>COD 17</t>
        </is>
      </c>
      <c r="D178" s="481">
        <f>_xlfn.XLOOKUP(C178,CODIGOS_Y_PAGOS[CODIGO],CODIGOS_Y_PAGOS[NOMBRE PARTICIPANTE],"")</f>
        <v/>
      </c>
      <c r="E178" s="471">
        <f>_xlfn.XLOOKUP(C178,$C$5:$C$54,$K$5:$K$54)</f>
        <v/>
      </c>
      <c r="F178" s="471">
        <f>_xlfn.XLOOKUP(C178,$C$5:$C$54,$L$5:$L$54)</f>
        <v/>
      </c>
      <c r="G178" s="472">
        <f>+F178/E178</f>
        <v/>
      </c>
      <c r="J178" s="73" t="inlineStr">
        <is>
          <t>COD 14</t>
        </is>
      </c>
    </row>
    <row r="179" ht="21" customHeight="1" s="568">
      <c r="C179" s="73" t="inlineStr">
        <is>
          <t>COD 24</t>
        </is>
      </c>
      <c r="D179" s="481">
        <f>_xlfn.XLOOKUP(C179,CODIGOS_Y_PAGOS[CODIGO],CODIGOS_Y_PAGOS[NOMBRE PARTICIPANTE],"")</f>
        <v/>
      </c>
      <c r="E179" s="471">
        <f>_xlfn.XLOOKUP(C179,$C$5:$C$54,$K$5:$K$54)</f>
        <v/>
      </c>
      <c r="F179" s="471">
        <f>_xlfn.XLOOKUP(C179,$C$5:$C$54,$L$5:$L$54)</f>
        <v/>
      </c>
      <c r="G179" s="472">
        <f>+F179/E179</f>
        <v/>
      </c>
      <c r="J179" s="73" t="inlineStr">
        <is>
          <t>COD 20</t>
        </is>
      </c>
    </row>
    <row r="180" ht="21" customHeight="1" s="568">
      <c r="C180" s="73" t="inlineStr">
        <is>
          <t>COD 39</t>
        </is>
      </c>
      <c r="D180" s="481">
        <f>_xlfn.XLOOKUP(C180,CODIGOS_Y_PAGOS[CODIGO],CODIGOS_Y_PAGOS[NOMBRE PARTICIPANTE],"")</f>
        <v/>
      </c>
      <c r="E180" s="471">
        <f>_xlfn.XLOOKUP(C180,$C$5:$C$54,$K$5:$K$54)</f>
        <v/>
      </c>
      <c r="F180" s="471">
        <f>_xlfn.XLOOKUP(C180,$C$5:$C$54,$L$5:$L$54)</f>
        <v/>
      </c>
      <c r="G180" s="472">
        <f>+F180/E180</f>
        <v/>
      </c>
      <c r="J180" s="73" t="inlineStr">
        <is>
          <t>COD 39</t>
        </is>
      </c>
    </row>
    <row r="181" ht="21" customHeight="1" s="568">
      <c r="C181" s="73" t="inlineStr">
        <is>
          <t>COD 40</t>
        </is>
      </c>
      <c r="D181" s="481">
        <f>_xlfn.XLOOKUP(C181,CODIGOS_Y_PAGOS[CODIGO],CODIGOS_Y_PAGOS[NOMBRE PARTICIPANTE],"")</f>
        <v/>
      </c>
      <c r="E181" s="471">
        <f>_xlfn.XLOOKUP(C181,$C$5:$C$54,$K$5:$K$54)</f>
        <v/>
      </c>
      <c r="F181" s="471">
        <f>_xlfn.XLOOKUP(C181,$C$5:$C$54,$L$5:$L$54)</f>
        <v/>
      </c>
      <c r="G181" s="472">
        <f>+F181/E181</f>
        <v/>
      </c>
      <c r="J181" s="73" t="inlineStr">
        <is>
          <t>COD 40</t>
        </is>
      </c>
    </row>
    <row r="182" ht="21" customHeight="1" s="568">
      <c r="C182" s="73" t="inlineStr">
        <is>
          <t>COD 41</t>
        </is>
      </c>
      <c r="D182" s="481">
        <f>_xlfn.XLOOKUP(C182,CODIGOS_Y_PAGOS[CODIGO],CODIGOS_Y_PAGOS[NOMBRE PARTICIPANTE],"")</f>
        <v/>
      </c>
      <c r="E182" s="471">
        <f>_xlfn.XLOOKUP(C182,$C$5:$C$54,$K$5:$K$54)</f>
        <v/>
      </c>
      <c r="F182" s="471">
        <f>_xlfn.XLOOKUP(C182,$C$5:$C$54,$L$5:$L$54)</f>
        <v/>
      </c>
      <c r="G182" s="472">
        <f>+F182/E182</f>
        <v/>
      </c>
      <c r="J182" s="73" t="inlineStr">
        <is>
          <t>COD 41</t>
        </is>
      </c>
    </row>
    <row r="183" ht="21" customHeight="1" s="568">
      <c r="C183" s="73" t="inlineStr">
        <is>
          <t>COD 42</t>
        </is>
      </c>
      <c r="D183" s="481">
        <f>_xlfn.XLOOKUP(C183,CODIGOS_Y_PAGOS[CODIGO],CODIGOS_Y_PAGOS[NOMBRE PARTICIPANTE],"")</f>
        <v/>
      </c>
      <c r="E183" s="471">
        <f>_xlfn.XLOOKUP(C183,$C$5:$C$54,$K$5:$K$54)</f>
        <v/>
      </c>
      <c r="F183" s="471">
        <f>_xlfn.XLOOKUP(C183,$C$5:$C$54,$L$5:$L$54)</f>
        <v/>
      </c>
      <c r="G183" s="472">
        <f>+F183/E183</f>
        <v/>
      </c>
      <c r="J183" s="73" t="inlineStr">
        <is>
          <t>COD 42</t>
        </is>
      </c>
    </row>
    <row r="184" ht="21" customHeight="1" s="568">
      <c r="C184" s="73" t="inlineStr">
        <is>
          <t>COD 43</t>
        </is>
      </c>
      <c r="D184" s="481">
        <f>_xlfn.XLOOKUP(C184,CODIGOS_Y_PAGOS[CODIGO],CODIGOS_Y_PAGOS[NOMBRE PARTICIPANTE],"")</f>
        <v/>
      </c>
      <c r="E184" s="471">
        <f>_xlfn.XLOOKUP(C184,$C$5:$C$54,$K$5:$K$54)</f>
        <v/>
      </c>
      <c r="F184" s="471">
        <f>_xlfn.XLOOKUP(C184,$C$5:$C$54,$L$5:$L$54)</f>
        <v/>
      </c>
      <c r="G184" s="472">
        <f>+F184/E184</f>
        <v/>
      </c>
      <c r="J184" t="inlineStr">
        <is>
          <t>COD 43</t>
        </is>
      </c>
    </row>
    <row r="185" ht="21" customHeight="1" s="568">
      <c r="C185" s="73" t="inlineStr">
        <is>
          <t>COD 44</t>
        </is>
      </c>
      <c r="D185" s="481">
        <f>_xlfn.XLOOKUP(C185,CODIGOS_Y_PAGOS[CODIGO],CODIGOS_Y_PAGOS[NOMBRE PARTICIPANTE],"")</f>
        <v/>
      </c>
      <c r="E185" s="471">
        <f>_xlfn.XLOOKUP(C185,$C$5:$C$54,$K$5:$K$54)</f>
        <v/>
      </c>
      <c r="F185" s="471">
        <f>_xlfn.XLOOKUP(C185,$C$5:$C$54,$L$5:$L$54)</f>
        <v/>
      </c>
      <c r="G185" s="472">
        <f>+F185/E185</f>
        <v/>
      </c>
      <c r="J185" t="inlineStr">
        <is>
          <t>COD 44</t>
        </is>
      </c>
    </row>
    <row r="186" ht="21" customHeight="1" s="568">
      <c r="C186" s="73" t="inlineStr">
        <is>
          <t>COD 45</t>
        </is>
      </c>
      <c r="D186" s="481">
        <f>_xlfn.XLOOKUP(C186,CODIGOS_Y_PAGOS[CODIGO],CODIGOS_Y_PAGOS[NOMBRE PARTICIPANTE],"")</f>
        <v/>
      </c>
      <c r="E186" s="471">
        <f>_xlfn.XLOOKUP(C186,$C$5:$C$54,$K$5:$K$54)</f>
        <v/>
      </c>
      <c r="F186" s="471">
        <f>_xlfn.XLOOKUP(C186,$C$5:$C$54,$L$5:$L$54)</f>
        <v/>
      </c>
      <c r="G186" s="472">
        <f>+F186/E186</f>
        <v/>
      </c>
      <c r="J186" t="inlineStr">
        <is>
          <t>COD 45</t>
        </is>
      </c>
    </row>
    <row r="187" ht="21" customHeight="1" s="568">
      <c r="C187" s="73" t="inlineStr">
        <is>
          <t>COD 46</t>
        </is>
      </c>
      <c r="D187" s="481">
        <f>_xlfn.XLOOKUP(C187,CODIGOS_Y_PAGOS[CODIGO],CODIGOS_Y_PAGOS[NOMBRE PARTICIPANTE],"")</f>
        <v/>
      </c>
      <c r="E187" s="471">
        <f>_xlfn.XLOOKUP(C187,$C$5:$C$54,$K$5:$K$54)</f>
        <v/>
      </c>
      <c r="F187" s="471">
        <f>_xlfn.XLOOKUP(C187,$C$5:$C$54,$L$5:$L$54)</f>
        <v/>
      </c>
      <c r="G187" s="472">
        <f>+F187/E187</f>
        <v/>
      </c>
      <c r="J187" t="inlineStr">
        <is>
          <t>COD 46</t>
        </is>
      </c>
    </row>
    <row r="188" ht="21" customHeight="1" s="568">
      <c r="C188" s="73" t="inlineStr">
        <is>
          <t>COD 47</t>
        </is>
      </c>
      <c r="D188" s="481">
        <f>_xlfn.XLOOKUP(C188,CODIGOS_Y_PAGOS[CODIGO],CODIGOS_Y_PAGOS[NOMBRE PARTICIPANTE],"")</f>
        <v/>
      </c>
      <c r="E188" s="471">
        <f>_xlfn.XLOOKUP(C188,$C$5:$C$54,$K$5:$K$54)</f>
        <v/>
      </c>
      <c r="F188" s="471">
        <f>_xlfn.XLOOKUP(C188,$C$5:$C$54,$L$5:$L$54)</f>
        <v/>
      </c>
      <c r="G188" s="472">
        <f>+F188/E188</f>
        <v/>
      </c>
      <c r="J188" t="inlineStr">
        <is>
          <t>COD 47</t>
        </is>
      </c>
    </row>
    <row r="189" ht="21" customHeight="1" s="568">
      <c r="C189" s="73" t="inlineStr">
        <is>
          <t>COD 48</t>
        </is>
      </c>
      <c r="D189" s="481">
        <f>_xlfn.XLOOKUP(C189,CODIGOS_Y_PAGOS[CODIGO],CODIGOS_Y_PAGOS[NOMBRE PARTICIPANTE],"")</f>
        <v/>
      </c>
      <c r="E189" s="471">
        <f>_xlfn.XLOOKUP(C189,$C$5:$C$54,$K$5:$K$54)</f>
        <v/>
      </c>
      <c r="F189" s="471">
        <f>_xlfn.XLOOKUP(C189,$C$5:$C$54,$L$5:$L$54)</f>
        <v/>
      </c>
      <c r="G189" s="472">
        <f>+F189/E189</f>
        <v/>
      </c>
      <c r="J189" t="inlineStr">
        <is>
          <t>COD 48</t>
        </is>
      </c>
    </row>
    <row r="190" ht="21" customHeight="1" s="568">
      <c r="C190" s="73" t="inlineStr">
        <is>
          <t>COD 49</t>
        </is>
      </c>
      <c r="D190" s="481">
        <f>_xlfn.XLOOKUP(C190,CODIGOS_Y_PAGOS[CODIGO],CODIGOS_Y_PAGOS[NOMBRE PARTICIPANTE],"")</f>
        <v/>
      </c>
      <c r="E190" s="471">
        <f>_xlfn.XLOOKUP(C190,$C$5:$C$54,$K$5:$K$54)</f>
        <v/>
      </c>
      <c r="F190" s="471">
        <f>_xlfn.XLOOKUP(C190,$C$5:$C$54,$L$5:$L$54)</f>
        <v/>
      </c>
      <c r="G190" s="472">
        <f>+F190/E190</f>
        <v/>
      </c>
      <c r="J190" t="inlineStr">
        <is>
          <t>COD 49</t>
        </is>
      </c>
    </row>
    <row r="191" ht="21" customHeight="1" s="568">
      <c r="C191" s="73" t="inlineStr">
        <is>
          <t>COD 50</t>
        </is>
      </c>
      <c r="D191" s="481">
        <f>_xlfn.XLOOKUP(C191,CODIGOS_Y_PAGOS[CODIGO],CODIGOS_Y_PAGOS[NOMBRE PARTICIPANTE],"")</f>
        <v/>
      </c>
      <c r="E191" s="471">
        <f>_xlfn.XLOOKUP(C191,$C$5:$C$54,$K$5:$K$54)</f>
        <v/>
      </c>
      <c r="F191" s="471">
        <f>_xlfn.XLOOKUP(C191,$C$5:$C$54,$L$5:$L$54)</f>
        <v/>
      </c>
      <c r="G191" s="472">
        <f>+F191/E191</f>
        <v/>
      </c>
      <c r="J191" t="inlineStr">
        <is>
          <t>COD 50</t>
        </is>
      </c>
    </row>
  </sheetData>
  <mergeCells count="17">
    <mergeCell ref="E134:J134"/>
    <mergeCell ref="E136:J136"/>
    <mergeCell ref="E129:J129"/>
    <mergeCell ref="E133:J133"/>
    <mergeCell ref="N58:Q58"/>
    <mergeCell ref="E137:J137"/>
    <mergeCell ref="M113:O113"/>
    <mergeCell ref="E127:J127"/>
    <mergeCell ref="E128:J128"/>
    <mergeCell ref="B57:Q57"/>
    <mergeCell ref="N3:Q3"/>
    <mergeCell ref="E126:J126"/>
    <mergeCell ref="E132:J132"/>
    <mergeCell ref="E135:J135"/>
    <mergeCell ref="E131:J131"/>
    <mergeCell ref="B2:Q2"/>
    <mergeCell ref="E130:J130"/>
  </mergeCells>
  <conditionalFormatting sqref="B4">
    <cfRule type="containsText" priority="2" operator="containsText" text="0">
      <formula>NOT(ISERROR(SEARCH("0",B4)))</formula>
    </cfRule>
  </conditionalFormatting>
  <conditionalFormatting sqref="B59">
    <cfRule type="containsText" priority="20" operator="containsText" text="0">
      <formula>NOT(ISERROR(SEARCH("0",B59)))</formula>
    </cfRule>
  </conditionalFormatting>
  <conditionalFormatting sqref="D5:D54">
    <cfRule type="expression" priority="1" dxfId="16">
      <formula>$K5=$L5</formula>
    </cfRule>
  </conditionalFormatting>
  <conditionalFormatting sqref="D60:D109">
    <cfRule type="expression" priority="17" dxfId="16">
      <formula>$K60=$L60</formula>
    </cfRule>
  </conditionalFormatting>
  <conditionalFormatting sqref="M126:M137">
    <cfRule type="cellIs" priority="18" operator="between" dxfId="14">
      <formula>1</formula>
      <formula>18</formula>
    </cfRule>
    <cfRule type="containsText" priority="19" operator="containsText" dxfId="14" text="V">
      <formula>NOT(ISERROR(SEARCH("V",M126)))</formula>
    </cfRule>
  </conditionalFormatting>
  <conditionalFormatting sqref="N126:N137">
    <cfRule type="cellIs" priority="3" operator="equal" dxfId="13">
      <formula>14</formula>
    </cfRule>
    <cfRule type="cellIs" priority="4" operator="equal" dxfId="12">
      <formula>13</formula>
    </cfRule>
    <cfRule type="cellIs" priority="5" operator="equal" dxfId="11">
      <formula>12</formula>
    </cfRule>
    <cfRule type="cellIs" priority="6" operator="equal" dxfId="10">
      <formula>11</formula>
    </cfRule>
    <cfRule type="cellIs" priority="7" operator="equal" dxfId="9">
      <formula>10</formula>
    </cfRule>
    <cfRule type="cellIs" priority="8" operator="equal" dxfId="8">
      <formula>9</formula>
    </cfRule>
    <cfRule type="cellIs" priority="9" operator="equal" dxfId="7">
      <formula>8</formula>
    </cfRule>
    <cfRule type="cellIs" priority="10" operator="equal" dxfId="6">
      <formula>7</formula>
    </cfRule>
    <cfRule type="cellIs" priority="11" operator="equal" dxfId="5">
      <formula>6</formula>
    </cfRule>
    <cfRule type="cellIs" priority="12" operator="equal" dxfId="4">
      <formula>5</formula>
    </cfRule>
    <cfRule type="cellIs" priority="13" operator="equal" dxfId="3">
      <formula>4</formula>
    </cfRule>
    <cfRule type="cellIs" priority="14" operator="equal" dxfId="2">
      <formula>3</formula>
    </cfRule>
    <cfRule type="cellIs" priority="15" operator="equal" dxfId="1">
      <formula>2</formula>
    </cfRule>
    <cfRule type="cellIs" priority="16" operator="equal" dxfId="0">
      <formula>1</formula>
    </cfRule>
  </conditionalFormatting>
  <pageMargins left="0.2362204724409449" right="0.2362204724409449" top="0.3543307086614174" bottom="0.3543307086614174" header="0" footer="0"/>
  <pageSetup orientation="portrait" paperSize="3" scale="72" fitToHeight="0"/>
  <rowBreaks count="1" manualBreakCount="1">
    <brk id="151" min="0" max="17" man="1"/>
  </rowBreaks>
  <colBreaks count="1" manualBreakCount="1">
    <brk id="18" min="0" max="1048575" man="1"/>
  </col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J152"/>
  <sheetViews>
    <sheetView showGridLines="0" tabSelected="1" topLeftCell="A30" zoomScale="59" zoomScaleNormal="59" workbookViewId="0">
      <selection activeCell="C8" sqref="C8:C57"/>
    </sheetView>
  </sheetViews>
  <sheetFormatPr baseColWidth="10" defaultRowHeight="15"/>
  <cols>
    <col width="3.42578125" customWidth="1" style="568" min="1" max="1"/>
    <col width="14.7109375" customWidth="1" style="10" min="2" max="2"/>
    <col width="24" customWidth="1" style="568" min="3" max="3"/>
    <col width="22.7109375" customWidth="1" style="568" min="4" max="4"/>
    <col width="8.140625" customWidth="1" style="568" min="5" max="5"/>
    <col width="6.7109375" customWidth="1" style="568" min="6" max="13"/>
    <col width="7.42578125" customWidth="1" style="568" min="14" max="14"/>
    <col width="6.7109375" customWidth="1" style="568" min="15" max="31"/>
    <col width="7.42578125" customWidth="1" style="568" min="32" max="32"/>
    <col width="6.7109375" customWidth="1" style="568" min="33" max="40"/>
    <col width="7.42578125" customWidth="1" style="568" min="41" max="41"/>
    <col width="6.7109375" customWidth="1" style="568" min="42" max="43"/>
    <col width="7.140625" customWidth="1" style="568" min="44" max="44"/>
    <col width="6.7109375" customWidth="1" style="568" min="45" max="58"/>
    <col width="7" customWidth="1" style="356" min="59" max="59"/>
    <col width="6.7109375" customWidth="1" style="568" min="60" max="63"/>
    <col width="6.7109375" customWidth="1" style="356" min="64" max="64"/>
    <col width="6.7109375" customWidth="1" style="568" min="65" max="67"/>
    <col width="7.140625" customWidth="1" style="568" min="68" max="68"/>
    <col width="6.7109375" customWidth="1" style="568" min="69" max="84"/>
    <col collapsed="1" width="6.7109375" customWidth="1" style="568" min="85" max="85"/>
    <col width="6.7109375" customWidth="1" style="568" min="86" max="86"/>
    <col width="7.42578125" customWidth="1" style="568" min="87" max="87"/>
    <col width="6.7109375" customWidth="1" style="568" min="88" max="89"/>
    <col width="8.140625" customWidth="1" style="568" min="90" max="90"/>
    <col width="6.7109375" customWidth="1" style="568" min="91" max="92"/>
    <col width="8.5703125" customWidth="1" style="568" min="93" max="93"/>
    <col width="6.7109375" customWidth="1" style="568" min="94" max="95"/>
    <col width="12.42578125" customWidth="1" style="568" min="96" max="96"/>
    <col width="15.7109375" customWidth="1" style="568" min="97" max="100"/>
    <col width="2.7109375" customWidth="1" style="568" min="101" max="101"/>
    <col width="17" customWidth="1" style="568" min="103" max="103"/>
    <col width="18.140625" customWidth="1" style="568" min="104" max="104"/>
    <col width="14.42578125" bestFit="1" customWidth="1" style="568" min="105" max="105"/>
    <col width="18.28515625" customWidth="1" style="568" min="106" max="106"/>
    <col width="13.42578125" bestFit="1" customWidth="1" style="568" min="122" max="122"/>
    <col width="13.7109375" bestFit="1" customWidth="1" style="568" min="137" max="137"/>
    <col width="13.42578125" bestFit="1" customWidth="1" style="568" min="140" max="140"/>
  </cols>
  <sheetData>
    <row r="1" ht="15.75" customHeight="1" s="568">
      <c r="B1" s="73" t="n">
        <v>0</v>
      </c>
      <c r="CV1" s="74" t="inlineStr">
        <is>
          <t>PREMIO</t>
        </is>
      </c>
      <c r="CX1" s="75" t="inlineStr">
        <is>
          <t>PREMIO</t>
        </is>
      </c>
      <c r="DA1" s="73" t="inlineStr">
        <is>
          <t>PREMIO</t>
        </is>
      </c>
    </row>
    <row r="2" ht="24" customFormat="1" customHeight="1" s="576" thickBot="1">
      <c r="B2" s="439" t="inlineStr">
        <is>
          <t>CAMPEONATO DE MARCAS LA RINCONADA</t>
        </is>
      </c>
      <c r="C2" s="440" t="n"/>
      <c r="D2" s="440" t="n"/>
      <c r="E2" s="440" t="n"/>
      <c r="F2" s="440" t="n"/>
      <c r="G2" s="440" t="n"/>
      <c r="H2" s="440" t="n"/>
      <c r="I2" s="440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0" t="n"/>
      <c r="AE2" s="440" t="n"/>
      <c r="AF2" s="440" t="n"/>
      <c r="AG2" s="440" t="n"/>
      <c r="AH2" s="440" t="n"/>
      <c r="AI2" s="440" t="n"/>
      <c r="AJ2" s="440" t="n"/>
      <c r="AK2" s="440" t="n"/>
      <c r="AL2" s="440" t="n"/>
      <c r="AM2" s="440" t="n"/>
      <c r="AN2" s="440" t="n"/>
      <c r="AO2" s="440" t="n"/>
      <c r="AP2" s="440" t="n"/>
      <c r="AQ2" s="440" t="n"/>
      <c r="AR2" s="440" t="n"/>
      <c r="AS2" s="440" t="n"/>
      <c r="AT2" s="440" t="n"/>
      <c r="AU2" s="440" t="n"/>
      <c r="AV2" s="440" t="n"/>
      <c r="AW2" s="440" t="n"/>
      <c r="AX2" s="440" t="n"/>
      <c r="AY2" s="440" t="n"/>
      <c r="AZ2" s="440" t="n"/>
      <c r="BA2" s="440" t="n"/>
      <c r="BB2" s="440" t="n"/>
      <c r="BC2" s="440" t="n"/>
      <c r="BD2" s="440" t="n"/>
      <c r="BE2" s="440" t="n"/>
      <c r="BF2" s="440" t="n"/>
      <c r="BG2" s="441" t="n"/>
      <c r="BH2" s="440" t="n"/>
      <c r="BI2" s="440" t="n"/>
      <c r="BJ2" s="440" t="n"/>
      <c r="BK2" s="440" t="n"/>
      <c r="BL2" s="441" t="n"/>
      <c r="BM2" s="440" t="n"/>
      <c r="BN2" s="440" t="n"/>
      <c r="BO2" s="440" t="n"/>
      <c r="BP2" s="440" t="n"/>
      <c r="BQ2" s="440" t="n"/>
      <c r="BR2" s="440" t="n"/>
      <c r="BS2" s="440" t="n"/>
      <c r="BT2" s="440" t="n"/>
      <c r="BU2" s="440" t="n"/>
      <c r="BV2" s="440" t="n"/>
      <c r="BW2" s="440" t="n"/>
      <c r="BX2" s="440" t="n"/>
      <c r="BY2" s="440" t="n"/>
      <c r="BZ2" s="440" t="n"/>
      <c r="CA2" s="440" t="n"/>
      <c r="CB2" s="440" t="n"/>
      <c r="CC2" s="440" t="n"/>
      <c r="CD2" s="440" t="n"/>
      <c r="CE2" s="440" t="n"/>
      <c r="CF2" s="440" t="n"/>
      <c r="CG2" s="440" t="n"/>
      <c r="CH2" s="440" t="n"/>
      <c r="CI2" s="440" t="n"/>
      <c r="CJ2" s="440" t="n"/>
      <c r="CK2" s="440" t="n"/>
      <c r="CL2" s="440" t="n"/>
      <c r="CM2" s="440" t="n"/>
      <c r="CN2" s="440" t="n"/>
      <c r="CO2" s="440" t="n"/>
      <c r="CP2" s="440" t="n"/>
      <c r="CQ2" s="440" t="n"/>
      <c r="CR2" s="440" t="n"/>
      <c r="CS2" s="442" t="n"/>
      <c r="CT2" s="442" t="n"/>
      <c r="CU2" s="440" t="n"/>
      <c r="CV2" s="443" t="n"/>
      <c r="CX2" s="76" t="inlineStr">
        <is>
          <t>MEETING</t>
        </is>
      </c>
      <c r="DA2" s="77" t="inlineStr">
        <is>
          <t>MEETING</t>
        </is>
      </c>
    </row>
    <row r="3" ht="24" customFormat="1" customHeight="1" s="80" thickBot="1">
      <c r="A3" s="576" t="n"/>
      <c r="B3" s="444" t="inlineStr">
        <is>
          <t>FECHA</t>
        </is>
      </c>
      <c r="C3" s="253" t="n"/>
      <c r="D3" s="252">
        <f>CODIGOS_Y_PAGOS[[#Headers],[20/09/2026]]</f>
        <v/>
      </c>
      <c r="E3" s="253" t="n"/>
      <c r="F3" s="248" t="inlineStr">
        <is>
          <t>PARTICIPACION</t>
        </is>
      </c>
      <c r="G3" s="249" t="n"/>
      <c r="H3" s="249" t="n"/>
      <c r="I3" s="249" t="n"/>
      <c r="J3" s="250" t="n"/>
      <c r="K3" s="250" t="n"/>
      <c r="L3" s="250" t="n"/>
      <c r="M3" s="250" t="n"/>
      <c r="N3" s="251" t="n"/>
      <c r="O3" s="243">
        <f>CONTROL!H2</f>
        <v/>
      </c>
      <c r="P3" s="78" t="n"/>
      <c r="Q3" s="78" t="n"/>
      <c r="R3" s="78" t="n"/>
      <c r="S3" s="78" t="n"/>
      <c r="T3" s="569" t="inlineStr">
        <is>
          <t>COMBINACIONES</t>
        </is>
      </c>
      <c r="U3" s="570" t="n"/>
      <c r="V3" s="570" t="n"/>
      <c r="W3" s="570" t="n"/>
      <c r="X3" s="570" t="n"/>
      <c r="Y3" s="570" t="n"/>
      <c r="Z3" s="570" t="n"/>
      <c r="AA3" s="570" t="n"/>
      <c r="AB3" s="564" t="n"/>
      <c r="AC3" s="424">
        <f>COUNTA(SEMANA29[COD])-COUNTIF(SEMANA29[TIPO],"NO ENVIÓ")</f>
        <v/>
      </c>
      <c r="AD3" s="462" t="n"/>
      <c r="AE3" s="462" t="n"/>
      <c r="AF3" s="462" t="n"/>
      <c r="AG3" s="463" t="n"/>
      <c r="AH3" s="572" t="inlineStr">
        <is>
          <t>PAGADAS</t>
        </is>
      </c>
      <c r="AI3" s="570" t="n"/>
      <c r="AJ3" s="570" t="n"/>
      <c r="AK3" s="570" t="n"/>
      <c r="AL3" s="570" t="n"/>
      <c r="AM3" s="564" t="n"/>
      <c r="AN3" s="424">
        <f>COUNTIF(SEMANA29[TIPO],"PREMIO")</f>
        <v/>
      </c>
      <c r="AO3" s="462" t="n"/>
      <c r="AP3" s="462" t="n"/>
      <c r="AQ3" s="462" t="n"/>
      <c r="AR3" s="463" t="n"/>
      <c r="AS3" s="245" t="inlineStr">
        <is>
          <t>RECAUDADO</t>
        </is>
      </c>
      <c r="AT3" s="246" t="n"/>
      <c r="AU3" s="246" t="n"/>
      <c r="AV3" s="246" t="n"/>
      <c r="AW3" s="246" t="n"/>
      <c r="AX3" s="247" t="n"/>
      <c r="AY3" s="243">
        <f>+O3*AN3</f>
        <v/>
      </c>
      <c r="AZ3" s="244" t="n"/>
      <c r="BA3" s="244" t="n"/>
      <c r="BB3" s="244" t="n"/>
      <c r="BC3" s="220" t="n"/>
      <c r="BD3" s="220" t="n"/>
      <c r="BE3" s="220" t="n"/>
      <c r="BF3" s="220" t="n"/>
      <c r="BG3" s="221" t="n"/>
      <c r="BH3" s="220" t="n"/>
      <c r="BI3" s="220" t="n"/>
      <c r="BJ3" s="220" t="n"/>
      <c r="BK3" s="220" t="n"/>
      <c r="BL3" s="221" t="n"/>
      <c r="BM3" s="220" t="n"/>
      <c r="BN3" s="220" t="n"/>
      <c r="BO3" s="220" t="n"/>
      <c r="BP3" s="220" t="n"/>
      <c r="BQ3" s="220" t="n"/>
      <c r="BR3" s="220" t="n"/>
      <c r="BS3" s="220" t="n"/>
      <c r="BT3" s="220" t="n"/>
      <c r="BU3" s="220" t="n"/>
      <c r="BV3" s="220" t="n"/>
      <c r="BW3" s="220" t="n"/>
      <c r="BX3" s="220" t="n"/>
      <c r="BY3" s="220" t="n"/>
      <c r="BZ3" s="220" t="n"/>
      <c r="CA3" s="220" t="n"/>
      <c r="CB3" s="220" t="n"/>
      <c r="CC3" s="220" t="n"/>
      <c r="CD3" s="220" t="n"/>
      <c r="CE3" s="220" t="n"/>
      <c r="CF3" s="220" t="n"/>
      <c r="CG3" s="222" t="inlineStr">
        <is>
          <t>SEMANA 3</t>
        </is>
      </c>
      <c r="CH3" s="222" t="n"/>
      <c r="CI3" s="222" t="n"/>
      <c r="CJ3" s="222" t="n"/>
      <c r="CK3" s="222" t="n"/>
      <c r="CL3" s="222" t="n"/>
      <c r="CM3" s="222" t="n"/>
      <c r="CN3" s="222" t="n"/>
      <c r="CO3" s="222" t="n"/>
      <c r="CP3" s="222" t="n"/>
      <c r="CQ3" s="222" t="n"/>
      <c r="CR3" s="222" t="n"/>
      <c r="CS3" s="226" t="n"/>
      <c r="CT3" s="227" t="n"/>
      <c r="CU3" s="232" t="n"/>
      <c r="CV3" s="445" t="n"/>
      <c r="CW3" s="576" t="n"/>
      <c r="CX3" s="79" t="inlineStr">
        <is>
          <t>NO ENVIÓ</t>
        </is>
      </c>
    </row>
    <row r="4" ht="21" customFormat="1" customHeight="1" s="80" thickBot="1">
      <c r="A4" s="576" t="n"/>
      <c r="B4" s="258">
        <f>COUNTA(F6,K6,P6,U6,Z6,AE6,AJ6,AO6,AT6,AY6,BD6,BI6,BN6,BS6,BX6,CC6)</f>
        <v/>
      </c>
      <c r="C4" s="254" t="inlineStr">
        <is>
          <t>PRUEBAS</t>
        </is>
      </c>
      <c r="D4" s="255" t="inlineStr">
        <is>
          <t xml:space="preserve">ORDEN DE LLEGADA </t>
        </is>
      </c>
      <c r="E4" s="591">
        <f>D5+1</f>
        <v/>
      </c>
      <c r="F4" s="261" t="n"/>
      <c r="G4" s="261" t="n"/>
      <c r="H4" s="262" t="n"/>
      <c r="I4" s="263" t="n"/>
      <c r="J4" s="591">
        <f>E4+1</f>
        <v/>
      </c>
      <c r="K4" s="261" t="n"/>
      <c r="L4" s="261" t="n"/>
      <c r="M4" s="262" t="n"/>
      <c r="N4" s="263" t="n"/>
      <c r="O4" s="591">
        <f>J4+1</f>
        <v/>
      </c>
      <c r="P4" s="261" t="n"/>
      <c r="Q4" s="261" t="n"/>
      <c r="R4" s="262" t="n"/>
      <c r="S4" s="263" t="n"/>
      <c r="T4" s="591">
        <f>O4+1</f>
        <v/>
      </c>
      <c r="U4" s="261" t="n"/>
      <c r="V4" s="261" t="n"/>
      <c r="W4" s="262" t="n"/>
      <c r="X4" s="263" t="n"/>
      <c r="Y4" s="591">
        <f>T4+1</f>
        <v/>
      </c>
      <c r="Z4" s="261" t="n"/>
      <c r="AA4" s="261" t="n"/>
      <c r="AB4" s="262" t="n"/>
      <c r="AC4" s="263" t="n"/>
      <c r="AD4" s="591">
        <f>Y4+1</f>
        <v/>
      </c>
      <c r="AE4" s="261" t="n"/>
      <c r="AF4" s="261" t="n"/>
      <c r="AG4" s="262" t="n"/>
      <c r="AH4" s="263" t="n"/>
      <c r="AI4" s="591">
        <f>AD4+1</f>
        <v/>
      </c>
      <c r="AJ4" s="261" t="n"/>
      <c r="AK4" s="261" t="n"/>
      <c r="AL4" s="262" t="n"/>
      <c r="AM4" s="263" t="n"/>
      <c r="AN4" s="591">
        <f>AI4+1</f>
        <v/>
      </c>
      <c r="AO4" s="261" t="n"/>
      <c r="AP4" s="261" t="n"/>
      <c r="AQ4" s="262" t="n"/>
      <c r="AR4" s="263" t="n"/>
      <c r="AS4" s="591">
        <f>AN4+1</f>
        <v/>
      </c>
      <c r="AT4" s="261" t="n"/>
      <c r="AU4" s="261" t="n"/>
      <c r="AV4" s="262" t="n"/>
      <c r="AW4" s="263" t="n"/>
      <c r="AX4" s="591">
        <f>AS4+1</f>
        <v/>
      </c>
      <c r="AY4" s="261" t="n"/>
      <c r="AZ4" s="261" t="n"/>
      <c r="BA4" s="262" t="n"/>
      <c r="BB4" s="263" t="n"/>
      <c r="BC4" s="591">
        <f>AX4+1</f>
        <v/>
      </c>
      <c r="BD4" s="261" t="n"/>
      <c r="BE4" s="261" t="n"/>
      <c r="BF4" s="262" t="n"/>
      <c r="BG4" s="263" t="n"/>
      <c r="BH4" s="591">
        <f>BC4+1</f>
        <v/>
      </c>
      <c r="BI4" s="261" t="n"/>
      <c r="BJ4" s="261" t="n"/>
      <c r="BK4" s="262" t="n"/>
      <c r="BL4" s="263" t="n"/>
      <c r="BM4" s="591">
        <f>BH4+1</f>
        <v/>
      </c>
      <c r="BN4" s="261" t="n"/>
      <c r="BO4" s="261" t="n"/>
      <c r="BP4" s="262" t="n"/>
      <c r="BQ4" s="263" t="n"/>
      <c r="BR4" s="591">
        <f>BM4+1</f>
        <v/>
      </c>
      <c r="BS4" s="261" t="n"/>
      <c r="BT4" s="261" t="n"/>
      <c r="BU4" s="262" t="n"/>
      <c r="BV4" s="263" t="n"/>
      <c r="BW4" s="591">
        <f>BR4+1</f>
        <v/>
      </c>
      <c r="BX4" s="261" t="n"/>
      <c r="BY4" s="261" t="n"/>
      <c r="BZ4" s="262" t="n"/>
      <c r="CA4" s="263" t="n"/>
      <c r="CB4" s="591">
        <f>BW4+1</f>
        <v/>
      </c>
      <c r="CC4" s="261" t="n"/>
      <c r="CD4" s="261" t="n"/>
      <c r="CE4" s="262" t="n"/>
      <c r="CF4" s="263" t="n"/>
      <c r="CG4" s="223" t="inlineStr">
        <is>
          <t>PORCENTAJE DE ACIERTOS</t>
        </is>
      </c>
      <c r="CH4" s="224" t="n"/>
      <c r="CI4" s="224" t="n"/>
      <c r="CJ4" s="224" t="n"/>
      <c r="CK4" s="224" t="n"/>
      <c r="CL4" s="224" t="n"/>
      <c r="CM4" s="224" t="n"/>
      <c r="CN4" s="224" t="n"/>
      <c r="CO4" s="224" t="n"/>
      <c r="CP4" s="224" t="n"/>
      <c r="CQ4" s="224" t="n"/>
      <c r="CR4" s="224" t="n"/>
      <c r="CS4" s="228" t="n"/>
      <c r="CT4" s="229" t="n"/>
      <c r="CU4" s="234" t="n"/>
      <c r="CV4" s="446" t="n"/>
      <c r="CW4" s="576" t="n"/>
      <c r="CX4" s="79" t="inlineStr">
        <is>
          <t>PENDIENTE</t>
        </is>
      </c>
    </row>
    <row r="5" ht="21" customFormat="1" customHeight="1" s="80" thickBot="1">
      <c r="A5" s="576" t="n"/>
      <c r="B5" s="167">
        <f>ROUNDUP($C$5/2, 0)</f>
        <v/>
      </c>
      <c r="C5" s="168">
        <f>COUNTA('SEM 3'!E8,'SEM 3'!J8,'SEM 3'!O8,'SEM 3'!T8,'SEM 3'!Y8,'SEM 3'!AD8,'SEM 3'!AI8,'SEM 3'!AN8,'SEM 3'!AS8,'SEM 3'!AX8,'SEM 3'!BC8,'SEM 3'!BH8,'SEM 3'!BM8,'SEM 3'!BR8,'SEM 3'!BW8,'SEM 3'!CB8)</f>
        <v/>
      </c>
      <c r="D5" s="434" t="n">
        <v>0</v>
      </c>
      <c r="E5" s="592" t="inlineStr">
        <is>
          <t>-</t>
        </is>
      </c>
      <c r="F5" s="593" t="n"/>
      <c r="G5" s="594" t="n"/>
      <c r="H5" s="595">
        <f>E5&amp;"SF"</f>
        <v/>
      </c>
      <c r="I5" s="596">
        <f>E5&amp;"F"</f>
        <v/>
      </c>
      <c r="J5" s="592" t="inlineStr">
        <is>
          <t>-</t>
        </is>
      </c>
      <c r="K5" s="593" t="n"/>
      <c r="L5" s="594" t="n"/>
      <c r="M5" s="598">
        <f>J5&amp;"SF"</f>
        <v/>
      </c>
      <c r="N5" s="599">
        <f>J5&amp;"F"</f>
        <v/>
      </c>
      <c r="O5" s="592" t="inlineStr">
        <is>
          <t>-</t>
        </is>
      </c>
      <c r="P5" s="593" t="n"/>
      <c r="Q5" s="594" t="n"/>
      <c r="R5" s="598">
        <f>O5&amp;"SF"</f>
        <v/>
      </c>
      <c r="S5" s="599">
        <f>O5&amp;"F"</f>
        <v/>
      </c>
      <c r="T5" s="592" t="inlineStr">
        <is>
          <t>-</t>
        </is>
      </c>
      <c r="U5" s="593" t="n"/>
      <c r="V5" s="594" t="n"/>
      <c r="W5" s="598">
        <f>T5&amp;"SF"</f>
        <v/>
      </c>
      <c r="X5" s="599">
        <f>T5&amp;"F"</f>
        <v/>
      </c>
      <c r="Y5" s="592" t="inlineStr">
        <is>
          <t>-</t>
        </is>
      </c>
      <c r="Z5" s="593" t="n"/>
      <c r="AA5" s="594" t="n"/>
      <c r="AB5" s="598">
        <f>Y5&amp;"SF"</f>
        <v/>
      </c>
      <c r="AC5" s="599">
        <f>Y5&amp;"F"</f>
        <v/>
      </c>
      <c r="AD5" s="592" t="inlineStr">
        <is>
          <t>-</t>
        </is>
      </c>
      <c r="AE5" s="593" t="n"/>
      <c r="AF5" s="594" t="n"/>
      <c r="AG5" s="598">
        <f>AD5&amp;"SF"</f>
        <v/>
      </c>
      <c r="AH5" s="599">
        <f>AD5&amp;"F"</f>
        <v/>
      </c>
      <c r="AI5" s="592" t="inlineStr">
        <is>
          <t>-</t>
        </is>
      </c>
      <c r="AJ5" s="593" t="n"/>
      <c r="AK5" s="594" t="n"/>
      <c r="AL5" s="598">
        <f>AI5&amp;"SF"</f>
        <v/>
      </c>
      <c r="AM5" s="599">
        <f>AI5&amp;"F"</f>
        <v/>
      </c>
      <c r="AN5" s="592" t="inlineStr">
        <is>
          <t>-</t>
        </is>
      </c>
      <c r="AO5" s="593" t="n"/>
      <c r="AP5" s="594" t="n"/>
      <c r="AQ5" s="598">
        <f>AN5&amp;"SF"</f>
        <v/>
      </c>
      <c r="AR5" s="599">
        <f>AN5&amp;"F"</f>
        <v/>
      </c>
      <c r="AS5" s="592" t="inlineStr">
        <is>
          <t>-</t>
        </is>
      </c>
      <c r="AT5" s="593" t="n"/>
      <c r="AU5" s="594" t="n"/>
      <c r="AV5" s="598">
        <f>AS5&amp;"SF"</f>
        <v/>
      </c>
      <c r="AW5" s="599">
        <f>AS5&amp;"F"</f>
        <v/>
      </c>
      <c r="AX5" s="592" t="inlineStr">
        <is>
          <t>-</t>
        </is>
      </c>
      <c r="AY5" s="593" t="n"/>
      <c r="AZ5" s="594" t="n"/>
      <c r="BA5" s="598">
        <f>AX5&amp;"SF"</f>
        <v/>
      </c>
      <c r="BB5" s="599">
        <f>AX5&amp;"F"</f>
        <v/>
      </c>
      <c r="BC5" s="592" t="inlineStr">
        <is>
          <t>-</t>
        </is>
      </c>
      <c r="BD5" s="593" t="n"/>
      <c r="BE5" s="594" t="n"/>
      <c r="BF5" s="598">
        <f>BC5&amp;"SF"</f>
        <v/>
      </c>
      <c r="BG5" s="599">
        <f>BC5&amp;"F"</f>
        <v/>
      </c>
      <c r="BH5" s="592" t="inlineStr">
        <is>
          <t>-</t>
        </is>
      </c>
      <c r="BI5" s="593" t="n"/>
      <c r="BJ5" s="594" t="n"/>
      <c r="BK5" s="598">
        <f>BH5&amp;"SF"</f>
        <v/>
      </c>
      <c r="BL5" s="599">
        <f>$BH$5&amp;"F"</f>
        <v/>
      </c>
      <c r="BM5" s="592" t="inlineStr">
        <is>
          <t>-</t>
        </is>
      </c>
      <c r="BN5" s="593" t="n"/>
      <c r="BO5" s="594" t="n"/>
      <c r="BP5" s="598">
        <f>BM5&amp;"SF"</f>
        <v/>
      </c>
      <c r="BQ5" s="599">
        <f>BM5&amp;"F"</f>
        <v/>
      </c>
      <c r="BR5" s="600" t="inlineStr">
        <is>
          <t>-</t>
        </is>
      </c>
      <c r="BS5" s="597" t="n"/>
      <c r="BT5" s="597" t="n"/>
      <c r="BU5" s="598">
        <f>BR5&amp;"SF"</f>
        <v/>
      </c>
      <c r="BV5" s="599">
        <f>BR5&amp;"F"</f>
        <v/>
      </c>
      <c r="BW5" s="600" t="inlineStr">
        <is>
          <t>-</t>
        </is>
      </c>
      <c r="BX5" s="597" t="n"/>
      <c r="BY5" s="597" t="n"/>
      <c r="BZ5" s="598">
        <f>BW5&amp;"SF"</f>
        <v/>
      </c>
      <c r="CA5" s="599">
        <f>BW5&amp;"F"</f>
        <v/>
      </c>
      <c r="CB5" s="600" t="inlineStr">
        <is>
          <t>-</t>
        </is>
      </c>
      <c r="CC5" s="597" t="n"/>
      <c r="CD5" s="597" t="n"/>
      <c r="CE5" s="598">
        <f>CB5&amp;"SF"</f>
        <v/>
      </c>
      <c r="CF5" s="599">
        <f>CB5&amp;"F"</f>
        <v/>
      </c>
      <c r="CG5" s="153" t="n"/>
      <c r="CH5" s="154" t="n"/>
      <c r="CI5" s="154" t="n"/>
      <c r="CJ5" s="154" t="n"/>
      <c r="CK5" s="154" t="n"/>
      <c r="CL5" s="154" t="n"/>
      <c r="CM5" s="154" t="n"/>
      <c r="CN5" s="154" t="n"/>
      <c r="CO5" s="154" t="n"/>
      <c r="CP5" s="154" t="n"/>
      <c r="CQ5" s="154" t="n"/>
      <c r="CR5" s="154" t="n"/>
      <c r="CS5" s="230" t="inlineStr">
        <is>
          <t>TOTAL PREMIO</t>
        </is>
      </c>
      <c r="CT5" s="231" t="n"/>
      <c r="CU5" s="278">
        <f>(AY3*80%)/3</f>
        <v/>
      </c>
      <c r="CV5" s="447" t="n"/>
      <c r="CW5" s="576" t="n"/>
    </row>
    <row r="6" ht="21" customFormat="1" customHeight="1" s="80">
      <c r="A6" s="576" t="n"/>
      <c r="B6" s="259">
        <f>COUNTA(F6,Z6,AY6)</f>
        <v/>
      </c>
      <c r="C6" s="257" t="inlineStr">
        <is>
          <t>FIJAS</t>
        </is>
      </c>
      <c r="D6" s="256" t="n"/>
      <c r="E6" s="264" t="inlineStr">
        <is>
          <t>DIV</t>
        </is>
      </c>
      <c r="F6" s="265" t="n"/>
      <c r="G6" s="266" t="n"/>
      <c r="H6" s="266" t="n"/>
      <c r="I6" s="267" t="n"/>
      <c r="J6" s="264" t="inlineStr">
        <is>
          <t>DIV</t>
        </is>
      </c>
      <c r="K6" s="265" t="n"/>
      <c r="L6" s="266" t="n"/>
      <c r="M6" s="266" t="n"/>
      <c r="N6" s="267" t="n"/>
      <c r="O6" s="264" t="inlineStr">
        <is>
          <t>DIV</t>
        </is>
      </c>
      <c r="P6" s="265" t="n"/>
      <c r="Q6" s="266" t="n"/>
      <c r="R6" s="266" t="n"/>
      <c r="S6" s="267" t="n"/>
      <c r="T6" s="264" t="inlineStr">
        <is>
          <t>DIV</t>
        </is>
      </c>
      <c r="U6" s="265" t="n"/>
      <c r="V6" s="266" t="n"/>
      <c r="W6" s="266" t="n"/>
      <c r="X6" s="267" t="n"/>
      <c r="Y6" s="264" t="inlineStr">
        <is>
          <t>DIV</t>
        </is>
      </c>
      <c r="Z6" s="265" t="n"/>
      <c r="AA6" s="266" t="n"/>
      <c r="AB6" s="266" t="n"/>
      <c r="AC6" s="267" t="n"/>
      <c r="AD6" s="264" t="inlineStr">
        <is>
          <t>DIV</t>
        </is>
      </c>
      <c r="AE6" s="265" t="n"/>
      <c r="AF6" s="266" t="n"/>
      <c r="AG6" s="266" t="n"/>
      <c r="AH6" s="267" t="n"/>
      <c r="AI6" s="264" t="inlineStr">
        <is>
          <t>DIV</t>
        </is>
      </c>
      <c r="AJ6" s="265" t="n"/>
      <c r="AK6" s="266" t="n"/>
      <c r="AL6" s="266" t="n"/>
      <c r="AM6" s="267" t="n"/>
      <c r="AN6" s="264" t="inlineStr">
        <is>
          <t>DIV</t>
        </is>
      </c>
      <c r="AO6" s="265" t="n"/>
      <c r="AP6" s="266" t="n"/>
      <c r="AQ6" s="266" t="n"/>
      <c r="AR6" s="267" t="n"/>
      <c r="AS6" s="264" t="inlineStr">
        <is>
          <t>DIV</t>
        </is>
      </c>
      <c r="AT6" s="265" t="n"/>
      <c r="AU6" s="266" t="n"/>
      <c r="AV6" s="266" t="n"/>
      <c r="AW6" s="267" t="n"/>
      <c r="AX6" s="264" t="inlineStr">
        <is>
          <t>DIV</t>
        </is>
      </c>
      <c r="AY6" s="265" t="n"/>
      <c r="AZ6" s="266" t="n"/>
      <c r="BA6" s="266" t="n"/>
      <c r="BB6" s="267" t="n"/>
      <c r="BC6" s="264" t="inlineStr">
        <is>
          <t>DIV</t>
        </is>
      </c>
      <c r="BD6" s="265" t="n"/>
      <c r="BE6" s="266" t="n"/>
      <c r="BF6" s="266" t="n"/>
      <c r="BG6" s="267" t="n"/>
      <c r="BH6" s="264" t="inlineStr">
        <is>
          <t>DIV</t>
        </is>
      </c>
      <c r="BI6" s="265" t="n"/>
      <c r="BJ6" s="266" t="n"/>
      <c r="BK6" s="266" t="n"/>
      <c r="BL6" s="267" t="n"/>
      <c r="BM6" s="264" t="inlineStr">
        <is>
          <t>DIV</t>
        </is>
      </c>
      <c r="BN6" s="265" t="n"/>
      <c r="BO6" s="266" t="n"/>
      <c r="BP6" s="266" t="n"/>
      <c r="BQ6" s="267" t="n"/>
      <c r="BR6" s="264" t="inlineStr">
        <is>
          <t>DIV</t>
        </is>
      </c>
      <c r="BS6" s="265" t="n"/>
      <c r="BT6" s="266" t="n"/>
      <c r="BU6" s="266" t="n"/>
      <c r="BV6" s="267" t="n"/>
      <c r="BW6" s="264" t="inlineStr">
        <is>
          <t>DIV</t>
        </is>
      </c>
      <c r="BX6" s="265" t="n"/>
      <c r="BY6" s="266" t="n"/>
      <c r="BZ6" s="266" t="n"/>
      <c r="CA6" s="267" t="n"/>
      <c r="CB6" s="264" t="inlineStr">
        <is>
          <t>DIV</t>
        </is>
      </c>
      <c r="CC6" s="265" t="n"/>
      <c r="CD6" s="266" t="n"/>
      <c r="CE6" s="266" t="n"/>
      <c r="CF6" s="267" t="n"/>
      <c r="CG6" s="240" t="inlineStr">
        <is>
          <t>UNA MARCA</t>
        </is>
      </c>
      <c r="CH6" s="241" t="n"/>
      <c r="CI6" s="242" t="n"/>
      <c r="CJ6" s="240" t="inlineStr">
        <is>
          <t>DOS MARCAS</t>
        </is>
      </c>
      <c r="CK6" s="241" t="n"/>
      <c r="CL6" s="242" t="n"/>
      <c r="CM6" s="240" t="inlineStr">
        <is>
          <t>TRES MARCAS</t>
        </is>
      </c>
      <c r="CN6" s="241" t="n"/>
      <c r="CO6" s="242" t="n"/>
      <c r="CP6" s="237" t="inlineStr">
        <is>
          <t>FIJAS</t>
        </is>
      </c>
      <c r="CQ6" s="238" t="n"/>
      <c r="CR6" s="239" t="n"/>
      <c r="CS6" s="280" t="inlineStr">
        <is>
          <t>SEMANA</t>
        </is>
      </c>
      <c r="CT6" s="281" t="inlineStr">
        <is>
          <t>VIENEN</t>
        </is>
      </c>
      <c r="CU6" s="279" t="inlineStr">
        <is>
          <t>GENERAL</t>
        </is>
      </c>
      <c r="CV6" s="448" t="inlineStr">
        <is>
          <t>PAGO</t>
        </is>
      </c>
      <c r="CW6" s="576" t="n"/>
      <c r="DB6" s="400" t="inlineStr">
        <is>
          <t>ACIERTO DE FIJAS</t>
        </is>
      </c>
      <c r="DC6" s="400" t="n"/>
      <c r="DD6" s="400" t="n"/>
      <c r="DE6" s="400" t="n"/>
      <c r="DF6" s="400" t="n"/>
      <c r="DG6" s="400" t="n"/>
      <c r="DH6" s="400" t="n"/>
      <c r="DI6" s="400" t="n"/>
      <c r="DJ6" s="400" t="n"/>
      <c r="DK6" s="400" t="n"/>
      <c r="DL6" s="400" t="n"/>
      <c r="DM6" s="400" t="n"/>
      <c r="DN6" s="400" t="n"/>
      <c r="DO6" s="400" t="n"/>
      <c r="DP6" s="400" t="n"/>
      <c r="DQ6" s="400" t="n"/>
      <c r="DR6" s="400" t="n"/>
      <c r="DT6" s="397" t="inlineStr">
        <is>
          <t>ACIERTO DE SUPERFIJAS</t>
        </is>
      </c>
      <c r="DU6" s="398" t="n"/>
      <c r="DV6" s="398" t="n"/>
      <c r="DW6" s="398" t="n"/>
      <c r="DX6" s="398" t="n"/>
      <c r="DY6" s="398" t="n"/>
      <c r="DZ6" s="398" t="n"/>
      <c r="EA6" s="398" t="n"/>
      <c r="EB6" s="398" t="n"/>
      <c r="EC6" s="398" t="n"/>
      <c r="ED6" s="398" t="n"/>
      <c r="EE6" s="398" t="n"/>
      <c r="EF6" s="398" t="n"/>
      <c r="EG6" s="398" t="n"/>
      <c r="EH6" s="398" t="n"/>
      <c r="EI6" s="398" t="n"/>
      <c r="EJ6" s="399" t="n"/>
    </row>
    <row r="7" ht="27.75" customHeight="1" s="568">
      <c r="A7" s="576" t="n"/>
      <c r="B7" s="410" t="inlineStr">
        <is>
          <t>0</t>
        </is>
      </c>
      <c r="C7" s="405" t="inlineStr">
        <is>
          <t>COD</t>
        </is>
      </c>
      <c r="D7" s="405" t="inlineStr">
        <is>
          <t>TIPO</t>
        </is>
      </c>
      <c r="E7" s="406" t="inlineStr">
        <is>
          <t>1</t>
        </is>
      </c>
      <c r="F7" s="406" t="inlineStr">
        <is>
          <t>2</t>
        </is>
      </c>
      <c r="G7" s="406" t="inlineStr">
        <is>
          <t>22</t>
        </is>
      </c>
      <c r="H7" s="406" t="inlineStr">
        <is>
          <t>3</t>
        </is>
      </c>
      <c r="I7" s="406" t="inlineStr">
        <is>
          <t>PTS</t>
        </is>
      </c>
      <c r="J7" s="406" t="inlineStr">
        <is>
          <t>12</t>
        </is>
      </c>
      <c r="K7" s="406" t="inlineStr">
        <is>
          <t>Columna2</t>
        </is>
      </c>
      <c r="L7" s="406" t="inlineStr">
        <is>
          <t>Columna23</t>
        </is>
      </c>
      <c r="M7" s="406" t="inlineStr">
        <is>
          <t>Columna28</t>
        </is>
      </c>
      <c r="N7" s="406" t="inlineStr">
        <is>
          <t>Columna3</t>
        </is>
      </c>
      <c r="O7" s="406" t="inlineStr">
        <is>
          <t>Columna4</t>
        </is>
      </c>
      <c r="P7" s="406" t="inlineStr">
        <is>
          <t>Columna5</t>
        </is>
      </c>
      <c r="Q7" s="406" t="inlineStr">
        <is>
          <t>Columna53</t>
        </is>
      </c>
      <c r="R7" s="406" t="inlineStr">
        <is>
          <t>Columna52</t>
        </is>
      </c>
      <c r="S7" s="406" t="inlineStr">
        <is>
          <t>Columna6</t>
        </is>
      </c>
      <c r="T7" s="406" t="inlineStr">
        <is>
          <t>Columna7</t>
        </is>
      </c>
      <c r="U7" s="406" t="inlineStr">
        <is>
          <t>Columna8</t>
        </is>
      </c>
      <c r="V7" s="406" t="inlineStr">
        <is>
          <t>Columna83</t>
        </is>
      </c>
      <c r="W7" s="406" t="inlineStr">
        <is>
          <t>Columna82</t>
        </is>
      </c>
      <c r="X7" s="406" t="inlineStr">
        <is>
          <t>Columna9</t>
        </is>
      </c>
      <c r="Y7" s="406" t="inlineStr">
        <is>
          <t>Columna10</t>
        </is>
      </c>
      <c r="Z7" s="406" t="inlineStr">
        <is>
          <t>Columna11</t>
        </is>
      </c>
      <c r="AA7" s="406" t="inlineStr">
        <is>
          <t>Columna113</t>
        </is>
      </c>
      <c r="AB7" s="406" t="inlineStr">
        <is>
          <t>Columna112</t>
        </is>
      </c>
      <c r="AC7" s="406" t="inlineStr">
        <is>
          <t>Columna12</t>
        </is>
      </c>
      <c r="AD7" s="406" t="inlineStr">
        <is>
          <t>1RA</t>
        </is>
      </c>
      <c r="AE7" s="406" t="inlineStr">
        <is>
          <t>2DA</t>
        </is>
      </c>
      <c r="AF7" s="406" t="inlineStr">
        <is>
          <t>2DA2</t>
        </is>
      </c>
      <c r="AG7" s="406" t="inlineStr">
        <is>
          <t>3RA</t>
        </is>
      </c>
      <c r="AH7" s="406" t="inlineStr">
        <is>
          <t>Columna15</t>
        </is>
      </c>
      <c r="AI7" s="406" t="inlineStr">
        <is>
          <t>Columna16</t>
        </is>
      </c>
      <c r="AJ7" s="406" t="inlineStr">
        <is>
          <t>Columna17</t>
        </is>
      </c>
      <c r="AK7" s="406" t="inlineStr">
        <is>
          <t>Columna173</t>
        </is>
      </c>
      <c r="AL7" s="406" t="inlineStr">
        <is>
          <t>Columna172</t>
        </is>
      </c>
      <c r="AM7" s="406" t="inlineStr">
        <is>
          <t>Columna18</t>
        </is>
      </c>
      <c r="AN7" s="406" t="inlineStr">
        <is>
          <t>123</t>
        </is>
      </c>
      <c r="AO7" s="406" t="inlineStr">
        <is>
          <t>555</t>
        </is>
      </c>
      <c r="AP7" s="406" t="inlineStr">
        <is>
          <t>556</t>
        </is>
      </c>
      <c r="AQ7" s="406" t="inlineStr">
        <is>
          <t>111</t>
        </is>
      </c>
      <c r="AR7" s="406" t="inlineStr">
        <is>
          <t>Columna21</t>
        </is>
      </c>
      <c r="AS7" s="407" t="inlineStr">
        <is>
          <t>AAAA</t>
        </is>
      </c>
      <c r="AT7" s="407" t="inlineStr">
        <is>
          <t>BBBB</t>
        </is>
      </c>
      <c r="AU7" s="407" t="inlineStr">
        <is>
          <t>Columna13</t>
        </is>
      </c>
      <c r="AV7" s="407" t="inlineStr">
        <is>
          <t>CCCC</t>
        </is>
      </c>
      <c r="AW7" s="407" t="inlineStr">
        <is>
          <t>Columna24</t>
        </is>
      </c>
      <c r="AX7" s="404" t="inlineStr">
        <is>
          <t>Columna25</t>
        </is>
      </c>
      <c r="AY7" s="408" t="inlineStr">
        <is>
          <t>Columna26</t>
        </is>
      </c>
      <c r="AZ7" s="409" t="inlineStr">
        <is>
          <t>Columna263</t>
        </is>
      </c>
      <c r="BA7" s="409" t="inlineStr">
        <is>
          <t>Columna262</t>
        </is>
      </c>
      <c r="BB7" s="410" t="inlineStr">
        <is>
          <t>Columna27</t>
        </is>
      </c>
      <c r="BC7" s="409" t="inlineStr">
        <is>
          <t>Columna272</t>
        </is>
      </c>
      <c r="BD7" s="409" t="inlineStr">
        <is>
          <t>Columna273</t>
        </is>
      </c>
      <c r="BE7" s="409" t="inlineStr">
        <is>
          <t>Columna2732</t>
        </is>
      </c>
      <c r="BF7" s="409" t="inlineStr">
        <is>
          <t>Columna274</t>
        </is>
      </c>
      <c r="BG7" s="409" t="inlineStr">
        <is>
          <t>Columna275</t>
        </is>
      </c>
      <c r="BH7" s="409" t="inlineStr">
        <is>
          <t>Columna276</t>
        </is>
      </c>
      <c r="BI7" s="409" t="inlineStr">
        <is>
          <t>Columna277</t>
        </is>
      </c>
      <c r="BJ7" s="409" t="inlineStr">
        <is>
          <t>Columna2772</t>
        </is>
      </c>
      <c r="BK7" s="409" t="inlineStr">
        <is>
          <t>Columna278</t>
        </is>
      </c>
      <c r="BL7" s="409" t="inlineStr">
        <is>
          <t>Columna279</t>
        </is>
      </c>
      <c r="BM7" s="409" t="inlineStr">
        <is>
          <t>Columna280</t>
        </is>
      </c>
      <c r="BN7" s="409" t="inlineStr">
        <is>
          <t>Columna281</t>
        </is>
      </c>
      <c r="BO7" s="409" t="inlineStr">
        <is>
          <t>Columna2812</t>
        </is>
      </c>
      <c r="BP7" s="409" t="inlineStr">
        <is>
          <t>Columna282</t>
        </is>
      </c>
      <c r="BQ7" s="409" t="inlineStr">
        <is>
          <t>Columna283</t>
        </is>
      </c>
      <c r="BR7" s="409" t="inlineStr">
        <is>
          <t>Columna2802</t>
        </is>
      </c>
      <c r="BS7" s="409" t="inlineStr">
        <is>
          <t>Columna2813</t>
        </is>
      </c>
      <c r="BT7" s="409" t="inlineStr">
        <is>
          <t>Columna28124</t>
        </is>
      </c>
      <c r="BU7" s="409" t="inlineStr">
        <is>
          <t>Columna2825</t>
        </is>
      </c>
      <c r="BV7" s="409" t="inlineStr">
        <is>
          <t>Columna28310</t>
        </is>
      </c>
      <c r="BW7" s="409" t="inlineStr">
        <is>
          <t>Columna2803</t>
        </is>
      </c>
      <c r="BX7" s="409" t="inlineStr">
        <is>
          <t>Columna2814</t>
        </is>
      </c>
      <c r="BY7" s="409" t="inlineStr">
        <is>
          <t>Columna28125</t>
        </is>
      </c>
      <c r="BZ7" s="409" t="inlineStr">
        <is>
          <t>Columna2826</t>
        </is>
      </c>
      <c r="CA7" s="409" t="inlineStr">
        <is>
          <t>Columna2837</t>
        </is>
      </c>
      <c r="CB7" s="409" t="inlineStr">
        <is>
          <t>Columna2804</t>
        </is>
      </c>
      <c r="CC7" s="409" t="inlineStr">
        <is>
          <t>Columna2815</t>
        </is>
      </c>
      <c r="CD7" s="409" t="inlineStr">
        <is>
          <t>Columna28126</t>
        </is>
      </c>
      <c r="CE7" s="409" t="inlineStr">
        <is>
          <t>Columna2827</t>
        </is>
      </c>
      <c r="CF7" s="409" t="inlineStr">
        <is>
          <t>Columna2838</t>
        </is>
      </c>
      <c r="CG7" s="411" t="inlineStr">
        <is>
          <t>Columna14</t>
        </is>
      </c>
      <c r="CH7" s="411" t="inlineStr">
        <is>
          <t>Columna19</t>
        </is>
      </c>
      <c r="CI7" s="412" t="inlineStr">
        <is>
          <t>Columna20</t>
        </is>
      </c>
      <c r="CJ7" s="411" t="inlineStr">
        <is>
          <t>Columna29</t>
        </is>
      </c>
      <c r="CK7" s="411" t="inlineStr">
        <is>
          <t>Columna30</t>
        </is>
      </c>
      <c r="CL7" s="412" t="inlineStr">
        <is>
          <t>Columna31</t>
        </is>
      </c>
      <c r="CM7" s="413" t="inlineStr">
        <is>
          <t>Columna32</t>
        </is>
      </c>
      <c r="CN7" s="411" t="inlineStr">
        <is>
          <t>Columna34</t>
        </is>
      </c>
      <c r="CO7" s="412" t="inlineStr">
        <is>
          <t>Columna35</t>
        </is>
      </c>
      <c r="CP7" s="413" t="inlineStr">
        <is>
          <t>Columna36</t>
        </is>
      </c>
      <c r="CQ7" s="411" t="inlineStr">
        <is>
          <t>Columna37</t>
        </is>
      </c>
      <c r="CR7" s="411" t="inlineStr">
        <is>
          <t>Columna38</t>
        </is>
      </c>
      <c r="CS7" s="414" t="inlineStr">
        <is>
          <t>Columna1</t>
        </is>
      </c>
      <c r="CT7" s="414" t="inlineStr">
        <is>
          <t>Columna22</t>
        </is>
      </c>
      <c r="CU7" s="414" t="inlineStr">
        <is>
          <t>Columna33</t>
        </is>
      </c>
      <c r="CV7" s="408" t="inlineStr">
        <is>
          <t>Columna44</t>
        </is>
      </c>
      <c r="CW7" s="576" t="n"/>
      <c r="CY7" t="inlineStr">
        <is>
          <t>CARRERA</t>
        </is>
      </c>
      <c r="CZ7" t="inlineStr">
        <is>
          <t>DIVIDENDO</t>
        </is>
      </c>
      <c r="DB7" s="401" t="inlineStr">
        <is>
          <t>CODIGO</t>
        </is>
      </c>
      <c r="DC7" s="402" t="n">
        <v>1</v>
      </c>
      <c r="DD7" s="401" t="n">
        <v>2</v>
      </c>
      <c r="DE7" s="401" t="n">
        <v>3</v>
      </c>
      <c r="DF7" s="401" t="n">
        <v>4</v>
      </c>
      <c r="DG7" s="401" t="n">
        <v>5</v>
      </c>
      <c r="DH7" s="401" t="n">
        <v>6</v>
      </c>
      <c r="DI7" s="401" t="n">
        <v>7</v>
      </c>
      <c r="DJ7" s="401" t="n">
        <v>8</v>
      </c>
      <c r="DK7" s="401" t="n">
        <v>9</v>
      </c>
      <c r="DL7" s="401" t="n">
        <v>10</v>
      </c>
      <c r="DM7" s="401" t="n">
        <v>11</v>
      </c>
      <c r="DN7" s="401" t="n">
        <v>12</v>
      </c>
      <c r="DO7" s="401" t="n">
        <v>13</v>
      </c>
      <c r="DP7" s="401" t="n">
        <v>14</v>
      </c>
      <c r="DQ7" s="401" t="n">
        <v>15</v>
      </c>
      <c r="DR7" s="401" t="n">
        <v>16</v>
      </c>
      <c r="DT7" s="401" t="inlineStr">
        <is>
          <t>CODIGO</t>
        </is>
      </c>
      <c r="DU7" s="402" t="n">
        <v>1</v>
      </c>
      <c r="DV7" s="401" t="n">
        <v>2</v>
      </c>
      <c r="DW7" s="401" t="n">
        <v>3</v>
      </c>
      <c r="DX7" s="401" t="n">
        <v>4</v>
      </c>
      <c r="DY7" s="401" t="n">
        <v>5</v>
      </c>
      <c r="DZ7" s="401" t="n">
        <v>6</v>
      </c>
      <c r="EA7" s="401" t="n">
        <v>7</v>
      </c>
      <c r="EB7" s="401" t="n">
        <v>8</v>
      </c>
      <c r="EC7" s="401" t="n">
        <v>9</v>
      </c>
      <c r="ED7" s="401" t="n">
        <v>10</v>
      </c>
      <c r="EE7" s="401" t="n">
        <v>11</v>
      </c>
      <c r="EF7" s="401" t="n">
        <v>12</v>
      </c>
      <c r="EG7" s="401" t="n">
        <v>13</v>
      </c>
      <c r="EH7" s="401" t="n">
        <v>14</v>
      </c>
      <c r="EI7" s="401" t="n">
        <v>15</v>
      </c>
      <c r="EJ7" s="401" t="n">
        <v>16</v>
      </c>
    </row>
    <row r="8" ht="20.1" customHeight="1" s="568">
      <c r="A8" s="576" t="n"/>
      <c r="B8" s="449">
        <f>IF(SEMANA29[[#This Row],[COD]]&lt;&gt;"",B7+1,"")</f>
        <v/>
      </c>
      <c r="C8" s="622" t="inlineStr">
        <is>
          <t>COD 01</t>
        </is>
      </c>
      <c r="D8" s="415">
        <f t="array" ref="D8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8" s="416" t="n"/>
      <c r="F8" s="417" t="n"/>
      <c r="G8" s="417" t="n"/>
      <c r="H8" s="417" t="n"/>
      <c r="I8" s="602">
        <f>SUM(IF(E8=E$5,4,0),IF(E8&amp;F8=E$5&amp;F$5,1,0),
IF(AND(E8=E$5,F$6&gt;=$D$115),1,0),
IF(AND(F8=E$5,F$6&gt;=$D$115),1,0),
IF(AND(G8=E$5,F$6&gt;=$D$115),1,0),
IF(E8&amp;H8=I$5,1,0),
IF(F8=E$5,2,0),
IF(G8=E$5,1,0),
IF(OR(E8&amp;F8&amp;G8=E$5&amp;F$5&amp;G$5,E8&amp;F8&amp;G8=E$5&amp;G$5&amp;F$5,E8&amp;F8&amp;G8=F$5&amp;E$5&amp;G$5,E8&amp;F8&amp;G8=F$5&amp;G$5&amp;E$5,E8&amp;F8&amp;G8=G$5&amp;E$5&amp;F$5,E8&amp;F8&amp;G8=G$5&amp;F$5&amp;E$5),2,0),IF(AND(E8=E$5,F$6&gt;=$D$129),1,0),IF(AND(F8=E$5,F$6&gt;=$D$129),1,0),IF(AND(G8=E$5,F$6&gt;=$D$129),1,0),IF(E8&amp;H8=H$5,4,0),IF(AND(E8=E$5,F$6&lt;=$D$104),-0.5,0),IF(AND(F8=E$5,F$6&lt;=$D$104),-0.5,0),IF(AND(G8=E$5,F$6&lt;=$D$104),-0.5,0))</f>
        <v/>
      </c>
      <c r="J8" s="416" t="n"/>
      <c r="K8" s="417" t="n"/>
      <c r="L8" s="417" t="n"/>
      <c r="M8" s="417" t="n"/>
      <c r="N8" s="602">
        <f>SUM(IF(J8=J$5,4,0),IF(J8&amp;K8=J$5&amp;K$5,1,0),
IF(AND(J8=J$5,K$6&gt;=$D$115),1,0),
IF(AND(K8=J$5,K$6&gt;=$D$115),1,0),
IF(AND(L8=J$5,K$6&gt;=$D$115),1,0),
IF(J8&amp;M8=N$5,1,0),
IF(K8=J$5,2,0),
IF(L8=J$5,1,0),
IF(OR(J8&amp;K8&amp;L8=J$5&amp;K$5&amp;L$5,J8&amp;K8&amp;L8=J$5&amp;L$5&amp;K$5,J8&amp;K8&amp;L8=K$5&amp;J$5&amp;L$5,J8&amp;K8&amp;L8=K$5&amp;L$5&amp;J$5,J8&amp;K8&amp;L8=L$5&amp;J$5&amp;K$5,J8&amp;K8&amp;L8=L$5&amp;K$5&amp;J$5),2,0),IF(AND(J8=J$5,K$6&gt;=$D$129),1,0),IF(AND(K8=J$5,K$6&gt;=$D$129),1,0),IF(AND(L8=J$5,K$6&gt;=$D$129),1,0),IF(J8&amp;M8=M$5,4,0),IF(AND(J8=J$5,K$6&lt;=$D$104),-0.5,0),IF(AND(K8=J$5,K$6&lt;=$D$104),-0.5,0),IF(AND(L8=J$5,K$6&lt;=$D$104),-0.5,0))</f>
        <v/>
      </c>
      <c r="O8" s="416" t="n"/>
      <c r="P8" s="417" t="n"/>
      <c r="Q8" s="417" t="n"/>
      <c r="R8" s="417" t="n"/>
      <c r="S8" s="602">
        <f>SUM(IF(O8=O$5,4,0),IF(O8&amp;P8=O$5&amp;P$5,1,0),
IF(AND(O8=O$5,P$6&gt;=$D$115),1,0),
IF(AND(P8=O$5,P$6&gt;=$D$115),1,0),
IF(AND(Q8=O$5,P$6&gt;=$D$115),1,0),
IF(O8&amp;R8=S$5,1,0),
IF(P8=O$5,2,0),
IF(Q8=O$5,1,0),
IF(OR(O8&amp;P8&amp;Q8=O$5&amp;P$5&amp;Q$5,O8&amp;P8&amp;Q8=O$5&amp;Q$5&amp;P$5,O8&amp;P8&amp;Q8=P$5&amp;O$5&amp;Q$5,O8&amp;P8&amp;Q8=P$5&amp;Q$5&amp;O$5,O8&amp;P8&amp;Q8=Q$5&amp;O$5&amp;P$5,O8&amp;P8&amp;Q8=Q$5&amp;P$5&amp;O$5),2,0),IF(AND(O8=O$5,P$6&gt;=$D$129),1,0),IF(AND(P8=O$5,P$6&gt;=$D$129),1,0),IF(AND(Q8=O$5,P$6&gt;=$D$129),1,0),IF(O8&amp;R8=R$5,4,0),IF(AND(O8=O$5,P$6&lt;=$D$104),-0.5,0),IF(AND(P8=O$5,P$6&lt;=$D$104),-0.5,0),IF(AND(Q8=O$5,P$6&lt;=$D$104),-0.5,0))</f>
        <v/>
      </c>
      <c r="T8" s="416" t="n"/>
      <c r="U8" s="417" t="n"/>
      <c r="V8" s="417" t="n"/>
      <c r="W8" s="417" t="n"/>
      <c r="X8" s="602">
        <f>SUM(IF(T8=T$5,4,0),IF(T8&amp;U8=T$5&amp;U$5,1,0),
IF(AND(T8=T$5,U$6&gt;=$D$115),1,0),
IF(AND(U8=T$5,U$6&gt;=$D$115),1,0),
IF(AND(V8=T$5,U$6&gt;=$D$115),1,0),
IF(T8&amp;W8=X$5,1,0),
IF(U8=T$5,2,0),
IF(V8=T$5,1,0),
IF(OR(T8&amp;U8&amp;V8=T$5&amp;U$5&amp;V$5,T8&amp;U8&amp;V8=T$5&amp;V$5&amp;U$5,T8&amp;U8&amp;V8=U$5&amp;T$5&amp;V$5,T8&amp;U8&amp;V8=U$5&amp;V$5&amp;T$5,T8&amp;U8&amp;V8=V$5&amp;T$5&amp;U$5,T8&amp;U8&amp;V8=V$5&amp;U$5&amp;T$5),2,0),IF(AND(T8=T$5,U$6&gt;=$D$129),1,0),IF(AND(U8=T$5,U$6&gt;=$D$129),1,0),IF(AND(V8=T$5,U$6&gt;=$D$129),1,0),IF(T8&amp;W8=W$5,4,0),IF(AND(T8=T$5,U$6&lt;=$D$104),-0.5,0),IF(AND(U8=T$5,U$6&lt;=$D$104),-0.5,0),IF(AND(V8=T$5,U$6&lt;=$D$104),-0.5,0))</f>
        <v/>
      </c>
      <c r="Y8" s="416" t="n"/>
      <c r="Z8" s="417" t="n"/>
      <c r="AA8" s="417" t="n"/>
      <c r="AB8" s="417" t="n"/>
      <c r="AC8" s="602">
        <f>SUM(IF(Y8=Y$5,4,0),IF(Y8&amp;Z8=Y$5&amp;Z$5,1,0),
IF(AND(Y8=Y$5,Z$6&gt;=$D$115),1,0),
IF(AND(Z8=Y$5,Z$6&gt;=$D$115),1,0),
IF(AND(AA8=Y$5,Z$6&gt;=$D$115),1,0),
IF(Y8&amp;AB8=AC$5,1,0),
IF(Z8=Y$5,2,0),
IF(AA8=Y$5,1,0),
IF(OR(Y8&amp;Z8&amp;AA8=Y$5&amp;Z$5&amp;AA$5,Y8&amp;Z8&amp;AA8=Y$5&amp;AA$5&amp;Z$5,Y8&amp;Z8&amp;AA8=Z$5&amp;Y$5&amp;AA$5,Y8&amp;Z8&amp;AA8=Z$5&amp;AA$5&amp;Y$5,Y8&amp;Z8&amp;AA8=AA$5&amp;Y$5&amp;Z$5,Y8&amp;Z8&amp;AA8=AA$5&amp;Z$5&amp;Y$5),2,0),IF(AND(Y8=Y$5,Z$6&gt;=$D$129),1,0),IF(AND(Z8=Y$5,Z$6&gt;=$D$129),1,0),IF(AND(AA8=Y$5,Z$6&gt;=$D$129),1,0),IF(Y8&amp;AB8=AB$5,4,0),IF(AND(Y8=Y$5,Z$6&lt;=$D$104),-0.5,0),IF(AND(Z8=Y$5,Z$6&lt;=$D$104),-0.5,0),IF(AND(AA8=Y$5,Z$6&lt;=$D$104),-0.5,0))</f>
        <v/>
      </c>
      <c r="AD8" s="416" t="n"/>
      <c r="AE8" s="417" t="n"/>
      <c r="AF8" s="417" t="n"/>
      <c r="AG8" s="417" t="n"/>
      <c r="AH8" s="602">
        <f>SUM(IF(AD8=AD$5,4,0),IF(AD8&amp;AE8=AD$5&amp;AE$5,1,0),
IF(AND(AD8=AD$5,AE$6&gt;=$D$115),1,0),
IF(AND(AE8=AD$5,AE$6&gt;=$D$115),1,0),
IF(AND(AF8=AD$5,AE$6&gt;=$D$115),1,0),
IF(AD8&amp;AG8=AH$5,1,0),
IF(AE8=AD$5,2,0),
IF(AF8=AD$5,1,0),
IF(OR(AD8&amp;AE8&amp;AF8=AD$5&amp;AE$5&amp;AF$5,AD8&amp;AE8&amp;AF8=AD$5&amp;AF$5&amp;AE$5,AD8&amp;AE8&amp;AF8=AE$5&amp;AD$5&amp;AF$5,AD8&amp;AE8&amp;AF8=AE$5&amp;AF$5&amp;AD$5,AD8&amp;AE8&amp;AF8=AF$5&amp;AD$5&amp;AE$5,AD8&amp;AE8&amp;AF8=AF$5&amp;AE$5&amp;AD$5),2,0),IF(AND(AD8=AD$5,AE$6&gt;=$D$129),1,0),IF(AND(AE8=AD$5,AE$6&gt;=$D$129),1,0),IF(AND(AF8=AD$5,AE$6&gt;=$D$129),1,0),IF(AD8&amp;AG8=AG$5,4,0),IF(AND(AD8=AD$5,AE$6&lt;=$D$104),-0.5,0),IF(AND(AE8=AD$5,AE$6&lt;=$D$104),-0.5,0),IF(AND(AF8=AD$5,AE$6&lt;=$D$104),-0.5,0))</f>
        <v/>
      </c>
      <c r="AI8" s="416" t="n"/>
      <c r="AJ8" s="417" t="n"/>
      <c r="AK8" s="417" t="n"/>
      <c r="AL8" s="417" t="n"/>
      <c r="AM8" s="602">
        <f>SUM(IF(AI8=AI$5,4,0),IF(AI8&amp;AJ8=AI$5&amp;AJ$5,1,0),
IF(AND(AI8=AI$5,AJ$6&gt;=$D$115),1,0),
IF(AND(AJ8=AI$5,AJ$6&gt;=$D$115),1,0),
IF(AND(AK8=AI$5,AJ$6&gt;=$D$115),1,0),
IF(AI8&amp;AL8=AM$5,1,0),
IF(AJ8=AI$5,2,0),
IF(AK8=AI$5,1,0),
IF(OR(AI8&amp;AJ8&amp;AK8=AI$5&amp;AJ$5&amp;AK$5,AI8&amp;AJ8&amp;AK8=AI$5&amp;AK$5&amp;AJ$5,AI8&amp;AJ8&amp;AK8=AJ$5&amp;AI$5&amp;AK$5,AI8&amp;AJ8&amp;AK8=AJ$5&amp;AK$5&amp;AI$5,AI8&amp;AJ8&amp;AK8=AK$5&amp;AI$5&amp;AJ$5,AI8&amp;AJ8&amp;AK8=AK$5&amp;AJ$5&amp;AI$5),2,0),IF(AND(AI8=AI$5,AJ$6&gt;=$D$129),1,0),IF(AND(AJ8=AI$5,AJ$6&gt;=$D$129),1,0),IF(AND(AK8=AI$5,AJ$6&gt;=$D$129),1,0),IF(AI8&amp;AL8=AL$5,4,0),IF(AND(AI8=AI$5,AJ$6&lt;=$D$104),-0.5,0),IF(AND(AJ8=AI$5,AJ$6&lt;=$D$104),-0.5,0),IF(AND(AK8=AI$5,AJ$6&lt;=$D$104),-0.5,0))</f>
        <v/>
      </c>
      <c r="AN8" s="416" t="n"/>
      <c r="AO8" s="417" t="n"/>
      <c r="AP8" s="417" t="n"/>
      <c r="AQ8" s="417" t="n"/>
      <c r="AR8" s="602">
        <f>SUM(IF(AN8=AN$5,4,0),IF(AN8&amp;AO8=AN$5&amp;AO$5,1,0),
IF(AND(AN8=AN$5,AO$6&gt;=$D$115),1,0),
IF(AND(AO8=AN$5,AO$6&gt;=$D$115),1,0),
IF(AND(AP8=AN$5,AO$6&gt;=$D$115),1,0),
IF(AN8&amp;AQ8=AR$5,1,0),
IF(AO8=AN$5,2,0),
IF(AP8=AN$5,1,0),
IF(OR(AN8&amp;AO8&amp;AP8=AN$5&amp;AO$5&amp;AP$5,AN8&amp;AO8&amp;AP8=AN$5&amp;AP$5&amp;AO$5,AN8&amp;AO8&amp;AP8=AO$5&amp;AN$5&amp;AP$5,AN8&amp;AO8&amp;AP8=AO$5&amp;AP$5&amp;AN$5,AN8&amp;AO8&amp;AP8=AP$5&amp;AN$5&amp;AO$5,AN8&amp;AO8&amp;AP8=AP$5&amp;AO$5&amp;AN$5),2,0),IF(AND(AN8=AN$5,AO$6&gt;=$D$129),1,0),IF(AND(AO8=AN$5,AO$6&gt;=$D$129),1,0),IF(AND(AP8=AN$5,AO$6&gt;=$D$129),1,0),IF(AN8&amp;AQ8=AQ$5,4,0),IF(AND(AN8=AN$5,AO$6&lt;=$D$104),-0.5,0),IF(AND(AO8=AN$5,AO$6&lt;=$D$104),-0.5,0),IF(AND(AP8=AN$5,AO$6&lt;=$D$104),-0.5,0))</f>
        <v/>
      </c>
      <c r="AS8" s="416" t="n"/>
      <c r="AT8" s="417" t="n"/>
      <c r="AU8" s="417" t="n"/>
      <c r="AV8" s="417" t="n"/>
      <c r="AW8" s="602">
        <f>SUM(IF(AS8=AS$5,4,0),IF(AS8&amp;AT8=AS$5&amp;AT$5,1,0),
IF(AND(AS8=AS$5,AT$6&gt;=$D$115),1,0),
IF(AND(AT8=AS$5,AT$6&gt;=$D$115),1,0),
IF(AND(AU8=AS$5,AT$6&gt;=$D$115),1,0),
IF(AS8&amp;AV8=AW$5,1,0),
IF(AT8=AS$5,2,0),
IF(AU8=AS$5,1,0),
IF(OR(AS8&amp;AT8&amp;AU8=AS$5&amp;AT$5&amp;AU$5,AS8&amp;AT8&amp;AU8=AS$5&amp;AU$5&amp;AT$5,AS8&amp;AT8&amp;AU8=AT$5&amp;AS$5&amp;AU$5,AS8&amp;AT8&amp;AU8=AT$5&amp;AU$5&amp;AS$5,AS8&amp;AT8&amp;AU8=AU$5&amp;AS$5&amp;AT$5,AS8&amp;AT8&amp;AU8=AU$5&amp;AT$5&amp;AS$5),2,0),IF(AND(AS8=AS$5,AT$6&gt;=$D$129),1,0),IF(AND(AT8=AS$5,AT$6&gt;=$D$129),1,0),IF(AND(AU8=AS$5,AT$6&gt;=$D$129),1,0),IF(AS8&amp;AV8=AV$5,4,0),IF(AND(AS8=AS$5,AT$6&lt;=$D$104),-0.5,0),IF(AND(AT8=AS$5,AT$6&lt;=$D$104),-0.5,0),IF(AND(AU8=AS$5,AT$6&lt;=$D$104),-0.5,0))</f>
        <v/>
      </c>
      <c r="AX8" s="416" t="n"/>
      <c r="AY8" s="417" t="n"/>
      <c r="AZ8" s="417" t="n"/>
      <c r="BA8" s="417" t="n"/>
      <c r="BB8" s="602">
        <f>SUM(IF(AX8=AX$5,4,0),IF(AX8&amp;AY8=AX$5&amp;AY$5,1,0),
IF(AND(AX8=AX$5,AY$6&gt;=$D$115),1,0),
IF(AND(AY8=AX$5,AY$6&gt;=$D$115),1,0),
IF(AND(AZ8=AX$5,AY$6&gt;=$D$115),1,0),
IF(AX8&amp;BA8=BB$5,1,0),
IF(AY8=AX$5,2,0),
IF(AZ8=AX$5,1,0),
IF(OR(AX8&amp;AY8&amp;AZ8=AX$5&amp;AY$5&amp;AZ$5,AX8&amp;AY8&amp;AZ8=AX$5&amp;AZ$5&amp;AY$5,AX8&amp;AY8&amp;AZ8=AY$5&amp;AX$5&amp;AZ$5,AX8&amp;AY8&amp;AZ8=AY$5&amp;AZ$5&amp;AX$5,AX8&amp;AY8&amp;AZ8=AZ$5&amp;AX$5&amp;AY$5,AX8&amp;AY8&amp;AZ8=AZ$5&amp;AY$5&amp;AX$5),2,0),IF(AND(AX8=AX$5,AY$6&gt;=$D$129),1,0),IF(AND(AY8=AX$5,AY$6&gt;=$D$129),1,0),IF(AND(AZ8=AX$5,AY$6&gt;=$D$129),1,0),IF(AX8&amp;BA8=BA$5,4,0),IF(AND(AX8=AX$5,AY$6&lt;=$D$104),-0.5,0),IF(AND(AY8=AX$5,AY$6&lt;=$D$104),-0.5,0),IF(AND(AZ8=AX$5,AY$6&lt;=$D$104),-0.5,0))</f>
        <v/>
      </c>
      <c r="BC8" s="416" t="n"/>
      <c r="BD8" s="417" t="n"/>
      <c r="BE8" s="417" t="n"/>
      <c r="BF8" s="417" t="n"/>
      <c r="BG8" s="602">
        <f>SUM(IF(BC8=BC$5,4,0),IF(BC8&amp;BD8=BC$5&amp;BD$5,1,0),
IF(AND(BC8=BC$5,BD$6&gt;=$D$115),1,0),
IF(AND(BD8=BC$5,BD$6&gt;=$D$115),1,0),
IF(AND(BE8=BC$5,BD$6&gt;=$D$115),1,0),
IF(BC8&amp;BF8=BG$5,1,0),
IF(BD8=BC$5,2,0),
IF(BE8=BC$5,1,0),
IF(OR(BC8&amp;BD8&amp;BE8=BC$5&amp;BD$5&amp;BE$5,BC8&amp;BD8&amp;BE8=BC$5&amp;BE$5&amp;BD$5,BC8&amp;BD8&amp;BE8=BD$5&amp;BC$5&amp;BE$5,BC8&amp;BD8&amp;BE8=BD$5&amp;BE$5&amp;BC$5,BC8&amp;BD8&amp;BE8=BE$5&amp;BC$5&amp;BD$5,BC8&amp;BD8&amp;BE8=BE$5&amp;BD$5&amp;BC$5),2,0),IF(AND(BC8=BC$5,BD$6&gt;=$D$129),1,0),IF(AND(BD8=BC$5,BD$6&gt;=$D$129),1,0),IF(AND(BE8=BC$5,BD$6&gt;=$D$129),1,0),IF(BC8&amp;BF8=BF$5,4,0),IF(AND(BC8=BC$5,BD$6&lt;=$D$104),-0.5,0),IF(AND(BD8=BC$5,BD$6&lt;=$D$104),-0.5,0),IF(AND(BE8=BC$5,BD$6&lt;=$D$104),-0.5,0))</f>
        <v/>
      </c>
      <c r="BH8" s="416" t="n"/>
      <c r="BI8" s="417" t="n"/>
      <c r="BJ8" s="417" t="n"/>
      <c r="BK8" s="417" t="n"/>
      <c r="BL8" s="602">
        <f>SUM(IF(BH8=BH$5,4,0),IF(BH8&amp;BI8=BH$5&amp;BI$5,1,0),
IF(AND(BH8=BH$5,BI$6&gt;=$D$115),1,0),
IF(AND(BI8=BH$5,BI$6&gt;=$D$115),1,0),
IF(AND(BJ8=BH$5,BI$6&gt;=$D$115),1,0),
IF(BH8&amp;BK8=BL$5,1,0),
IF(BI8=BH$5,2,0),
IF(BJ8=BH$5,1,0),
IF(OR(BH8&amp;BI8&amp;BJ8=BH$5&amp;BI$5&amp;BJ$5,BH8&amp;BI8&amp;BJ8=BH$5&amp;BJ$5&amp;BI$5,BH8&amp;BI8&amp;BJ8=BI$5&amp;BH$5&amp;BJ$5,BH8&amp;BI8&amp;BJ8=BI$5&amp;BJ$5&amp;BH$5,BH8&amp;BI8&amp;BJ8=BJ$5&amp;BH$5&amp;BI$5,BH8&amp;BI8&amp;BJ8=BJ$5&amp;BI$5&amp;BH$5),2,0),IF(AND(BH8=BH$5,BI$6&gt;=$D$129),1,0),IF(AND(BI8=BH$5,BI$6&gt;=$D$129),1,0),IF(AND(BJ8=BH$5,BI$6&gt;=$D$129),1,0),IF(BH8&amp;BK8=BK$5,4,0),IF(AND(BH8=BH$5,BI$6&lt;=$D$104),-0.5,0),IF(AND(BI8=BH$5,BI$6&lt;=$D$104),-0.5,0),IF(AND(BJ8=BH$5,BI$6&lt;=$D$104),-0.5,0))</f>
        <v/>
      </c>
      <c r="BM8" s="416" t="n"/>
      <c r="BN8" s="417" t="n"/>
      <c r="BO8" s="417" t="n"/>
      <c r="BP8" s="417" t="n"/>
      <c r="BQ8" s="602">
        <f>SUM(IF(BM8=BM$5,4,0),IF(BM8&amp;BN8=BM$5&amp;BN$5,1,0),
IF(AND(BM8=BM$5,BN$6&gt;=$D$115),1,0),
IF(AND(BN8=BM$5,BN$6&gt;=$D$115),1,0),
IF(AND(BO8=BM$5,BN$6&gt;=$D$115),1,0),
IF(BM8&amp;BP8=BQ$5,1,0),
IF(BN8=BM$5,2,0),
IF(BO8=BM$5,1,0),
IF(OR(BM8&amp;BN8&amp;BO8=BM$5&amp;BN$5&amp;BO$5,BM8&amp;BN8&amp;BO8=BM$5&amp;BO$5&amp;BN$5,BM8&amp;BN8&amp;BO8=BN$5&amp;BM$5&amp;BO$5,BM8&amp;BN8&amp;BO8=BN$5&amp;BO$5&amp;BM$5,BM8&amp;BN8&amp;BO8=BO$5&amp;BM$5&amp;BN$5,BM8&amp;BN8&amp;BO8=BO$5&amp;BN$5&amp;BM$5),2,0),IF(AND(BM8=BM$5,BN$6&gt;=$D$129),1,0),IF(AND(BN8=BM$5,BN$6&gt;=$D$129),1,0),IF(AND(BO8=BM$5,BN$6&gt;=$D$129),1,0),IF(BM8&amp;BP8=BP$5,4,0),IF(AND(BM8=BM$5,BN$6&lt;=$D$104),-0.5,0),IF(AND(BN8=BM$5,BN$6&lt;=$D$104),-0.5,0),IF(AND(BO8=BM$5,BN$6&lt;=$D$104),-0.5,0))</f>
        <v/>
      </c>
      <c r="BR8" s="416" t="n"/>
      <c r="BS8" s="417" t="n"/>
      <c r="BT8" s="417" t="n"/>
      <c r="BU8" s="417" t="n"/>
      <c r="BV8" s="602">
        <f>SUM(IF(BR8=BR$5,4,0),IF(BR8&amp;BS8=BR$5&amp;BS$5,1,0),
IF(AND(BR8=BR$5,BS$6&gt;=$D$115),1,0),
IF(AND(BS8=BR$5,BS$6&gt;=$D$115),1,0),
IF(AND(BT8=BR$5,BS$6&gt;=$D$115),1,0),
IF(BR8&amp;BU8=BV$5,1,0),
IF(BS8=BR$5,2,0),
IF(BT8=BR$5,1,0),
IF(OR(BR8&amp;BS8&amp;BT8=BR$5&amp;BS$5&amp;BT$5,BR8&amp;BS8&amp;BT8=BR$5&amp;BT$5&amp;BS$5,BR8&amp;BS8&amp;BT8=BS$5&amp;BR$5&amp;BT$5,BR8&amp;BS8&amp;BT8=BS$5&amp;BT$5&amp;BR$5,BR8&amp;BS8&amp;BT8=BT$5&amp;BR$5&amp;BS$5,BR8&amp;BS8&amp;BT8=BT$5&amp;BS$5&amp;BR$5),2,0),IF(AND(BR8=BR$5,BS$6&gt;=$D$129),1,0),IF(AND(BS8=BR$5,BS$6&gt;=$D$129),1,0),IF(AND(BT8=BR$5,BS$6&gt;=$D$129),1,0),IF(BR8&amp;BU8=BU$5,4,0),IF(AND(BR8=BR$5,BS$6&lt;=$D$104),-0.5,0),IF(AND(BS8=BR$5,BS$6&lt;=$D$104),-0.5,0),IF(AND(BT8=BR$5,BS$6&lt;=$D$104),-0.5,0))</f>
        <v/>
      </c>
      <c r="BW8" s="416" t="n"/>
      <c r="BX8" s="417" t="n"/>
      <c r="BY8" s="417" t="n"/>
      <c r="BZ8" s="417" t="n"/>
      <c r="CA8" s="602">
        <f>SUM(IF(BW8=BW$5,4,0),IF(BW8&amp;BX8=BW$5&amp;BX$5,1,0),
IF(AND(BW8=BW$5,BX$6&gt;=$D$115),1,0),
IF(AND(BX8=BW$5,BX$6&gt;=$D$115),1,0),
IF(AND(BY8=BW$5,BX$6&gt;=$D$115),1,0),
IF(BW8&amp;BZ8=CA$5,1,0),
IF(BX8=BW$5,2,0),
IF(BY8=BW$5,1,0),
IF(OR(BW8&amp;BX8&amp;BY8=BW$5&amp;BX$5&amp;BY$5,BW8&amp;BX8&amp;BY8=BW$5&amp;BY$5&amp;BX$5,BW8&amp;BX8&amp;BY8=BX$5&amp;BW$5&amp;BY$5,BW8&amp;BX8&amp;BY8=BX$5&amp;BY$5&amp;BW$5,BW8&amp;BX8&amp;BY8=BY$5&amp;BW$5&amp;BX$5,BW8&amp;BX8&amp;BY8=BY$5&amp;BX$5&amp;BW$5),2,0),IF(AND(BW8=BW$5,BX$6&gt;=$D$129),1,0),IF(AND(BX8=BW$5,BX$6&gt;=$D$129),1,0),IF(AND(BY8=BW$5,BX$6&gt;=$D$129),1,0),IF(BW8&amp;BZ8=BZ$5,4,0),IF(AND(BW8=BW$5,BX$6&lt;=$D$104),-0.5,0),IF(AND(BX8=BW$5,BX$6&lt;=$D$104),-0.5,0),IF(AND(BY8=BW$5,BX$6&lt;=$D$104),-0.5,0))</f>
        <v/>
      </c>
      <c r="CB8" s="416" t="n"/>
      <c r="CC8" s="417" t="n"/>
      <c r="CD8" s="417" t="n"/>
      <c r="CE8" s="417" t="n"/>
      <c r="CF8" s="602">
        <f>SUM(IF(CB8=CB$5,4,0),IF(CB8&amp;CC8=CB$5&amp;CC$5,1,0),
IF(AND(CB8=CB$5,CC$6&gt;=$D$115),1,0),
IF(AND(CC8=CB$5,CC$6&gt;=$D$115),1,0),
IF(AND(CD8=CB$5,CC$6&gt;=$D$115),1,0),
IF(CB8&amp;CE8=CF$5,1,0),
IF(CC8=CB$5,2,0),
IF(CD8=CB$5,1,0),
IF(OR(CB8&amp;CC8&amp;CD8=CB$5&amp;CC$5&amp;CD$5,CB8&amp;CC8&amp;CD8=CB$5&amp;CD$5&amp;CC$5,CB8&amp;CC8&amp;CD8=CC$5&amp;CB$5&amp;CD$5,CB8&amp;CC8&amp;CD8=CC$5&amp;CD$5&amp;CB$5,CB8&amp;CC8&amp;CD8=CD$5&amp;CB$5&amp;CC$5,CB8&amp;CC8&amp;CD8=CD$5&amp;CC$5&amp;CB$5),2,0),IF(AND(CB8=CB$5,CC$6&gt;=$D$129),1,0),IF(AND(CC8=CB$5,CC$6&gt;=$D$129),1,0),IF(AND(CD8=CB$5,CC$6&gt;=$D$129),1,0),IF(CB8&amp;CE8=CE$5,4,0),IF(AND(CB8=CB$5,CC$6&lt;=$D$104),-0.5,0),IF(AND(CC8=CB$5,CC$6&lt;=$D$104),-0.5,0),IF(AND(CD8=CB$5,CC$6&lt;=$D$104),-0.5,0))</f>
        <v/>
      </c>
      <c r="CG8" s="164">
        <f>IF(SEMANA29[[#This Row],[1]]="",0,$B$4)</f>
        <v/>
      </c>
      <c r="CH8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8" s="166">
        <f>IF(SEMANA29[[#This Row],[Columna14]]=0,0,(CH8/CG8))</f>
        <v/>
      </c>
      <c r="CJ8" s="165">
        <f>IF(SEMANA29[[#This Row],[1]]="",0,$B$4)</f>
        <v/>
      </c>
      <c r="CK8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8" s="166">
        <f>IF(SEMANA29[[#This Row],[Columna14]]=0,0,(CK8/CJ8))</f>
        <v/>
      </c>
      <c r="CM8" s="164">
        <f>IF(SEMANA29[[#This Row],[1]]="",0,$B$4)</f>
        <v/>
      </c>
      <c r="CN8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8" s="166">
        <f>IF(SEMANA29[[#This Row],[Columna14]]=0,0,(CN8/CM8))</f>
        <v/>
      </c>
      <c r="CP8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8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8" s="166">
        <f>IFERROR(IF(SEMANA29[[#This Row],[Columna14]]=0,0,(CQ8/CP8)),0)</f>
        <v/>
      </c>
      <c r="CS8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8" s="95">
        <f>_xlfn.XLOOKUP(SEMANA29[[#This Row],[COD]],SEMANA2[COD],SEMANA2[Columna33])</f>
        <v/>
      </c>
      <c r="CU8" s="604">
        <f>SUM(CS8,CT8)</f>
        <v/>
      </c>
      <c r="CV8" s="450">
        <f>IF(SEMANA29[[#This Row],[TIPO]]="PREMIO",$O$3,"0,00")</f>
        <v/>
      </c>
      <c r="CW8" s="576" t="n"/>
      <c r="CY8" s="393" t="n">
        <v>1</v>
      </c>
      <c r="CZ8" s="354">
        <f>F$6</f>
        <v/>
      </c>
      <c r="DB8" s="605">
        <f>SEMANA29[[#This Row],[COD]]</f>
        <v/>
      </c>
      <c r="DC8" s="395">
        <f t="array" ref="DC8">IFERROR(IF(AND(INDEX($E$8:$CE$57, MATCH($C8, $C$8:$C$57, 0), (COLUMNS($DC8:DC8)-1)*5 + 1) = INDEX($E$5:$CE$5, 1, (COLUMNS($DC8:DC8)-1)*5 + 1), INDEX($E$8:$CE$57, MATCH($C8, $C$8:$C$57, 0), (COLUMNS($DC8:DC8)-1)*5 + 4) = "F"), INDEX($CZ$8:$CZ$23, COLUMNS($DC8:DC8)), "0"), "")</f>
        <v/>
      </c>
      <c r="DD8" s="395">
        <f t="array" ref="DD8">IFERROR(IF(AND(INDEX($E$8:$CE$57, MATCH($C8, $C$8:$C$57, 0), (COLUMNS($DC8:DD8)-1)*5 + 1) = INDEX($E$5:$CE$5, 1, (COLUMNS($DC8:DD8)-1)*5 + 1), INDEX($E$8:$CE$57, MATCH($C8, $C$8:$C$57, 0), (COLUMNS($DC8:DD8)-1)*5 + 4) = "F"), INDEX($CZ$8:$CZ$23, COLUMNS($DC8:DD8)), "0"), "")</f>
        <v/>
      </c>
      <c r="DE8" s="395">
        <f t="array" ref="DE8">IFERROR(IF(AND(INDEX($E$8:$CE$57, MATCH($C8, $C$8:$C$57, 0), (COLUMNS($DC8:DE8)-1)*5 + 1) = INDEX($E$5:$CE$5, 1, (COLUMNS($DC8:DE8)-1)*5 + 1), INDEX($E$8:$CE$57, MATCH($C8, $C$8:$C$57, 0), (COLUMNS($DC8:DE8)-1)*5 + 4) = "F"), INDEX($CZ$8:$CZ$23, COLUMNS($DC8:DE8)), "0"), "")</f>
        <v/>
      </c>
      <c r="DF8" s="395">
        <f t="array" ref="DF8">IFERROR(IF(AND(INDEX($E$8:$CE$57, MATCH($C8, $C$8:$C$57, 0), (COLUMNS($DC8:DF8)-1)*5 + 1) = INDEX($E$5:$CE$5, 1, (COLUMNS($DC8:DF8)-1)*5 + 1), INDEX($E$8:$CE$57, MATCH($C8, $C$8:$C$57, 0), (COLUMNS($DC8:DF8)-1)*5 + 4) = "F"), INDEX($CZ$8:$CZ$23, COLUMNS($DC8:DF8)), "0"), "")</f>
        <v/>
      </c>
      <c r="DG8" s="395">
        <f t="array" ref="DG8">IFERROR(IF(AND(INDEX($E$8:$CE$57, MATCH($C8, $C$8:$C$57, 0), (COLUMNS($DC8:DG8)-1)*5 + 1) = INDEX($E$5:$CE$5, 1, (COLUMNS($DC8:DG8)-1)*5 + 1), INDEX($E$8:$CE$57, MATCH($C8, $C$8:$C$57, 0), (COLUMNS($DC8:DG8)-1)*5 + 4) = "F"), INDEX($CZ$8:$CZ$23, COLUMNS($DC8:DG8)), "0"), "")</f>
        <v/>
      </c>
      <c r="DH8" s="395">
        <f t="array" ref="DH8">IFERROR(IF(AND(INDEX($E$8:$CE$57, MATCH($C8, $C$8:$C$57, 0), (COLUMNS($DC8:DH8)-1)*5 + 1) = INDEX($E$5:$CE$5, 1, (COLUMNS($DC8:DH8)-1)*5 + 1), INDEX($E$8:$CE$57, MATCH($C8, $C$8:$C$57, 0), (COLUMNS($DC8:DH8)-1)*5 + 4) = "F"), INDEX($CZ$8:$CZ$23, COLUMNS($DC8:DH8)), "0"), "")</f>
        <v/>
      </c>
      <c r="DI8" s="395">
        <f t="array" ref="DI8">IFERROR(IF(AND(INDEX($E$8:$CE$57, MATCH($C8, $C$8:$C$57, 0), (COLUMNS($DC8:DI8)-1)*5 + 1) = INDEX($E$5:$CE$5, 1, (COLUMNS($DC8:DI8)-1)*5 + 1), INDEX($E$8:$CE$57, MATCH($C8, $C$8:$C$57, 0), (COLUMNS($DC8:DI8)-1)*5 + 4) = "F"), INDEX($CZ$8:$CZ$23, COLUMNS($DC8:DI8)), "0"), "")</f>
        <v/>
      </c>
      <c r="DJ8" s="395">
        <f t="array" ref="DJ8">IFERROR(IF(AND(INDEX($E$8:$CE$57, MATCH($C8, $C$8:$C$57, 0), (COLUMNS($DC8:DJ8)-1)*5 + 1) = INDEX($E$5:$CE$5, 1, (COLUMNS($DC8:DJ8)-1)*5 + 1), INDEX($E$8:$CE$57, MATCH($C8, $C$8:$C$57, 0), (COLUMNS($DC8:DJ8)-1)*5 + 4) = "F"), INDEX($CZ$8:$CZ$23, COLUMNS($DC8:DJ8)), "0"), "")</f>
        <v/>
      </c>
      <c r="DK8" s="395">
        <f t="array" ref="DK8">IFERROR(IF(AND(INDEX($E$8:$CE$57, MATCH($C8, $C$8:$C$57, 0), (COLUMNS($DC8:DK8)-1)*5 + 1) = INDEX($E$5:$CE$5, 1, (COLUMNS($DC8:DK8)-1)*5 + 1), INDEX($E$8:$CE$57, MATCH($C8, $C$8:$C$57, 0), (COLUMNS($DC8:DK8)-1)*5 + 4) = "F"), INDEX($CZ$8:$CZ$23, COLUMNS($DC8:DK8)), "0"), "")</f>
        <v/>
      </c>
      <c r="DL8" s="395">
        <f t="array" ref="DL8">IFERROR(IF(AND(INDEX($E$8:$CE$57, MATCH($C8, $C$8:$C$57, 0), (COLUMNS($DC8:DL8)-1)*5 + 1) = INDEX($E$5:$CE$5, 1, (COLUMNS($DC8:DL8)-1)*5 + 1), INDEX($E$8:$CE$57, MATCH($C8, $C$8:$C$57, 0), (COLUMNS($DC8:DL8)-1)*5 + 4) = "F"), INDEX($CZ$8:$CZ$23, COLUMNS($DC8:DL8)), "0"), "")</f>
        <v/>
      </c>
      <c r="DM8" s="395">
        <f t="array" ref="DM8">IFERROR(IF(AND(INDEX($E$8:$CE$57, MATCH($C8, $C$8:$C$57, 0), (COLUMNS($DC8:DM8)-1)*5 + 1) = INDEX($E$5:$CE$5, 1, (COLUMNS($DC8:DM8)-1)*5 + 1), INDEX($E$8:$CE$57, MATCH($C8, $C$8:$C$57, 0), (COLUMNS($DC8:DM8)-1)*5 + 4) = "F"), INDEX($CZ$8:$CZ$23, COLUMNS($DC8:DM8)), "0"), "")</f>
        <v/>
      </c>
      <c r="DN8" s="395">
        <f t="array" ref="DN8">IFERROR(IF(AND(INDEX($E$8:$CE$57, MATCH($C8, $C$8:$C$57, 0), (COLUMNS($DC8:DN8)-1)*5 + 1) = INDEX($E$5:$CE$5, 1, (COLUMNS($DC8:DN8)-1)*5 + 1), INDEX($E$8:$CE$57, MATCH($C8, $C$8:$C$57, 0), (COLUMNS($DC8:DN8)-1)*5 + 4) = "F"), INDEX($CZ$8:$CZ$23, COLUMNS($DC8:DN8)), "0"), "")</f>
        <v/>
      </c>
      <c r="DO8" s="395">
        <f t="array" ref="DO8">IFERROR(IF(AND(INDEX($E$8:$CE$57, MATCH($C8, $C$8:$C$57, 0), (COLUMNS($DC8:DO8)-1)*5 + 1) = INDEX($E$5:$CE$5, 1, (COLUMNS($DC8:DO8)-1)*5 + 1), INDEX($E$8:$CE$57, MATCH($C8, $C$8:$C$57, 0), (COLUMNS($DC8:DO8)-1)*5 + 4) = "F"), INDEX($CZ$8:$CZ$23, COLUMNS($DC8:DO8)), "0"), "")</f>
        <v/>
      </c>
      <c r="DP8" s="395">
        <f t="array" ref="DP8">IFERROR(IF(AND(INDEX($E$8:$CE$57, MATCH($C8, $C$8:$C$57, 0), (COLUMNS($DC8:DP8)-1)*5 + 1) = INDEX($E$5:$CE$5, 1, (COLUMNS($DC8:DP8)-1)*5 + 1), INDEX($E$8:$CE$57, MATCH($C8, $C$8:$C$57, 0), (COLUMNS($DC8:DP8)-1)*5 + 4) = "F"), INDEX($CZ$8:$CZ$23, COLUMNS($DC8:DP8)), "0"), "")</f>
        <v/>
      </c>
      <c r="DQ8" s="395">
        <f t="array" ref="DQ8">IFERROR(IF(AND(INDEX($E$8:$CE$57, MATCH($C8, $C$8:$C$57, 0), (COLUMNS($DC8:DQ8)-1)*5 + 1) = INDEX($E$5:$CE$5, 1, (COLUMNS($DC8:DQ8)-1)*5 + 1), INDEX($E$8:$CE$57, MATCH($C8, $C$8:$C$57, 0), (COLUMNS($DC8:DQ8)-1)*5 + 4) = "F"), INDEX($CZ$8:$CZ$23, COLUMNS($DC8:DQ8)), "0"), "")</f>
        <v/>
      </c>
      <c r="DR8" s="395">
        <f t="array" ref="DR8">IFERROR(IF(AND(INDEX($E$8:$CE$57, MATCH($C8, $C$8:$C$57, 0), (COLUMNS($DC8:DR8)-1)*5 + 1) = INDEX($E$5:$CE$5, 1, (COLUMNS($DC8:DR8)-1)*5 + 1), INDEX($E$8:$CE$57, MATCH($C8, $C$8:$C$57, 0), (COLUMNS($DC8:DR8)-1)*5 + 4) = "F"), INDEX($CZ$8:$CZ$23, COLUMNS($DC8:DR8)), "0"), "")</f>
        <v/>
      </c>
      <c r="DT8" s="605">
        <f>SEMANA29[[#This Row],[COD]]</f>
        <v/>
      </c>
      <c r="DU8" s="395">
        <f t="array" ref="DU8">IFERROR(IF(AND(INDEX($E$8:$CE$57, MATCH($C8, $C$8:$C$57, 0), (COLUMNS($DU8:DU8)-1)*5 + 1) = INDEX($E$5:$CE$5, 1, (COLUMNS($DU8:DU8)-1)*5 + 1), INDEX($E$8:$CE$57, MATCH($C8, $C$8:$C$57, 0), (COLUMNS($DU8:DU8)-1)*5 + 4) = "SF"), INDEX($CZ$8:$CZ$23, COLUMNS($DU8:DU8)), "0"), "")</f>
        <v/>
      </c>
      <c r="DV8" s="395">
        <f t="array" ref="DV8">IFERROR(IF(AND(INDEX($E$8:$CE$57, MATCH($C8, $C$8:$C$57, 0), (COLUMNS($DU8:DV8)-1)*5 + 1) = INDEX($E$5:$CE$5, 1, (COLUMNS($DU8:DV8)-1)*5 + 1), INDEX($E$8:$CE$57, MATCH($C8, $C$8:$C$57, 0), (COLUMNS($DU8:DV8)-1)*5 + 4) = "SF"), INDEX($CZ$8:$CZ$23, COLUMNS($DU8:DV8)), "0"), "")</f>
        <v/>
      </c>
      <c r="DW8" s="395">
        <f t="array" ref="DW8">IFERROR(IF(AND(INDEX($E$8:$CE$57, MATCH($C8, $C$8:$C$57, 0), (COLUMNS($DU8:DW8)-1)*5 + 1) = INDEX($E$5:$CE$5, 1, (COLUMNS($DU8:DW8)-1)*5 + 1), INDEX($E$8:$CE$57, MATCH($C8, $C$8:$C$57, 0), (COLUMNS($DU8:DW8)-1)*5 + 4) = "SF"), INDEX($CZ$8:$CZ$23, COLUMNS($DU8:DW8)), "0"), "")</f>
        <v/>
      </c>
      <c r="DX8" s="395">
        <f t="array" ref="DX8">IFERROR(IF(AND(INDEX($E$8:$CE$57, MATCH($C8, $C$8:$C$57, 0), (COLUMNS($DU8:DX8)-1)*5 + 1) = INDEX($E$5:$CE$5, 1, (COLUMNS($DU8:DX8)-1)*5 + 1), INDEX($E$8:$CE$57, MATCH($C8, $C$8:$C$57, 0), (COLUMNS($DU8:DX8)-1)*5 + 4) = "SF"), INDEX($CZ$8:$CZ$23, COLUMNS($DU8:DX8)), "0"), "")</f>
        <v/>
      </c>
      <c r="DY8" s="395">
        <f t="array" ref="DY8">IFERROR(IF(AND(INDEX($E$8:$CE$57, MATCH($C8, $C$8:$C$57, 0), (COLUMNS($DU8:DY8)-1)*5 + 1) = INDEX($E$5:$CE$5, 1, (COLUMNS($DU8:DY8)-1)*5 + 1), INDEX($E$8:$CE$57, MATCH($C8, $C$8:$C$57, 0), (COLUMNS($DU8:DY8)-1)*5 + 4) = "SF"), INDEX($CZ$8:$CZ$23, COLUMNS($DU8:DY8)), "0"), "")</f>
        <v/>
      </c>
      <c r="DZ8" s="395">
        <f t="array" ref="DZ8">IFERROR(IF(AND(INDEX($E$8:$CE$57, MATCH($C8, $C$8:$C$57, 0), (COLUMNS($DU8:DZ8)-1)*5 + 1) = INDEX($E$5:$CE$5, 1, (COLUMNS($DU8:DZ8)-1)*5 + 1), INDEX($E$8:$CE$57, MATCH($C8, $C$8:$C$57, 0), (COLUMNS($DU8:DZ8)-1)*5 + 4) = "SF"), INDEX($CZ$8:$CZ$23, COLUMNS($DU8:DZ8)), "0"), "")</f>
        <v/>
      </c>
      <c r="EA8" s="395">
        <f t="array" ref="EA8">IFERROR(IF(AND(INDEX($E$8:$CE$57, MATCH($C8, $C$8:$C$57, 0), (COLUMNS($DU8:EA8)-1)*5 + 1) = INDEX($E$5:$CE$5, 1, (COLUMNS($DU8:EA8)-1)*5 + 1), INDEX($E$8:$CE$57, MATCH($C8, $C$8:$C$57, 0), (COLUMNS($DU8:EA8)-1)*5 + 4) = "SF"), INDEX($CZ$8:$CZ$23, COLUMNS($DU8:EA8)), "0"), "")</f>
        <v/>
      </c>
      <c r="EB8" s="395">
        <f t="array" ref="EB8">IFERROR(IF(AND(INDEX($E$8:$CE$57, MATCH($C8, $C$8:$C$57, 0), (COLUMNS($DU8:EB8)-1)*5 + 1) = INDEX($E$5:$CE$5, 1, (COLUMNS($DU8:EB8)-1)*5 + 1), INDEX($E$8:$CE$57, MATCH($C8, $C$8:$C$57, 0), (COLUMNS($DU8:EB8)-1)*5 + 4) = "SF"), INDEX($CZ$8:$CZ$23, COLUMNS($DU8:EB8)), "0"), "")</f>
        <v/>
      </c>
      <c r="EC8" s="395">
        <f t="array" ref="EC8">IFERROR(IF(AND(INDEX($E$8:$CE$57, MATCH($C8, $C$8:$C$57, 0), (COLUMNS($DU8:EC8)-1)*5 + 1) = INDEX($E$5:$CE$5, 1, (COLUMNS($DU8:EC8)-1)*5 + 1), INDEX($E$8:$CE$57, MATCH($C8, $C$8:$C$57, 0), (COLUMNS($DU8:EC8)-1)*5 + 4) = "SF"), INDEX($CZ$8:$CZ$23, COLUMNS($DU8:EC8)), "0"), "")</f>
        <v/>
      </c>
      <c r="ED8" s="395">
        <f t="array" ref="ED8">IFERROR(IF(AND(INDEX($E$8:$CE$57, MATCH($C8, $C$8:$C$57, 0), (COLUMNS($DU8:ED8)-1)*5 + 1) = INDEX($E$5:$CE$5, 1, (COLUMNS($DU8:ED8)-1)*5 + 1), INDEX($E$8:$CE$57, MATCH($C8, $C$8:$C$57, 0), (COLUMNS($DU8:ED8)-1)*5 + 4) = "SF"), INDEX($CZ$8:$CZ$23, COLUMNS($DU8:ED8)), "0"), "")</f>
        <v/>
      </c>
      <c r="EE8" s="395">
        <f t="array" ref="EE8">IFERROR(IF(AND(INDEX($E$8:$CE$57, MATCH($C8, $C$8:$C$57, 0), (COLUMNS($DU8:EE8)-1)*5 + 1) = INDEX($E$5:$CE$5, 1, (COLUMNS($DU8:EE8)-1)*5 + 1), INDEX($E$8:$CE$57, MATCH($C8, $C$8:$C$57, 0), (COLUMNS($DU8:EE8)-1)*5 + 4) = "SF"), INDEX($CZ$8:$CZ$23, COLUMNS($DU8:EE8)), "0"), "")</f>
        <v/>
      </c>
      <c r="EF8" s="395">
        <f t="array" ref="EF8">IFERROR(IF(AND(INDEX($E$8:$CE$57, MATCH($C8, $C$8:$C$57, 0), (COLUMNS($DU8:EF8)-1)*5 + 1) = INDEX($E$5:$CE$5, 1, (COLUMNS($DU8:EF8)-1)*5 + 1), INDEX($E$8:$CE$57, MATCH($C8, $C$8:$C$57, 0), (COLUMNS($DU8:EF8)-1)*5 + 4) = "SF"), INDEX($CZ$8:$CZ$23, COLUMNS($DU8:EF8)), "0"), "")</f>
        <v/>
      </c>
      <c r="EG8" s="395">
        <f t="array" ref="EG8">IFERROR(IF(AND(INDEX($E$8:$CE$57, MATCH($C8, $C$8:$C$57, 0), (COLUMNS($DU8:EG8)-1)*5 + 1) = INDEX($E$5:$CE$5, 1, (COLUMNS($DU8:EG8)-1)*5 + 1), INDEX($E$8:$CE$57, MATCH($C8, $C$8:$C$57, 0), (COLUMNS($DU8:EG8)-1)*5 + 4) = "SF"), INDEX($CZ$8:$CZ$23, COLUMNS($DU8:EG8)), "0"), "")</f>
        <v/>
      </c>
      <c r="EH8" s="395">
        <f t="array" ref="EH8">IFERROR(IF(AND(INDEX($E$8:$CE$57, MATCH($C8, $C$8:$C$57, 0), (COLUMNS($DU8:EH8)-1)*5 + 1) = INDEX($E$5:$CE$5, 1, (COLUMNS($DU8:EH8)-1)*5 + 1), INDEX($E$8:$CE$57, MATCH($C8, $C$8:$C$57, 0), (COLUMNS($DU8:EH8)-1)*5 + 4) = "SF"), INDEX($CZ$8:$CZ$23, COLUMNS($DU8:EH8)), "0"), "")</f>
        <v/>
      </c>
      <c r="EI8" s="395">
        <f t="array" ref="EI8">IFERROR(IF(AND(INDEX($E$8:$CE$57, MATCH($C8, $C$8:$C$57, 0), (COLUMNS($DU8:EI8)-1)*5 + 1) = INDEX($E$5:$CE$5, 1, (COLUMNS($DU8:EI8)-1)*5 + 1), INDEX($E$8:$CE$57, MATCH($C8, $C$8:$C$57, 0), (COLUMNS($DU8:EI8)-1)*5 + 4) = "SF"), INDEX($CZ$8:$CZ$23, COLUMNS($DU8:EI8)), "0"), "")</f>
        <v/>
      </c>
      <c r="EJ8" s="395">
        <f t="array" ref="EJ8">IFERROR(IF(AND(INDEX($E$8:$CE$57, MATCH($C8, $C$8:$C$57, 0), (COLUMNS($DU8:EJ8)-1)*5 + 1) = INDEX($E$5:$CE$5, 1, (COLUMNS($DU8:EJ8)-1)*5 + 1), INDEX($E$8:$CE$57, MATCH($C8, $C$8:$C$57, 0), (COLUMNS($DU8:EJ8)-1)*5 + 4) = "SF"), INDEX($CZ$8:$CZ$23, COLUMNS($DU8:EJ8)), "0"), "")</f>
        <v/>
      </c>
    </row>
    <row r="9" ht="20.1" customHeight="1" s="568">
      <c r="A9" s="576" t="n"/>
      <c r="B9" s="449">
        <f>IF(SEMANA29[[#This Row],[COD]]&lt;&gt;"",B8+1,"")</f>
        <v/>
      </c>
      <c r="C9" s="622" t="inlineStr">
        <is>
          <t>COD 02</t>
        </is>
      </c>
      <c r="D9" s="415">
        <f t="array" ref="D9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9" s="416" t="n"/>
      <c r="F9" s="417" t="n"/>
      <c r="G9" s="417" t="n"/>
      <c r="H9" s="417" t="n"/>
      <c r="I9" s="602">
        <f>SUM(IF(E9=E$5,4,0),IF(E9&amp;F9=E$5&amp;F$5,1,0),
IF(AND(E9=E$5,F$6&gt;=$D$115),1,0),
IF(AND(F9=E$5,F$6&gt;=$D$115),1,0),
IF(AND(G9=E$5,F$6&gt;=$D$115),1,0),
IF(E9&amp;H9=I$5,1,0),
IF(F9=E$5,2,0),
IF(G9=E$5,1,0),
IF(OR(E9&amp;F9&amp;G9=E$5&amp;F$5&amp;G$5,E9&amp;F9&amp;G9=E$5&amp;G$5&amp;F$5,E9&amp;F9&amp;G9=F$5&amp;E$5&amp;G$5,E9&amp;F9&amp;G9=F$5&amp;G$5&amp;E$5,E9&amp;F9&amp;G9=G$5&amp;E$5&amp;F$5,E9&amp;F9&amp;G9=G$5&amp;F$5&amp;E$5),2,0),IF(AND(E9=E$5,F$6&gt;=$D$129),1,0),IF(AND(F9=E$5,F$6&gt;=$D$129),1,0),IF(AND(G9=E$5,F$6&gt;=$D$129),1,0),IF(E9&amp;H9=H$5,4,0),IF(AND(E9=E$5,F$6&lt;=$D$104),-0.5,0),IF(AND(F9=E$5,F$6&lt;=$D$104),-0.5,0),IF(AND(G9=E$5,F$6&lt;=$D$104),-0.5,0))</f>
        <v/>
      </c>
      <c r="J9" s="416" t="n"/>
      <c r="K9" s="417" t="n"/>
      <c r="L9" s="417" t="n"/>
      <c r="M9" s="417" t="n"/>
      <c r="N9" s="602">
        <f>SUM(IF(J9=J$5,4,0),IF(J9&amp;K9=J$5&amp;K$5,1,0),
IF(AND(J9=J$5,K$6&gt;=$D$115),1,0),
IF(AND(K9=J$5,K$6&gt;=$D$115),1,0),
IF(AND(L9=J$5,K$6&gt;=$D$115),1,0),
IF(J9&amp;M9=N$5,1,0),
IF(K9=J$5,2,0),
IF(L9=J$5,1,0),
IF(OR(J9&amp;K9&amp;L9=J$5&amp;K$5&amp;L$5,J9&amp;K9&amp;L9=J$5&amp;L$5&amp;K$5,J9&amp;K9&amp;L9=K$5&amp;J$5&amp;L$5,J9&amp;K9&amp;L9=K$5&amp;L$5&amp;J$5,J9&amp;K9&amp;L9=L$5&amp;J$5&amp;K$5,J9&amp;K9&amp;L9=L$5&amp;K$5&amp;J$5),2,0),IF(AND(J9=J$5,K$6&gt;=$D$129),1,0),IF(AND(K9=J$5,K$6&gt;=$D$129),1,0),IF(AND(L9=J$5,K$6&gt;=$D$129),1,0),IF(J9&amp;M9=M$5,4,0),IF(AND(J9=J$5,K$6&lt;=$D$104),-0.5,0),IF(AND(K9=J$5,K$6&lt;=$D$104),-0.5,0),IF(AND(L9=J$5,K$6&lt;=$D$104),-0.5,0))</f>
        <v/>
      </c>
      <c r="O9" s="416" t="n"/>
      <c r="P9" s="417" t="n"/>
      <c r="Q9" s="417" t="n"/>
      <c r="R9" s="417" t="n"/>
      <c r="S9" s="602">
        <f>SUM(IF(O9=O$5,4,0),IF(O9&amp;P9=O$5&amp;P$5,1,0),
IF(AND(O9=O$5,P$6&gt;=$D$115),1,0),
IF(AND(P9=O$5,P$6&gt;=$D$115),1,0),
IF(AND(Q9=O$5,P$6&gt;=$D$115),1,0),
IF(O9&amp;R9=S$5,1,0),
IF(P9=O$5,2,0),
IF(Q9=O$5,1,0),
IF(OR(O9&amp;P9&amp;Q9=O$5&amp;P$5&amp;Q$5,O9&amp;P9&amp;Q9=O$5&amp;Q$5&amp;P$5,O9&amp;P9&amp;Q9=P$5&amp;O$5&amp;Q$5,O9&amp;P9&amp;Q9=P$5&amp;Q$5&amp;O$5,O9&amp;P9&amp;Q9=Q$5&amp;O$5&amp;P$5,O9&amp;P9&amp;Q9=Q$5&amp;P$5&amp;O$5),2,0),IF(AND(O9=O$5,P$6&gt;=$D$129),1,0),IF(AND(P9=O$5,P$6&gt;=$D$129),1,0),IF(AND(Q9=O$5,P$6&gt;=$D$129),1,0),IF(O9&amp;R9=R$5,4,0),IF(AND(O9=O$5,P$6&lt;=$D$104),-0.5,0),IF(AND(P9=O$5,P$6&lt;=$D$104),-0.5,0),IF(AND(Q9=O$5,P$6&lt;=$D$104),-0.5,0))</f>
        <v/>
      </c>
      <c r="T9" s="416" t="n"/>
      <c r="U9" s="417" t="n"/>
      <c r="V9" s="417" t="n"/>
      <c r="W9" s="417" t="n"/>
      <c r="X9" s="602">
        <f>SUM(IF(T9=T$5,4,0),IF(T9&amp;U9=T$5&amp;U$5,1,0),
IF(AND(T9=T$5,U$6&gt;=$D$115),1,0),
IF(AND(U9=T$5,U$6&gt;=$D$115),1,0),
IF(AND(V9=T$5,U$6&gt;=$D$115),1,0),
IF(T9&amp;W9=X$5,1,0),
IF(U9=T$5,2,0),
IF(V9=T$5,1,0),
IF(OR(T9&amp;U9&amp;V9=T$5&amp;U$5&amp;V$5,T9&amp;U9&amp;V9=T$5&amp;V$5&amp;U$5,T9&amp;U9&amp;V9=U$5&amp;T$5&amp;V$5,T9&amp;U9&amp;V9=U$5&amp;V$5&amp;T$5,T9&amp;U9&amp;V9=V$5&amp;T$5&amp;U$5,T9&amp;U9&amp;V9=V$5&amp;U$5&amp;T$5),2,0),IF(AND(T9=T$5,U$6&gt;=$D$129),1,0),IF(AND(U9=T$5,U$6&gt;=$D$129),1,0),IF(AND(V9=T$5,U$6&gt;=$D$129),1,0),IF(T9&amp;W9=W$5,4,0),IF(AND(T9=T$5,U$6&lt;=$D$104),-0.5,0),IF(AND(U9=T$5,U$6&lt;=$D$104),-0.5,0),IF(AND(V9=T$5,U$6&lt;=$D$104),-0.5,0))</f>
        <v/>
      </c>
      <c r="Y9" s="416" t="n"/>
      <c r="Z9" s="417" t="n"/>
      <c r="AA9" s="417" t="n"/>
      <c r="AB9" s="417" t="n"/>
      <c r="AC9" s="602">
        <f>SUM(IF(Y9=Y$5,4,0),IF(Y9&amp;Z9=Y$5&amp;Z$5,1,0),
IF(AND(Y9=Y$5,Z$6&gt;=$D$115),1,0),
IF(AND(Z9=Y$5,Z$6&gt;=$D$115),1,0),
IF(AND(AA9=Y$5,Z$6&gt;=$D$115),1,0),
IF(Y9&amp;AB9=AC$5,1,0),
IF(Z9=Y$5,2,0),
IF(AA9=Y$5,1,0),
IF(OR(Y9&amp;Z9&amp;AA9=Y$5&amp;Z$5&amp;AA$5,Y9&amp;Z9&amp;AA9=Y$5&amp;AA$5&amp;Z$5,Y9&amp;Z9&amp;AA9=Z$5&amp;Y$5&amp;AA$5,Y9&amp;Z9&amp;AA9=Z$5&amp;AA$5&amp;Y$5,Y9&amp;Z9&amp;AA9=AA$5&amp;Y$5&amp;Z$5,Y9&amp;Z9&amp;AA9=AA$5&amp;Z$5&amp;Y$5),2,0),IF(AND(Y9=Y$5,Z$6&gt;=$D$129),1,0),IF(AND(Z9=Y$5,Z$6&gt;=$D$129),1,0),IF(AND(AA9=Y$5,Z$6&gt;=$D$129),1,0),IF(Y9&amp;AB9=AB$5,4,0),IF(AND(Y9=Y$5,Z$6&lt;=$D$104),-0.5,0),IF(AND(Z9=Y$5,Z$6&lt;=$D$104),-0.5,0),IF(AND(AA9=Y$5,Z$6&lt;=$D$104),-0.5,0))</f>
        <v/>
      </c>
      <c r="AD9" s="416" t="n"/>
      <c r="AE9" s="417" t="n"/>
      <c r="AF9" s="417" t="n"/>
      <c r="AG9" s="417" t="n"/>
      <c r="AH9" s="602">
        <f>SUM(IF(AD9=AD$5,4,0),IF(AD9&amp;AE9=AD$5&amp;AE$5,1,0),
IF(AND(AD9=AD$5,AE$6&gt;=$D$115),1,0),
IF(AND(AE9=AD$5,AE$6&gt;=$D$115),1,0),
IF(AND(AF9=AD$5,AE$6&gt;=$D$115),1,0),
IF(AD9&amp;AG9=AH$5,1,0),
IF(AE9=AD$5,2,0),
IF(AF9=AD$5,1,0),
IF(OR(AD9&amp;AE9&amp;AF9=AD$5&amp;AE$5&amp;AF$5,AD9&amp;AE9&amp;AF9=AD$5&amp;AF$5&amp;AE$5,AD9&amp;AE9&amp;AF9=AE$5&amp;AD$5&amp;AF$5,AD9&amp;AE9&amp;AF9=AE$5&amp;AF$5&amp;AD$5,AD9&amp;AE9&amp;AF9=AF$5&amp;AD$5&amp;AE$5,AD9&amp;AE9&amp;AF9=AF$5&amp;AE$5&amp;AD$5),2,0),IF(AND(AD9=AD$5,AE$6&gt;=$D$129),1,0),IF(AND(AE9=AD$5,AE$6&gt;=$D$129),1,0),IF(AND(AF9=AD$5,AE$6&gt;=$D$129),1,0),IF(AD9&amp;AG9=AG$5,4,0),IF(AND(AD9=AD$5,AE$6&lt;=$D$104),-0.5,0),IF(AND(AE9=AD$5,AE$6&lt;=$D$104),-0.5,0),IF(AND(AF9=AD$5,AE$6&lt;=$D$104),-0.5,0))</f>
        <v/>
      </c>
      <c r="AI9" s="416" t="n"/>
      <c r="AJ9" s="417" t="n"/>
      <c r="AK9" s="417" t="n"/>
      <c r="AL9" s="417" t="n"/>
      <c r="AM9" s="602">
        <f>SUM(IF(AI9=AI$5,4,0),IF(AI9&amp;AJ9=AI$5&amp;AJ$5,1,0),
IF(AND(AI9=AI$5,AJ$6&gt;=$D$115),1,0),
IF(AND(AJ9=AI$5,AJ$6&gt;=$D$115),1,0),
IF(AND(AK9=AI$5,AJ$6&gt;=$D$115),1,0),
IF(AI9&amp;AL9=AM$5,1,0),
IF(AJ9=AI$5,2,0),
IF(AK9=AI$5,1,0),
IF(OR(AI9&amp;AJ9&amp;AK9=AI$5&amp;AJ$5&amp;AK$5,AI9&amp;AJ9&amp;AK9=AI$5&amp;AK$5&amp;AJ$5,AI9&amp;AJ9&amp;AK9=AJ$5&amp;AI$5&amp;AK$5,AI9&amp;AJ9&amp;AK9=AJ$5&amp;AK$5&amp;AI$5,AI9&amp;AJ9&amp;AK9=AK$5&amp;AI$5&amp;AJ$5,AI9&amp;AJ9&amp;AK9=AK$5&amp;AJ$5&amp;AI$5),2,0),IF(AND(AI9=AI$5,AJ$6&gt;=$D$129),1,0),IF(AND(AJ9=AI$5,AJ$6&gt;=$D$129),1,0),IF(AND(AK9=AI$5,AJ$6&gt;=$D$129),1,0),IF(AI9&amp;AL9=AL$5,4,0),IF(AND(AI9=AI$5,AJ$6&lt;=$D$104),-0.5,0),IF(AND(AJ9=AI$5,AJ$6&lt;=$D$104),-0.5,0),IF(AND(AK9=AI$5,AJ$6&lt;=$D$104),-0.5,0))</f>
        <v/>
      </c>
      <c r="AN9" s="416" t="n"/>
      <c r="AO9" s="417" t="n"/>
      <c r="AP9" s="417" t="n"/>
      <c r="AQ9" s="417" t="n"/>
      <c r="AR9" s="602">
        <f>SUM(IF(AN9=AN$5,4,0),IF(AN9&amp;AO9=AN$5&amp;AO$5,1,0),
IF(AND(AN9=AN$5,AO$6&gt;=$D$115),1,0),
IF(AND(AO9=AN$5,AO$6&gt;=$D$115),1,0),
IF(AND(AP9=AN$5,AO$6&gt;=$D$115),1,0),
IF(AN9&amp;AQ9=AR$5,1,0),
IF(AO9=AN$5,2,0),
IF(AP9=AN$5,1,0),
IF(OR(AN9&amp;AO9&amp;AP9=AN$5&amp;AO$5&amp;AP$5,AN9&amp;AO9&amp;AP9=AN$5&amp;AP$5&amp;AO$5,AN9&amp;AO9&amp;AP9=AO$5&amp;AN$5&amp;AP$5,AN9&amp;AO9&amp;AP9=AO$5&amp;AP$5&amp;AN$5,AN9&amp;AO9&amp;AP9=AP$5&amp;AN$5&amp;AO$5,AN9&amp;AO9&amp;AP9=AP$5&amp;AO$5&amp;AN$5),2,0),IF(AND(AN9=AN$5,AO$6&gt;=$D$129),1,0),IF(AND(AO9=AN$5,AO$6&gt;=$D$129),1,0),IF(AND(AP9=AN$5,AO$6&gt;=$D$129),1,0),IF(AN9&amp;AQ9=AQ$5,4,0),IF(AND(AN9=AN$5,AO$6&lt;=$D$104),-0.5,0),IF(AND(AO9=AN$5,AO$6&lt;=$D$104),-0.5,0),IF(AND(AP9=AN$5,AO$6&lt;=$D$104),-0.5,0))</f>
        <v/>
      </c>
      <c r="AS9" s="416" t="n"/>
      <c r="AT9" s="417" t="n"/>
      <c r="AU9" s="417" t="n"/>
      <c r="AV9" s="417" t="n"/>
      <c r="AW9" s="602">
        <f>SUM(IF(AS9=AS$5,4,0),IF(AS9&amp;AT9=AS$5&amp;AT$5,1,0),
IF(AND(AS9=AS$5,AT$6&gt;=$D$115),1,0),
IF(AND(AT9=AS$5,AT$6&gt;=$D$115),1,0),
IF(AND(AU9=AS$5,AT$6&gt;=$D$115),1,0),
IF(AS9&amp;AV9=AW$5,1,0),
IF(AT9=AS$5,2,0),
IF(AU9=AS$5,1,0),
IF(OR(AS9&amp;AT9&amp;AU9=AS$5&amp;AT$5&amp;AU$5,AS9&amp;AT9&amp;AU9=AS$5&amp;AU$5&amp;AT$5,AS9&amp;AT9&amp;AU9=AT$5&amp;AS$5&amp;AU$5,AS9&amp;AT9&amp;AU9=AT$5&amp;AU$5&amp;AS$5,AS9&amp;AT9&amp;AU9=AU$5&amp;AS$5&amp;AT$5,AS9&amp;AT9&amp;AU9=AU$5&amp;AT$5&amp;AS$5),2,0),IF(AND(AS9=AS$5,AT$6&gt;=$D$129),1,0),IF(AND(AT9=AS$5,AT$6&gt;=$D$129),1,0),IF(AND(AU9=AS$5,AT$6&gt;=$D$129),1,0),IF(AS9&amp;AV9=AV$5,4,0),IF(AND(AS9=AS$5,AT$6&lt;=$D$104),-0.5,0),IF(AND(AT9=AS$5,AT$6&lt;=$D$104),-0.5,0),IF(AND(AU9=AS$5,AT$6&lt;=$D$104),-0.5,0))</f>
        <v/>
      </c>
      <c r="AX9" s="416" t="n"/>
      <c r="AY9" s="417" t="n"/>
      <c r="AZ9" s="417" t="n"/>
      <c r="BA9" s="417" t="n"/>
      <c r="BB9" s="602">
        <f>SUM(IF(AX9=AX$5,4,0),IF(AX9&amp;AY9=AX$5&amp;AY$5,1,0),
IF(AND(AX9=AX$5,AY$6&gt;=$D$115),1,0),
IF(AND(AY9=AX$5,AY$6&gt;=$D$115),1,0),
IF(AND(AZ9=AX$5,AY$6&gt;=$D$115),1,0),
IF(AX9&amp;BA9=BB$5,1,0),
IF(AY9=AX$5,2,0),
IF(AZ9=AX$5,1,0),
IF(OR(AX9&amp;AY9&amp;AZ9=AX$5&amp;AY$5&amp;AZ$5,AX9&amp;AY9&amp;AZ9=AX$5&amp;AZ$5&amp;AY$5,AX9&amp;AY9&amp;AZ9=AY$5&amp;AX$5&amp;AZ$5,AX9&amp;AY9&amp;AZ9=AY$5&amp;AZ$5&amp;AX$5,AX9&amp;AY9&amp;AZ9=AZ$5&amp;AX$5&amp;AY$5,AX9&amp;AY9&amp;AZ9=AZ$5&amp;AY$5&amp;AX$5),2,0),IF(AND(AX9=AX$5,AY$6&gt;=$D$129),1,0),IF(AND(AY9=AX$5,AY$6&gt;=$D$129),1,0),IF(AND(AZ9=AX$5,AY$6&gt;=$D$129),1,0),IF(AX9&amp;BA9=BA$5,4,0),IF(AND(AX9=AX$5,AY$6&lt;=$D$104),-0.5,0),IF(AND(AY9=AX$5,AY$6&lt;=$D$104),-0.5,0),IF(AND(AZ9=AX$5,AY$6&lt;=$D$104),-0.5,0))</f>
        <v/>
      </c>
      <c r="BC9" s="416" t="n"/>
      <c r="BD9" s="417" t="n"/>
      <c r="BE9" s="417" t="n"/>
      <c r="BF9" s="417" t="n"/>
      <c r="BG9" s="602">
        <f>SUM(IF(BC9=BC$5,4,0),IF(BC9&amp;BD9=BC$5&amp;BD$5,1,0),
IF(AND(BC9=BC$5,BD$6&gt;=$D$115),1,0),
IF(AND(BD9=BC$5,BD$6&gt;=$D$115),1,0),
IF(AND(BE9=BC$5,BD$6&gt;=$D$115),1,0),
IF(BC9&amp;BF9=BG$5,1,0),
IF(BD9=BC$5,2,0),
IF(BE9=BC$5,1,0),
IF(OR(BC9&amp;BD9&amp;BE9=BC$5&amp;BD$5&amp;BE$5,BC9&amp;BD9&amp;BE9=BC$5&amp;BE$5&amp;BD$5,BC9&amp;BD9&amp;BE9=BD$5&amp;BC$5&amp;BE$5,BC9&amp;BD9&amp;BE9=BD$5&amp;BE$5&amp;BC$5,BC9&amp;BD9&amp;BE9=BE$5&amp;BC$5&amp;BD$5,BC9&amp;BD9&amp;BE9=BE$5&amp;BD$5&amp;BC$5),2,0),IF(AND(BC9=BC$5,BD$6&gt;=$D$129),1,0),IF(AND(BD9=BC$5,BD$6&gt;=$D$129),1,0),IF(AND(BE9=BC$5,BD$6&gt;=$D$129),1,0),IF(BC9&amp;BF9=BF$5,4,0),IF(AND(BC9=BC$5,BD$6&lt;=$D$104),-0.5,0),IF(AND(BD9=BC$5,BD$6&lt;=$D$104),-0.5,0),IF(AND(BE9=BC$5,BD$6&lt;=$D$104),-0.5,0))</f>
        <v/>
      </c>
      <c r="BH9" s="416" t="n"/>
      <c r="BI9" s="417" t="n"/>
      <c r="BJ9" s="417" t="n"/>
      <c r="BK9" s="417" t="n"/>
      <c r="BL9" s="602">
        <f>SUM(IF(BH9=BH$5,4,0),IF(BH9&amp;BI9=BH$5&amp;BI$5,1,0),
IF(AND(BH9=BH$5,BI$6&gt;=$D$115),1,0),
IF(AND(BI9=BH$5,BI$6&gt;=$D$115),1,0),
IF(AND(BJ9=BH$5,BI$6&gt;=$D$115),1,0),
IF(BH9&amp;BK9=BL$5,1,0),
IF(BI9=BH$5,2,0),
IF(BJ9=BH$5,1,0),
IF(OR(BH9&amp;BI9&amp;BJ9=BH$5&amp;BI$5&amp;BJ$5,BH9&amp;BI9&amp;BJ9=BH$5&amp;BJ$5&amp;BI$5,BH9&amp;BI9&amp;BJ9=BI$5&amp;BH$5&amp;BJ$5,BH9&amp;BI9&amp;BJ9=BI$5&amp;BJ$5&amp;BH$5,BH9&amp;BI9&amp;BJ9=BJ$5&amp;BH$5&amp;BI$5,BH9&amp;BI9&amp;BJ9=BJ$5&amp;BI$5&amp;BH$5),2,0),IF(AND(BH9=BH$5,BI$6&gt;=$D$129),1,0),IF(AND(BI9=BH$5,BI$6&gt;=$D$129),1,0),IF(AND(BJ9=BH$5,BI$6&gt;=$D$129),1,0),IF(BH9&amp;BK9=BK$5,4,0),IF(AND(BH9=BH$5,BI$6&lt;=$D$104),-0.5,0),IF(AND(BI9=BH$5,BI$6&lt;=$D$104),-0.5,0),IF(AND(BJ9=BH$5,BI$6&lt;=$D$104),-0.5,0))</f>
        <v/>
      </c>
      <c r="BM9" s="416" t="n"/>
      <c r="BN9" s="417" t="n"/>
      <c r="BO9" s="417" t="n"/>
      <c r="BP9" s="417" t="n"/>
      <c r="BQ9" s="602">
        <f>SUM(IF(BM9=BM$5,4,0),IF(BM9&amp;BN9=BM$5&amp;BN$5,1,0),
IF(AND(BM9=BM$5,BN$6&gt;=$D$115),1,0),
IF(AND(BN9=BM$5,BN$6&gt;=$D$115),1,0),
IF(AND(BO9=BM$5,BN$6&gt;=$D$115),1,0),
IF(BM9&amp;BP9=BQ$5,1,0),
IF(BN9=BM$5,2,0),
IF(BO9=BM$5,1,0),
IF(OR(BM9&amp;BN9&amp;BO9=BM$5&amp;BN$5&amp;BO$5,BM9&amp;BN9&amp;BO9=BM$5&amp;BO$5&amp;BN$5,BM9&amp;BN9&amp;BO9=BN$5&amp;BM$5&amp;BO$5,BM9&amp;BN9&amp;BO9=BN$5&amp;BO$5&amp;BM$5,BM9&amp;BN9&amp;BO9=BO$5&amp;BM$5&amp;BN$5,BM9&amp;BN9&amp;BO9=BO$5&amp;BN$5&amp;BM$5),2,0),IF(AND(BM9=BM$5,BN$6&gt;=$D$129),1,0),IF(AND(BN9=BM$5,BN$6&gt;=$D$129),1,0),IF(AND(BO9=BM$5,BN$6&gt;=$D$129),1,0),IF(BM9&amp;BP9=BP$5,4,0),IF(AND(BM9=BM$5,BN$6&lt;=$D$104),-0.5,0),IF(AND(BN9=BM$5,BN$6&lt;=$D$104),-0.5,0),IF(AND(BO9=BM$5,BN$6&lt;=$D$104),-0.5,0))</f>
        <v/>
      </c>
      <c r="BR9" s="416" t="n"/>
      <c r="BS9" s="417" t="n"/>
      <c r="BT9" s="417" t="n"/>
      <c r="BU9" s="417" t="n"/>
      <c r="BV9" s="602">
        <f>SUM(IF(BR9=BR$5,4,0),IF(BR9&amp;BS9=BR$5&amp;BS$5,1,0),
IF(AND(BR9=BR$5,BS$6&gt;=$D$115),1,0),
IF(AND(BS9=BR$5,BS$6&gt;=$D$115),1,0),
IF(AND(BT9=BR$5,BS$6&gt;=$D$115),1,0),
IF(BR9&amp;BU9=BV$5,1,0),
IF(BS9=BR$5,2,0),
IF(BT9=BR$5,1,0),
IF(OR(BR9&amp;BS9&amp;BT9=BR$5&amp;BS$5&amp;BT$5,BR9&amp;BS9&amp;BT9=BR$5&amp;BT$5&amp;BS$5,BR9&amp;BS9&amp;BT9=BS$5&amp;BR$5&amp;BT$5,BR9&amp;BS9&amp;BT9=BS$5&amp;BT$5&amp;BR$5,BR9&amp;BS9&amp;BT9=BT$5&amp;BR$5&amp;BS$5,BR9&amp;BS9&amp;BT9=BT$5&amp;BS$5&amp;BR$5),2,0),IF(AND(BR9=BR$5,BS$6&gt;=$D$129),1,0),IF(AND(BS9=BR$5,BS$6&gt;=$D$129),1,0),IF(AND(BT9=BR$5,BS$6&gt;=$D$129),1,0),IF(BR9&amp;BU9=BU$5,4,0),IF(AND(BR9=BR$5,BS$6&lt;=$D$104),-0.5,0),IF(AND(BS9=BR$5,BS$6&lt;=$D$104),-0.5,0),IF(AND(BT9=BR$5,BS$6&lt;=$D$104),-0.5,0))</f>
        <v/>
      </c>
      <c r="BW9" s="416" t="n"/>
      <c r="BX9" s="417" t="n"/>
      <c r="BY9" s="417" t="n"/>
      <c r="BZ9" s="417" t="n"/>
      <c r="CA9" s="602">
        <f>SUM(IF(BW9=BW$5,4,0),IF(BW9&amp;BX9=BW$5&amp;BX$5,1,0),
IF(AND(BW9=BW$5,BX$6&gt;=$D$115),1,0),
IF(AND(BX9=BW$5,BX$6&gt;=$D$115),1,0),
IF(AND(BY9=BW$5,BX$6&gt;=$D$115),1,0),
IF(BW9&amp;BZ9=CA$5,1,0),
IF(BX9=BW$5,2,0),
IF(BY9=BW$5,1,0),
IF(OR(BW9&amp;BX9&amp;BY9=BW$5&amp;BX$5&amp;BY$5,BW9&amp;BX9&amp;BY9=BW$5&amp;BY$5&amp;BX$5,BW9&amp;BX9&amp;BY9=BX$5&amp;BW$5&amp;BY$5,BW9&amp;BX9&amp;BY9=BX$5&amp;BY$5&amp;BW$5,BW9&amp;BX9&amp;BY9=BY$5&amp;BW$5&amp;BX$5,BW9&amp;BX9&amp;BY9=BY$5&amp;BX$5&amp;BW$5),2,0),IF(AND(BW9=BW$5,BX$6&gt;=$D$129),1,0),IF(AND(BX9=BW$5,BX$6&gt;=$D$129),1,0),IF(AND(BY9=BW$5,BX$6&gt;=$D$129),1,0),IF(BW9&amp;BZ9=BZ$5,4,0),IF(AND(BW9=BW$5,BX$6&lt;=$D$104),-0.5,0),IF(AND(BX9=BW$5,BX$6&lt;=$D$104),-0.5,0),IF(AND(BY9=BW$5,BX$6&lt;=$D$104),-0.5,0))</f>
        <v/>
      </c>
      <c r="CB9" s="416" t="n"/>
      <c r="CC9" s="417" t="n"/>
      <c r="CD9" s="417" t="n"/>
      <c r="CE9" s="417" t="n"/>
      <c r="CF9" s="602">
        <f>SUM(IF(CB9=CB$5,4,0),IF(CB9&amp;CC9=CB$5&amp;CC$5,1,0),
IF(AND(CB9=CB$5,CC$6&gt;=$D$115),1,0),
IF(AND(CC9=CB$5,CC$6&gt;=$D$115),1,0),
IF(AND(CD9=CB$5,CC$6&gt;=$D$115),1,0),
IF(CB9&amp;CE9=CF$5,1,0),
IF(CC9=CB$5,2,0),
IF(CD9=CB$5,1,0),
IF(OR(CB9&amp;CC9&amp;CD9=CB$5&amp;CC$5&amp;CD$5,CB9&amp;CC9&amp;CD9=CB$5&amp;CD$5&amp;CC$5,CB9&amp;CC9&amp;CD9=CC$5&amp;CB$5&amp;CD$5,CB9&amp;CC9&amp;CD9=CC$5&amp;CD$5&amp;CB$5,CB9&amp;CC9&amp;CD9=CD$5&amp;CB$5&amp;CC$5,CB9&amp;CC9&amp;CD9=CD$5&amp;CC$5&amp;CB$5),2,0),IF(AND(CB9=CB$5,CC$6&gt;=$D$129),1,0),IF(AND(CC9=CB$5,CC$6&gt;=$D$129),1,0),IF(AND(CD9=CB$5,CC$6&gt;=$D$129),1,0),IF(CB9&amp;CE9=CE$5,4,0),IF(AND(CB9=CB$5,CC$6&lt;=$D$104),-0.5,0),IF(AND(CC9=CB$5,CC$6&lt;=$D$104),-0.5,0),IF(AND(CD9=CB$5,CC$6&lt;=$D$104),-0.5,0))</f>
        <v/>
      </c>
      <c r="CG9" s="164">
        <f>IF(SEMANA29[[#This Row],[1]]="",0,$B$4)</f>
        <v/>
      </c>
      <c r="CH9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9" s="166">
        <f>IF(SEMANA29[[#This Row],[Columna14]]=0,0,(CH9/CG9))</f>
        <v/>
      </c>
      <c r="CJ9" s="165">
        <f>IF(SEMANA29[[#This Row],[1]]="",0,$B$4)</f>
        <v/>
      </c>
      <c r="CK9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9" s="166">
        <f>IF(SEMANA29[[#This Row],[Columna14]]=0,0,(CK9/CJ9))</f>
        <v/>
      </c>
      <c r="CM9" s="164">
        <f>IF(SEMANA29[[#This Row],[1]]="",0,$B$4)</f>
        <v/>
      </c>
      <c r="CN9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9" s="166">
        <f>IF(SEMANA29[[#This Row],[Columna14]]=0,0,(CN9/CM9))</f>
        <v/>
      </c>
      <c r="CP9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9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Row],[Columna25]],$AX$5,BA9,"SF")+COUNTIFS(SEMANA29[[#This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9" s="166">
        <f>IFERROR(IF(SEMANA29[[#This Row],[Columna14]]=0,0,(CQ9/CP9)),0)</f>
        <v/>
      </c>
      <c r="CS9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9" s="95">
        <f>_xlfn.XLOOKUP(SEMANA29[[#This Row],[COD]],SEMANA2[COD],SEMANA2[Columna33])</f>
        <v/>
      </c>
      <c r="CU9" s="604">
        <f>SUM(CS9,CT9)</f>
        <v/>
      </c>
      <c r="CV9" s="450">
        <f>IF(SEMANA29[[#This Row],[TIPO]]="PREMIO",$O$3,"0,00")</f>
        <v/>
      </c>
      <c r="CW9" s="576" t="n"/>
      <c r="CY9" s="393" t="n">
        <v>2</v>
      </c>
      <c r="CZ9" s="354">
        <f>K$6</f>
        <v/>
      </c>
      <c r="DB9" s="605">
        <f>SEMANA29[[#This Row],[COD]]</f>
        <v/>
      </c>
      <c r="DC9" s="395">
        <f t="array" ref="DC9">IFERROR(IF(AND(INDEX($E$8:$CE$57, MATCH($C9, $C$8:$C$57, 0), (COLUMNS($DC9:DC9)-1)*5 + 1) = INDEX($E$5:$CE$5, 1, (COLUMNS($DC9:DC9)-1)*5 + 1), INDEX($E$8:$CE$57, MATCH($C9, $C$8:$C$57, 0), (COLUMNS($DC9:DC9)-1)*5 + 4) = "F"), INDEX($CZ$8:$CZ$23, COLUMNS($DC9:DC9)), "0"), "")</f>
        <v/>
      </c>
      <c r="DD9" s="395">
        <f t="array" ref="DD9">IFERROR(IF(AND(INDEX($E$8:$CE$57, MATCH($C9, $C$8:$C$57, 0), (COLUMNS($DC9:DD9)-1)*5 + 1) = INDEX($E$5:$CE$5, 1, (COLUMNS($DC9:DD9)-1)*5 + 1), INDEX($E$8:$CE$57, MATCH($C9, $C$8:$C$57, 0), (COLUMNS($DC9:DD9)-1)*5 + 4) = "F"), INDEX($CZ$8:$CZ$23, COLUMNS($DC9:DD9)), "0"), "")</f>
        <v/>
      </c>
      <c r="DE9" s="395">
        <f t="array" ref="DE9">IFERROR(IF(AND(INDEX($E$8:$CE$57, MATCH($C9, $C$8:$C$57, 0), (COLUMNS($DC9:DE9)-1)*5 + 1) = INDEX($E$5:$CE$5, 1, (COLUMNS($DC9:DE9)-1)*5 + 1), INDEX($E$8:$CE$57, MATCH($C9, $C$8:$C$57, 0), (COLUMNS($DC9:DE9)-1)*5 + 4) = "F"), INDEX($CZ$8:$CZ$23, COLUMNS($DC9:DE9)), "0"), "")</f>
        <v/>
      </c>
      <c r="DF9" s="395">
        <f t="array" ref="DF9">IFERROR(IF(AND(INDEX($E$8:$CE$57, MATCH($C9, $C$8:$C$57, 0), (COLUMNS($DC9:DF9)-1)*5 + 1) = INDEX($E$5:$CE$5, 1, (COLUMNS($DC9:DF9)-1)*5 + 1), INDEX($E$8:$CE$57, MATCH($C9, $C$8:$C$57, 0), (COLUMNS($DC9:DF9)-1)*5 + 4) = "F"), INDEX($CZ$8:$CZ$23, COLUMNS($DC9:DF9)), "0"), "")</f>
        <v/>
      </c>
      <c r="DG9" s="395">
        <f t="array" ref="DG9">IFERROR(IF(AND(INDEX($E$8:$CE$57, MATCH($C9, $C$8:$C$57, 0), (COLUMNS($DC9:DG9)-1)*5 + 1) = INDEX($E$5:$CE$5, 1, (COLUMNS($DC9:DG9)-1)*5 + 1), INDEX($E$8:$CE$57, MATCH($C9, $C$8:$C$57, 0), (COLUMNS($DC9:DG9)-1)*5 + 4) = "F"), INDEX($CZ$8:$CZ$23, COLUMNS($DC9:DG9)), "0"), "")</f>
        <v/>
      </c>
      <c r="DH9" s="395">
        <f t="array" ref="DH9">IFERROR(IF(AND(INDEX($E$8:$CE$57, MATCH($C9, $C$8:$C$57, 0), (COLUMNS($DC9:DH9)-1)*5 + 1) = INDEX($E$5:$CE$5, 1, (COLUMNS($DC9:DH9)-1)*5 + 1), INDEX($E$8:$CE$57, MATCH($C9, $C$8:$C$57, 0), (COLUMNS($DC9:DH9)-1)*5 + 4) = "F"), INDEX($CZ$8:$CZ$23, COLUMNS($DC9:DH9)), "0"), "")</f>
        <v/>
      </c>
      <c r="DI9" s="395">
        <f t="array" ref="DI9">IFERROR(IF(AND(INDEX($E$8:$CE$57, MATCH($C9, $C$8:$C$57, 0), (COLUMNS($DC9:DI9)-1)*5 + 1) = INDEX($E$5:$CE$5, 1, (COLUMNS($DC9:DI9)-1)*5 + 1), INDEX($E$8:$CE$57, MATCH($C9, $C$8:$C$57, 0), (COLUMNS($DC9:DI9)-1)*5 + 4) = "F"), INDEX($CZ$8:$CZ$23, COLUMNS($DC9:DI9)), "0"), "")</f>
        <v/>
      </c>
      <c r="DJ9" s="395">
        <f t="array" ref="DJ9">IFERROR(IF(AND(INDEX($E$8:$CE$57, MATCH($C9, $C$8:$C$57, 0), (COLUMNS($DC9:DJ9)-1)*5 + 1) = INDEX($E$5:$CE$5, 1, (COLUMNS($DC9:DJ9)-1)*5 + 1), INDEX($E$8:$CE$57, MATCH($C9, $C$8:$C$57, 0), (COLUMNS($DC9:DJ9)-1)*5 + 4) = "F"), INDEX($CZ$8:$CZ$23, COLUMNS($DC9:DJ9)), "0"), "")</f>
        <v/>
      </c>
      <c r="DK9" s="395">
        <f t="array" ref="DK9">IFERROR(IF(AND(INDEX($E$8:$CE$57, MATCH($C9, $C$8:$C$57, 0), (COLUMNS($DC9:DK9)-1)*5 + 1) = INDEX($E$5:$CE$5, 1, (COLUMNS($DC9:DK9)-1)*5 + 1), INDEX($E$8:$CE$57, MATCH($C9, $C$8:$C$57, 0), (COLUMNS($DC9:DK9)-1)*5 + 4) = "F"), INDEX($CZ$8:$CZ$23, COLUMNS($DC9:DK9)), "0"), "")</f>
        <v/>
      </c>
      <c r="DL9" s="395">
        <f t="array" ref="DL9">IFERROR(IF(AND(INDEX($E$8:$CE$57, MATCH($C9, $C$8:$C$57, 0), (COLUMNS($DC9:DL9)-1)*5 + 1) = INDEX($E$5:$CE$5, 1, (COLUMNS($DC9:DL9)-1)*5 + 1), INDEX($E$8:$CE$57, MATCH($C9, $C$8:$C$57, 0), (COLUMNS($DC9:DL9)-1)*5 + 4) = "F"), INDEX($CZ$8:$CZ$23, COLUMNS($DC9:DL9)), "0"), "")</f>
        <v/>
      </c>
      <c r="DM9" s="395">
        <f t="array" ref="DM9">IFERROR(IF(AND(INDEX($E$8:$CE$57, MATCH($C9, $C$8:$C$57, 0), (COLUMNS($DC9:DM9)-1)*5 + 1) = INDEX($E$5:$CE$5, 1, (COLUMNS($DC9:DM9)-1)*5 + 1), INDEX($E$8:$CE$57, MATCH($C9, $C$8:$C$57, 0), (COLUMNS($DC9:DM9)-1)*5 + 4) = "F"), INDEX($CZ$8:$CZ$23, COLUMNS($DC9:DM9)), "0"), "")</f>
        <v/>
      </c>
      <c r="DN9" s="395">
        <f t="array" ref="DN9">IFERROR(IF(AND(INDEX($E$8:$CE$57, MATCH($C9, $C$8:$C$57, 0), (COLUMNS($DC9:DN9)-1)*5 + 1) = INDEX($E$5:$CE$5, 1, (COLUMNS($DC9:DN9)-1)*5 + 1), INDEX($E$8:$CE$57, MATCH($C9, $C$8:$C$57, 0), (COLUMNS($DC9:DN9)-1)*5 + 4) = "F"), INDEX($CZ$8:$CZ$23, COLUMNS($DC9:DN9)), "0"), "")</f>
        <v/>
      </c>
      <c r="DO9" s="395">
        <f t="array" ref="DO9">IFERROR(IF(AND(INDEX($E$8:$CE$57, MATCH($C9, $C$8:$C$57, 0), (COLUMNS($DC9:DO9)-1)*5 + 1) = INDEX($E$5:$CE$5, 1, (COLUMNS($DC9:DO9)-1)*5 + 1), INDEX($E$8:$CE$57, MATCH($C9, $C$8:$C$57, 0), (COLUMNS($DC9:DO9)-1)*5 + 4) = "F"), INDEX($CZ$8:$CZ$23, COLUMNS($DC9:DO9)), "0"), "")</f>
        <v/>
      </c>
      <c r="DP9" s="395">
        <f t="array" ref="DP9">IFERROR(IF(AND(INDEX($E$8:$CE$57, MATCH($C9, $C$8:$C$57, 0), (COLUMNS($DC9:DP9)-1)*5 + 1) = INDEX($E$5:$CE$5, 1, (COLUMNS($DC9:DP9)-1)*5 + 1), INDEX($E$8:$CE$57, MATCH($C9, $C$8:$C$57, 0), (COLUMNS($DC9:DP9)-1)*5 + 4) = "F"), INDEX($CZ$8:$CZ$23, COLUMNS($DC9:DP9)), "0"), "")</f>
        <v/>
      </c>
      <c r="DQ9" s="395">
        <f t="array" ref="DQ9">IFERROR(IF(AND(INDEX($E$8:$CE$57, MATCH($C9, $C$8:$C$57, 0), (COLUMNS($DC9:DQ9)-1)*5 + 1) = INDEX($E$5:$CE$5, 1, (COLUMNS($DC9:DQ9)-1)*5 + 1), INDEX($E$8:$CE$57, MATCH($C9, $C$8:$C$57, 0), (COLUMNS($DC9:DQ9)-1)*5 + 4) = "F"), INDEX($CZ$8:$CZ$23, COLUMNS($DC9:DQ9)), "0"), "")</f>
        <v/>
      </c>
      <c r="DR9" s="395">
        <f t="array" ref="DR9">IFERROR(IF(AND(INDEX($E$8:$CE$57, MATCH($C9, $C$8:$C$57, 0), (COLUMNS($DC9:DR9)-1)*5 + 1) = INDEX($E$5:$CE$5, 1, (COLUMNS($DC9:DR9)-1)*5 + 1), INDEX($E$8:$CE$57, MATCH($C9, $C$8:$C$57, 0), (COLUMNS($DC9:DR9)-1)*5 + 4) = "F"), INDEX($CZ$8:$CZ$23, COLUMNS($DC9:DR9)), "0"), "")</f>
        <v/>
      </c>
      <c r="DT9" s="605">
        <f>SEMANA29[[#This Row],[COD]]</f>
        <v/>
      </c>
      <c r="DU9" s="395">
        <f t="array" ref="DU9">IFERROR(IF(AND(INDEX($E$8:$CE$57, MATCH($C9, $C$8:$C$57, 0), (COLUMNS($DU9:DU9)-1)*5 + 1) = INDEX($E$5:$CE$5, 1, (COLUMNS($DU9:DU9)-1)*5 + 1), INDEX($E$8:$CE$57, MATCH($C9, $C$8:$C$57, 0), (COLUMNS($DU9:DU9)-1)*5 + 4) = "SF"), INDEX($CZ$8:$CZ$23, COLUMNS($DU9:DU9)), "0"), "")</f>
        <v/>
      </c>
      <c r="DV9" s="395">
        <f t="array" ref="DV9">IFERROR(IF(AND(INDEX($E$8:$CE$57, MATCH($C9, $C$8:$C$57, 0), (COLUMNS($DU9:DV9)-1)*5 + 1) = INDEX($E$5:$CE$5, 1, (COLUMNS($DU9:DV9)-1)*5 + 1), INDEX($E$8:$CE$57, MATCH($C9, $C$8:$C$57, 0), (COLUMNS($DU9:DV9)-1)*5 + 4) = "SF"), INDEX($CZ$8:$CZ$23, COLUMNS($DU9:DV9)), "0"), "")</f>
        <v/>
      </c>
      <c r="DW9" s="395">
        <f t="array" ref="DW9">IFERROR(IF(AND(INDEX($E$8:$CE$57, MATCH($C9, $C$8:$C$57, 0), (COLUMNS($DU9:DW9)-1)*5 + 1) = INDEX($E$5:$CE$5, 1, (COLUMNS($DU9:DW9)-1)*5 + 1), INDEX($E$8:$CE$57, MATCH($C9, $C$8:$C$57, 0), (COLUMNS($DU9:DW9)-1)*5 + 4) = "SF"), INDEX($CZ$8:$CZ$23, COLUMNS($DU9:DW9)), "0"), "")</f>
        <v/>
      </c>
      <c r="DX9" s="395">
        <f t="array" ref="DX9">IFERROR(IF(AND(INDEX($E$8:$CE$57, MATCH($C9, $C$8:$C$57, 0), (COLUMNS($DU9:DX9)-1)*5 + 1) = INDEX($E$5:$CE$5, 1, (COLUMNS($DU9:DX9)-1)*5 + 1), INDEX($E$8:$CE$57, MATCH($C9, $C$8:$C$57, 0), (COLUMNS($DU9:DX9)-1)*5 + 4) = "SF"), INDEX($CZ$8:$CZ$23, COLUMNS($DU9:DX9)), "0"), "")</f>
        <v/>
      </c>
      <c r="DY9" s="395">
        <f t="array" ref="DY9">IFERROR(IF(AND(INDEX($E$8:$CE$57, MATCH($C9, $C$8:$C$57, 0), (COLUMNS($DU9:DY9)-1)*5 + 1) = INDEX($E$5:$CE$5, 1, (COLUMNS($DU9:DY9)-1)*5 + 1), INDEX($E$8:$CE$57, MATCH($C9, $C$8:$C$57, 0), (COLUMNS($DU9:DY9)-1)*5 + 4) = "SF"), INDEX($CZ$8:$CZ$23, COLUMNS($DU9:DY9)), "0"), "")</f>
        <v/>
      </c>
      <c r="DZ9" s="395">
        <f t="array" ref="DZ9">IFERROR(IF(AND(INDEX($E$8:$CE$57, MATCH($C9, $C$8:$C$57, 0), (COLUMNS($DU9:DZ9)-1)*5 + 1) = INDEX($E$5:$CE$5, 1, (COLUMNS($DU9:DZ9)-1)*5 + 1), INDEX($E$8:$CE$57, MATCH($C9, $C$8:$C$57, 0), (COLUMNS($DU9:DZ9)-1)*5 + 4) = "SF"), INDEX($CZ$8:$CZ$23, COLUMNS($DU9:DZ9)), "0"), "")</f>
        <v/>
      </c>
      <c r="EA9" s="395">
        <f t="array" ref="EA9">IFERROR(IF(AND(INDEX($E$8:$CE$57, MATCH($C9, $C$8:$C$57, 0), (COLUMNS($DU9:EA9)-1)*5 + 1) = INDEX($E$5:$CE$5, 1, (COLUMNS($DU9:EA9)-1)*5 + 1), INDEX($E$8:$CE$57, MATCH($C9, $C$8:$C$57, 0), (COLUMNS($DU9:EA9)-1)*5 + 4) = "SF"), INDEX($CZ$8:$CZ$23, COLUMNS($DU9:EA9)), "0"), "")</f>
        <v/>
      </c>
      <c r="EB9" s="395">
        <f t="array" ref="EB9">IFERROR(IF(AND(INDEX($E$8:$CE$57, MATCH($C9, $C$8:$C$57, 0), (COLUMNS($DU9:EB9)-1)*5 + 1) = INDEX($E$5:$CE$5, 1, (COLUMNS($DU9:EB9)-1)*5 + 1), INDEX($E$8:$CE$57, MATCH($C9, $C$8:$C$57, 0), (COLUMNS($DU9:EB9)-1)*5 + 4) = "SF"), INDEX($CZ$8:$CZ$23, COLUMNS($DU9:EB9)), "0"), "")</f>
        <v/>
      </c>
      <c r="EC9" s="395">
        <f t="array" ref="EC9">IFERROR(IF(AND(INDEX($E$8:$CE$57, MATCH($C9, $C$8:$C$57, 0), (COLUMNS($DU9:EC9)-1)*5 + 1) = INDEX($E$5:$CE$5, 1, (COLUMNS($DU9:EC9)-1)*5 + 1), INDEX($E$8:$CE$57, MATCH($C9, $C$8:$C$57, 0), (COLUMNS($DU9:EC9)-1)*5 + 4) = "SF"), INDEX($CZ$8:$CZ$23, COLUMNS($DU9:EC9)), "0"), "")</f>
        <v/>
      </c>
      <c r="ED9" s="395">
        <f t="array" ref="ED9">IFERROR(IF(AND(INDEX($E$8:$CE$57, MATCH($C9, $C$8:$C$57, 0), (COLUMNS($DU9:ED9)-1)*5 + 1) = INDEX($E$5:$CE$5, 1, (COLUMNS($DU9:ED9)-1)*5 + 1), INDEX($E$8:$CE$57, MATCH($C9, $C$8:$C$57, 0), (COLUMNS($DU9:ED9)-1)*5 + 4) = "SF"), INDEX($CZ$8:$CZ$23, COLUMNS($DU9:ED9)), "0"), "")</f>
        <v/>
      </c>
      <c r="EE9" s="395">
        <f t="array" ref="EE9">IFERROR(IF(AND(INDEX($E$8:$CE$57, MATCH($C9, $C$8:$C$57, 0), (COLUMNS($DU9:EE9)-1)*5 + 1) = INDEX($E$5:$CE$5, 1, (COLUMNS($DU9:EE9)-1)*5 + 1), INDEX($E$8:$CE$57, MATCH($C9, $C$8:$C$57, 0), (COLUMNS($DU9:EE9)-1)*5 + 4) = "SF"), INDEX($CZ$8:$CZ$23, COLUMNS($DU9:EE9)), "0"), "")</f>
        <v/>
      </c>
      <c r="EF9" s="395">
        <f t="array" ref="EF9">IFERROR(IF(AND(INDEX($E$8:$CE$57, MATCH($C9, $C$8:$C$57, 0), (COLUMNS($DU9:EF9)-1)*5 + 1) = INDEX($E$5:$CE$5, 1, (COLUMNS($DU9:EF9)-1)*5 + 1), INDEX($E$8:$CE$57, MATCH($C9, $C$8:$C$57, 0), (COLUMNS($DU9:EF9)-1)*5 + 4) = "SF"), INDEX($CZ$8:$CZ$23, COLUMNS($DU9:EF9)), "0"), "")</f>
        <v/>
      </c>
      <c r="EG9" s="395">
        <f t="array" ref="EG9">IFERROR(IF(AND(INDEX($E$8:$CE$57, MATCH($C9, $C$8:$C$57, 0), (COLUMNS($DU9:EG9)-1)*5 + 1) = INDEX($E$5:$CE$5, 1, (COLUMNS($DU9:EG9)-1)*5 + 1), INDEX($E$8:$CE$57, MATCH($C9, $C$8:$C$57, 0), (COLUMNS($DU9:EG9)-1)*5 + 4) = "SF"), INDEX($CZ$8:$CZ$23, COLUMNS($DU9:EG9)), "0"), "")</f>
        <v/>
      </c>
      <c r="EH9" s="395">
        <f t="array" ref="EH9">IFERROR(IF(AND(INDEX($E$8:$CE$57, MATCH($C9, $C$8:$C$57, 0), (COLUMNS($DU9:EH9)-1)*5 + 1) = INDEX($E$5:$CE$5, 1, (COLUMNS($DU9:EH9)-1)*5 + 1), INDEX($E$8:$CE$57, MATCH($C9, $C$8:$C$57, 0), (COLUMNS($DU9:EH9)-1)*5 + 4) = "SF"), INDEX($CZ$8:$CZ$23, COLUMNS($DU9:EH9)), "0"), "")</f>
        <v/>
      </c>
      <c r="EI9" s="395">
        <f t="array" ref="EI9">IFERROR(IF(AND(INDEX($E$8:$CE$57, MATCH($C9, $C$8:$C$57, 0), (COLUMNS($DU9:EI9)-1)*5 + 1) = INDEX($E$5:$CE$5, 1, (COLUMNS($DU9:EI9)-1)*5 + 1), INDEX($E$8:$CE$57, MATCH($C9, $C$8:$C$57, 0), (COLUMNS($DU9:EI9)-1)*5 + 4) = "SF"), INDEX($CZ$8:$CZ$23, COLUMNS($DU9:EI9)), "0"), "")</f>
        <v/>
      </c>
      <c r="EJ9" s="395">
        <f t="array" ref="EJ9">IFERROR(IF(AND(INDEX($E$8:$CE$57, MATCH($C9, $C$8:$C$57, 0), (COLUMNS($DU9:EJ9)-1)*5 + 1) = INDEX($E$5:$CE$5, 1, (COLUMNS($DU9:EJ9)-1)*5 + 1), INDEX($E$8:$CE$57, MATCH($C9, $C$8:$C$57, 0), (COLUMNS($DU9:EJ9)-1)*5 + 4) = "SF"), INDEX($CZ$8:$CZ$23, COLUMNS($DU9:EJ9)), "0"), "")</f>
        <v/>
      </c>
    </row>
    <row r="10" ht="20.1" customHeight="1" s="568">
      <c r="A10" s="576" t="n"/>
      <c r="B10" s="449">
        <f>IF(SEMANA29[[#This Row],[COD]]&lt;&gt;"",B9+1,"")</f>
        <v/>
      </c>
      <c r="C10" s="622" t="inlineStr">
        <is>
          <t>COD 03</t>
        </is>
      </c>
      <c r="D10" s="415">
        <f t="array" ref="D10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0" s="416" t="n"/>
      <c r="F10" s="418" t="n"/>
      <c r="G10" s="418" t="n"/>
      <c r="H10" s="418" t="n"/>
      <c r="I10" s="602">
        <f>SUM(IF(E10=E$5,4,0),IF(E10&amp;F10=E$5&amp;F$5,1,0),
IF(AND(E10=E$5,F$6&gt;=$D$115),1,0),
IF(AND(F10=E$5,F$6&gt;=$D$115),1,0),
IF(AND(G10=E$5,F$6&gt;=$D$115),1,0),
IF(E10&amp;H10=I$5,1,0),
IF(F10=E$5,2,0),
IF(G10=E$5,1,0),
IF(OR(E10&amp;F10&amp;G10=E$5&amp;F$5&amp;G$5,E10&amp;F10&amp;G10=E$5&amp;G$5&amp;F$5,E10&amp;F10&amp;G10=F$5&amp;E$5&amp;G$5,E10&amp;F10&amp;G10=F$5&amp;G$5&amp;E$5,E10&amp;F10&amp;G10=G$5&amp;E$5&amp;F$5,E10&amp;F10&amp;G10=G$5&amp;F$5&amp;E$5),2,0),IF(AND(E10=E$5,F$6&gt;=$D$129),1,0),IF(AND(F10=E$5,F$6&gt;=$D$129),1,0),IF(AND(G10=E$5,F$6&gt;=$D$129),1,0),IF(E10&amp;H10=H$5,4,0),IF(AND(E10=E$5,F$6&lt;=$D$104),-0.5,0),IF(AND(F10=E$5,F$6&lt;=$D$104),-0.5,0),IF(AND(G10=E$5,F$6&lt;=$D$104),-0.5,0))</f>
        <v/>
      </c>
      <c r="J10" s="416" t="n"/>
      <c r="K10" s="418" t="n"/>
      <c r="L10" s="418" t="n"/>
      <c r="M10" s="418" t="n"/>
      <c r="N10" s="602">
        <f>SUM(IF(J10=J$5,4,0),IF(J10&amp;K10=J$5&amp;K$5,1,0),
IF(AND(J10=J$5,K$6&gt;=$D$115),1,0),
IF(AND(K10=J$5,K$6&gt;=$D$115),1,0),
IF(AND(L10=J$5,K$6&gt;=$D$115),1,0),
IF(J10&amp;M10=N$5,1,0),
IF(K10=J$5,2,0),
IF(L10=J$5,1,0),
IF(OR(J10&amp;K10&amp;L10=J$5&amp;K$5&amp;L$5,J10&amp;K10&amp;L10=J$5&amp;L$5&amp;K$5,J10&amp;K10&amp;L10=K$5&amp;J$5&amp;L$5,J10&amp;K10&amp;L10=K$5&amp;L$5&amp;J$5,J10&amp;K10&amp;L10=L$5&amp;J$5&amp;K$5,J10&amp;K10&amp;L10=L$5&amp;K$5&amp;J$5),2,0),IF(AND(J10=J$5,K$6&gt;=$D$129),1,0),IF(AND(K10=J$5,K$6&gt;=$D$129),1,0),IF(AND(L10=J$5,K$6&gt;=$D$129),1,0),IF(J10&amp;M10=M$5,4,0),IF(AND(J10=J$5,K$6&lt;=$D$104),-0.5,0),IF(AND(K10=J$5,K$6&lt;=$D$104),-0.5,0),IF(AND(L10=J$5,K$6&lt;=$D$104),-0.5,0))</f>
        <v/>
      </c>
      <c r="O10" s="416" t="n"/>
      <c r="P10" s="418" t="n"/>
      <c r="Q10" s="418" t="n"/>
      <c r="R10" s="418" t="n"/>
      <c r="S10" s="602">
        <f>SUM(IF(O10=O$5,4,0),IF(O10&amp;P10=O$5&amp;P$5,1,0),
IF(AND(O10=O$5,P$6&gt;=$D$115),1,0),
IF(AND(P10=O$5,P$6&gt;=$D$115),1,0),
IF(AND(Q10=O$5,P$6&gt;=$D$115),1,0),
IF(O10&amp;R10=S$5,1,0),
IF(P10=O$5,2,0),
IF(Q10=O$5,1,0),
IF(OR(O10&amp;P10&amp;Q10=O$5&amp;P$5&amp;Q$5,O10&amp;P10&amp;Q10=O$5&amp;Q$5&amp;P$5,O10&amp;P10&amp;Q10=P$5&amp;O$5&amp;Q$5,O10&amp;P10&amp;Q10=P$5&amp;Q$5&amp;O$5,O10&amp;P10&amp;Q10=Q$5&amp;O$5&amp;P$5,O10&amp;P10&amp;Q10=Q$5&amp;P$5&amp;O$5),2,0),IF(AND(O10=O$5,P$6&gt;=$D$129),1,0),IF(AND(P10=O$5,P$6&gt;=$D$129),1,0),IF(AND(Q10=O$5,P$6&gt;=$D$129),1,0),IF(O10&amp;R10=R$5,4,0),IF(AND(O10=O$5,P$6&lt;=$D$104),-0.5,0),IF(AND(P10=O$5,P$6&lt;=$D$104),-0.5,0),IF(AND(Q10=O$5,P$6&lt;=$D$104),-0.5,0))</f>
        <v/>
      </c>
      <c r="T10" s="416" t="n"/>
      <c r="U10" s="418" t="n"/>
      <c r="V10" s="418" t="n"/>
      <c r="W10" s="418" t="n"/>
      <c r="X10" s="602">
        <f>SUM(IF(T10=T$5,4,0),IF(T10&amp;U10=T$5&amp;U$5,1,0),
IF(AND(T10=T$5,U$6&gt;=$D$115),1,0),
IF(AND(U10=T$5,U$6&gt;=$D$115),1,0),
IF(AND(V10=T$5,U$6&gt;=$D$115),1,0),
IF(T10&amp;W10=X$5,1,0),
IF(U10=T$5,2,0),
IF(V10=T$5,1,0),
IF(OR(T10&amp;U10&amp;V10=T$5&amp;U$5&amp;V$5,T10&amp;U10&amp;V10=T$5&amp;V$5&amp;U$5,T10&amp;U10&amp;V10=U$5&amp;T$5&amp;V$5,T10&amp;U10&amp;V10=U$5&amp;V$5&amp;T$5,T10&amp;U10&amp;V10=V$5&amp;T$5&amp;U$5,T10&amp;U10&amp;V10=V$5&amp;U$5&amp;T$5),2,0),IF(AND(T10=T$5,U$6&gt;=$D$129),1,0),IF(AND(U10=T$5,U$6&gt;=$D$129),1,0),IF(AND(V10=T$5,U$6&gt;=$D$129),1,0),IF(T10&amp;W10=W$5,4,0),IF(AND(T10=T$5,U$6&lt;=$D$104),-0.5,0),IF(AND(U10=T$5,U$6&lt;=$D$104),-0.5,0),IF(AND(V10=T$5,U$6&lt;=$D$104),-0.5,0))</f>
        <v/>
      </c>
      <c r="Y10" s="416" t="n"/>
      <c r="Z10" s="418" t="n"/>
      <c r="AA10" s="418" t="n"/>
      <c r="AB10" s="418" t="n"/>
      <c r="AC10" s="602">
        <f>SUM(IF(Y10=Y$5,4,0),IF(Y10&amp;Z10=Y$5&amp;Z$5,1,0),
IF(AND(Y10=Y$5,Z$6&gt;=$D$115),1,0),
IF(AND(Z10=Y$5,Z$6&gt;=$D$115),1,0),
IF(AND(AA10=Y$5,Z$6&gt;=$D$115),1,0),
IF(Y10&amp;AB10=AC$5,1,0),
IF(Z10=Y$5,2,0),
IF(AA10=Y$5,1,0),
IF(OR(Y10&amp;Z10&amp;AA10=Y$5&amp;Z$5&amp;AA$5,Y10&amp;Z10&amp;AA10=Y$5&amp;AA$5&amp;Z$5,Y10&amp;Z10&amp;AA10=Z$5&amp;Y$5&amp;AA$5,Y10&amp;Z10&amp;AA10=Z$5&amp;AA$5&amp;Y$5,Y10&amp;Z10&amp;AA10=AA$5&amp;Y$5&amp;Z$5,Y10&amp;Z10&amp;AA10=AA$5&amp;Z$5&amp;Y$5),2,0),IF(AND(Y10=Y$5,Z$6&gt;=$D$129),1,0),IF(AND(Z10=Y$5,Z$6&gt;=$D$129),1,0),IF(AND(AA10=Y$5,Z$6&gt;=$D$129),1,0),IF(Y10&amp;AB10=AB$5,4,0),IF(AND(Y10=Y$5,Z$6&lt;=$D$104),-0.5,0),IF(AND(Z10=Y$5,Z$6&lt;=$D$104),-0.5,0),IF(AND(AA10=Y$5,Z$6&lt;=$D$104),-0.5,0))</f>
        <v/>
      </c>
      <c r="AD10" s="416" t="n"/>
      <c r="AE10" s="418" t="n"/>
      <c r="AF10" s="418" t="n"/>
      <c r="AG10" s="418" t="n"/>
      <c r="AH10" s="602">
        <f>SUM(IF(AD10=AD$5,4,0),IF(AD10&amp;AE10=AD$5&amp;AE$5,1,0),
IF(AND(AD10=AD$5,AE$6&gt;=$D$115),1,0),
IF(AND(AE10=AD$5,AE$6&gt;=$D$115),1,0),
IF(AND(AF10=AD$5,AE$6&gt;=$D$115),1,0),
IF(AD10&amp;AG10=AH$5,1,0),
IF(AE10=AD$5,2,0),
IF(AF10=AD$5,1,0),
IF(OR(AD10&amp;AE10&amp;AF10=AD$5&amp;AE$5&amp;AF$5,AD10&amp;AE10&amp;AF10=AD$5&amp;AF$5&amp;AE$5,AD10&amp;AE10&amp;AF10=AE$5&amp;AD$5&amp;AF$5,AD10&amp;AE10&amp;AF10=AE$5&amp;AF$5&amp;AD$5,AD10&amp;AE10&amp;AF10=AF$5&amp;AD$5&amp;AE$5,AD10&amp;AE10&amp;AF10=AF$5&amp;AE$5&amp;AD$5),2,0),IF(AND(AD10=AD$5,AE$6&gt;=$D$129),1,0),IF(AND(AE10=AD$5,AE$6&gt;=$D$129),1,0),IF(AND(AF10=AD$5,AE$6&gt;=$D$129),1,0),IF(AD10&amp;AG10=AG$5,4,0),IF(AND(AD10=AD$5,AE$6&lt;=$D$104),-0.5,0),IF(AND(AE10=AD$5,AE$6&lt;=$D$104),-0.5,0),IF(AND(AF10=AD$5,AE$6&lt;=$D$104),-0.5,0))</f>
        <v/>
      </c>
      <c r="AI10" s="416" t="n"/>
      <c r="AJ10" s="418" t="n"/>
      <c r="AK10" s="418" t="n"/>
      <c r="AL10" s="418" t="n"/>
      <c r="AM10" s="602">
        <f>SUM(IF(AI10=AI$5,4,0),IF(AI10&amp;AJ10=AI$5&amp;AJ$5,1,0),
IF(AND(AI10=AI$5,AJ$6&gt;=$D$115),1,0),
IF(AND(AJ10=AI$5,AJ$6&gt;=$D$115),1,0),
IF(AND(AK10=AI$5,AJ$6&gt;=$D$115),1,0),
IF(AI10&amp;AL10=AM$5,1,0),
IF(AJ10=AI$5,2,0),
IF(AK10=AI$5,1,0),
IF(OR(AI10&amp;AJ10&amp;AK10=AI$5&amp;AJ$5&amp;AK$5,AI10&amp;AJ10&amp;AK10=AI$5&amp;AK$5&amp;AJ$5,AI10&amp;AJ10&amp;AK10=AJ$5&amp;AI$5&amp;AK$5,AI10&amp;AJ10&amp;AK10=AJ$5&amp;AK$5&amp;AI$5,AI10&amp;AJ10&amp;AK10=AK$5&amp;AI$5&amp;AJ$5,AI10&amp;AJ10&amp;AK10=AK$5&amp;AJ$5&amp;AI$5),2,0),IF(AND(AI10=AI$5,AJ$6&gt;=$D$129),1,0),IF(AND(AJ10=AI$5,AJ$6&gt;=$D$129),1,0),IF(AND(AK10=AI$5,AJ$6&gt;=$D$129),1,0),IF(AI10&amp;AL10=AL$5,4,0),IF(AND(AI10=AI$5,AJ$6&lt;=$D$104),-0.5,0),IF(AND(AJ10=AI$5,AJ$6&lt;=$D$104),-0.5,0),IF(AND(AK10=AI$5,AJ$6&lt;=$D$104),-0.5,0))</f>
        <v/>
      </c>
      <c r="AN10" s="416" t="n"/>
      <c r="AO10" s="418" t="n"/>
      <c r="AP10" s="418" t="n"/>
      <c r="AQ10" s="418" t="n"/>
      <c r="AR10" s="602">
        <f>SUM(IF(AN10=AN$5,4,0),IF(AN10&amp;AO10=AN$5&amp;AO$5,1,0),
IF(AND(AN10=AN$5,AO$6&gt;=$D$115),1,0),
IF(AND(AO10=AN$5,AO$6&gt;=$D$115),1,0),
IF(AND(AP10=AN$5,AO$6&gt;=$D$115),1,0),
IF(AN10&amp;AQ10=AR$5,1,0),
IF(AO10=AN$5,2,0),
IF(AP10=AN$5,1,0),
IF(OR(AN10&amp;AO10&amp;AP10=AN$5&amp;AO$5&amp;AP$5,AN10&amp;AO10&amp;AP10=AN$5&amp;AP$5&amp;AO$5,AN10&amp;AO10&amp;AP10=AO$5&amp;AN$5&amp;AP$5,AN10&amp;AO10&amp;AP10=AO$5&amp;AP$5&amp;AN$5,AN10&amp;AO10&amp;AP10=AP$5&amp;AN$5&amp;AO$5,AN10&amp;AO10&amp;AP10=AP$5&amp;AO$5&amp;AN$5),2,0),IF(AND(AN10=AN$5,AO$6&gt;=$D$129),1,0),IF(AND(AO10=AN$5,AO$6&gt;=$D$129),1,0),IF(AND(AP10=AN$5,AO$6&gt;=$D$129),1,0),IF(AN10&amp;AQ10=AQ$5,4,0),IF(AND(AN10=AN$5,AO$6&lt;=$D$104),-0.5,0),IF(AND(AO10=AN$5,AO$6&lt;=$D$104),-0.5,0),IF(AND(AP10=AN$5,AO$6&lt;=$D$104),-0.5,0))</f>
        <v/>
      </c>
      <c r="AS10" s="416" t="n"/>
      <c r="AT10" s="418" t="n"/>
      <c r="AU10" s="418" t="n"/>
      <c r="AV10" s="418" t="n"/>
      <c r="AW10" s="602">
        <f>SUM(IF(AS10=AS$5,4,0),IF(AS10&amp;AT10=AS$5&amp;AT$5,1,0),
IF(AND(AS10=AS$5,AT$6&gt;=$D$115),1,0),
IF(AND(AT10=AS$5,AT$6&gt;=$D$115),1,0),
IF(AND(AU10=AS$5,AT$6&gt;=$D$115),1,0),
IF(AS10&amp;AV10=AW$5,1,0),
IF(AT10=AS$5,2,0),
IF(AU10=AS$5,1,0),
IF(OR(AS10&amp;AT10&amp;AU10=AS$5&amp;AT$5&amp;AU$5,AS10&amp;AT10&amp;AU10=AS$5&amp;AU$5&amp;AT$5,AS10&amp;AT10&amp;AU10=AT$5&amp;AS$5&amp;AU$5,AS10&amp;AT10&amp;AU10=AT$5&amp;AU$5&amp;AS$5,AS10&amp;AT10&amp;AU10=AU$5&amp;AS$5&amp;AT$5,AS10&amp;AT10&amp;AU10=AU$5&amp;AT$5&amp;AS$5),2,0),IF(AND(AS10=AS$5,AT$6&gt;=$D$129),1,0),IF(AND(AT10=AS$5,AT$6&gt;=$D$129),1,0),IF(AND(AU10=AS$5,AT$6&gt;=$D$129),1,0),IF(AS10&amp;AV10=AV$5,4,0),IF(AND(AS10=AS$5,AT$6&lt;=$D$104),-0.5,0),IF(AND(AT10=AS$5,AT$6&lt;=$D$104),-0.5,0),IF(AND(AU10=AS$5,AT$6&lt;=$D$104),-0.5,0))</f>
        <v/>
      </c>
      <c r="AX10" s="416" t="n"/>
      <c r="AY10" s="418" t="n"/>
      <c r="AZ10" s="418" t="n"/>
      <c r="BA10" s="418" t="n"/>
      <c r="BB10" s="602">
        <f>SUM(IF(AX10=AX$5,4,0),IF(AX10&amp;AY10=AX$5&amp;AY$5,1,0),
IF(AND(AX10=AX$5,AY$6&gt;=$D$115),1,0),
IF(AND(AY10=AX$5,AY$6&gt;=$D$115),1,0),
IF(AND(AZ10=AX$5,AY$6&gt;=$D$115),1,0),
IF(AX10&amp;BA10=BB$5,1,0),
IF(AY10=AX$5,2,0),
IF(AZ10=AX$5,1,0),
IF(OR(AX10&amp;AY10&amp;AZ10=AX$5&amp;AY$5&amp;AZ$5,AX10&amp;AY10&amp;AZ10=AX$5&amp;AZ$5&amp;AY$5,AX10&amp;AY10&amp;AZ10=AY$5&amp;AX$5&amp;AZ$5,AX10&amp;AY10&amp;AZ10=AY$5&amp;AZ$5&amp;AX$5,AX10&amp;AY10&amp;AZ10=AZ$5&amp;AX$5&amp;AY$5,AX10&amp;AY10&amp;AZ10=AZ$5&amp;AY$5&amp;AX$5),2,0),IF(AND(AX10=AX$5,AY$6&gt;=$D$129),1,0),IF(AND(AY10=AX$5,AY$6&gt;=$D$129),1,0),IF(AND(AZ10=AX$5,AY$6&gt;=$D$129),1,0),IF(AX10&amp;BA10=BA$5,4,0),IF(AND(AX10=AX$5,AY$6&lt;=$D$104),-0.5,0),IF(AND(AY10=AX$5,AY$6&lt;=$D$104),-0.5,0),IF(AND(AZ10=AX$5,AY$6&lt;=$D$104),-0.5,0))</f>
        <v/>
      </c>
      <c r="BC10" s="416" t="n"/>
      <c r="BD10" s="418" t="n"/>
      <c r="BE10" s="418" t="n"/>
      <c r="BF10" s="418" t="n"/>
      <c r="BG10" s="602">
        <f>SUM(IF(BC10=BC$5,4,0),IF(BC10&amp;BD10=BC$5&amp;BD$5,1,0),
IF(AND(BC10=BC$5,BD$6&gt;=$D$115),1,0),
IF(AND(BD10=BC$5,BD$6&gt;=$D$115),1,0),
IF(AND(BE10=BC$5,BD$6&gt;=$D$115),1,0),
IF(BC10&amp;BF10=BG$5,1,0),
IF(BD10=BC$5,2,0),
IF(BE10=BC$5,1,0),
IF(OR(BC10&amp;BD10&amp;BE10=BC$5&amp;BD$5&amp;BE$5,BC10&amp;BD10&amp;BE10=BC$5&amp;BE$5&amp;BD$5,BC10&amp;BD10&amp;BE10=BD$5&amp;BC$5&amp;BE$5,BC10&amp;BD10&amp;BE10=BD$5&amp;BE$5&amp;BC$5,BC10&amp;BD10&amp;BE10=BE$5&amp;BC$5&amp;BD$5,BC10&amp;BD10&amp;BE10=BE$5&amp;BD$5&amp;BC$5),2,0),IF(AND(BC10=BC$5,BD$6&gt;=$D$129),1,0),IF(AND(BD10=BC$5,BD$6&gt;=$D$129),1,0),IF(AND(BE10=BC$5,BD$6&gt;=$D$129),1,0),IF(BC10&amp;BF10=BF$5,4,0),IF(AND(BC10=BC$5,BD$6&lt;=$D$104),-0.5,0),IF(AND(BD10=BC$5,BD$6&lt;=$D$104),-0.5,0),IF(AND(BE10=BC$5,BD$6&lt;=$D$104),-0.5,0))</f>
        <v/>
      </c>
      <c r="BH10" s="416" t="n"/>
      <c r="BI10" s="418" t="n"/>
      <c r="BJ10" s="418" t="n"/>
      <c r="BK10" s="418" t="n"/>
      <c r="BL10" s="602">
        <f>SUM(IF(BH10=BH$5,4,0),IF(BH10&amp;BI10=BH$5&amp;BI$5,1,0),
IF(AND(BH10=BH$5,BI$6&gt;=$D$115),1,0),
IF(AND(BI10=BH$5,BI$6&gt;=$D$115),1,0),
IF(AND(BJ10=BH$5,BI$6&gt;=$D$115),1,0),
IF(BH10&amp;BK10=BL$5,1,0),
IF(BI10=BH$5,2,0),
IF(BJ10=BH$5,1,0),
IF(OR(BH10&amp;BI10&amp;BJ10=BH$5&amp;BI$5&amp;BJ$5,BH10&amp;BI10&amp;BJ10=BH$5&amp;BJ$5&amp;BI$5,BH10&amp;BI10&amp;BJ10=BI$5&amp;BH$5&amp;BJ$5,BH10&amp;BI10&amp;BJ10=BI$5&amp;BJ$5&amp;BH$5,BH10&amp;BI10&amp;BJ10=BJ$5&amp;BH$5&amp;BI$5,BH10&amp;BI10&amp;BJ10=BJ$5&amp;BI$5&amp;BH$5),2,0),IF(AND(BH10=BH$5,BI$6&gt;=$D$129),1,0),IF(AND(BI10=BH$5,BI$6&gt;=$D$129),1,0),IF(AND(BJ10=BH$5,BI$6&gt;=$D$129),1,0),IF(BH10&amp;BK10=BK$5,4,0),IF(AND(BH10=BH$5,BI$6&lt;=$D$104),-0.5,0),IF(AND(BI10=BH$5,BI$6&lt;=$D$104),-0.5,0),IF(AND(BJ10=BH$5,BI$6&lt;=$D$104),-0.5,0))</f>
        <v/>
      </c>
      <c r="BM10" s="416" t="n"/>
      <c r="BN10" s="418" t="n"/>
      <c r="BO10" s="418" t="n"/>
      <c r="BP10" s="418" t="n"/>
      <c r="BQ10" s="602">
        <f>SUM(IF(BM10=BM$5,4,0),IF(BM10&amp;BN10=BM$5&amp;BN$5,1,0),
IF(AND(BM10=BM$5,BN$6&gt;=$D$115),1,0),
IF(AND(BN10=BM$5,BN$6&gt;=$D$115),1,0),
IF(AND(BO10=BM$5,BN$6&gt;=$D$115),1,0),
IF(BM10&amp;BP10=BQ$5,1,0),
IF(BN10=BM$5,2,0),
IF(BO10=BM$5,1,0),
IF(OR(BM10&amp;BN10&amp;BO10=BM$5&amp;BN$5&amp;BO$5,BM10&amp;BN10&amp;BO10=BM$5&amp;BO$5&amp;BN$5,BM10&amp;BN10&amp;BO10=BN$5&amp;BM$5&amp;BO$5,BM10&amp;BN10&amp;BO10=BN$5&amp;BO$5&amp;BM$5,BM10&amp;BN10&amp;BO10=BO$5&amp;BM$5&amp;BN$5,BM10&amp;BN10&amp;BO10=BO$5&amp;BN$5&amp;BM$5),2,0),IF(AND(BM10=BM$5,BN$6&gt;=$D$129),1,0),IF(AND(BN10=BM$5,BN$6&gt;=$D$129),1,0),IF(AND(BO10=BM$5,BN$6&gt;=$D$129),1,0),IF(BM10&amp;BP10=BP$5,4,0),IF(AND(BM10=BM$5,BN$6&lt;=$D$104),-0.5,0),IF(AND(BN10=BM$5,BN$6&lt;=$D$104),-0.5,0),IF(AND(BO10=BM$5,BN$6&lt;=$D$104),-0.5,0))</f>
        <v/>
      </c>
      <c r="BR10" s="416" t="n"/>
      <c r="BS10" s="418" t="n"/>
      <c r="BT10" s="418" t="n"/>
      <c r="BU10" s="418" t="n"/>
      <c r="BV10" s="602">
        <f>SUM(IF(BR10=BR$5,4,0),IF(BR10&amp;BS10=BR$5&amp;BS$5,1,0),
IF(AND(BR10=BR$5,BS$6&gt;=$D$115),1,0),
IF(AND(BS10=BR$5,BS$6&gt;=$D$115),1,0),
IF(AND(BT10=BR$5,BS$6&gt;=$D$115),1,0),
IF(BR10&amp;BU10=BV$5,1,0),
IF(BS10=BR$5,2,0),
IF(BT10=BR$5,1,0),
IF(OR(BR10&amp;BS10&amp;BT10=BR$5&amp;BS$5&amp;BT$5,BR10&amp;BS10&amp;BT10=BR$5&amp;BT$5&amp;BS$5,BR10&amp;BS10&amp;BT10=BS$5&amp;BR$5&amp;BT$5,BR10&amp;BS10&amp;BT10=BS$5&amp;BT$5&amp;BR$5,BR10&amp;BS10&amp;BT10=BT$5&amp;BR$5&amp;BS$5,BR10&amp;BS10&amp;BT10=BT$5&amp;BS$5&amp;BR$5),2,0),IF(AND(BR10=BR$5,BS$6&gt;=$D$129),1,0),IF(AND(BS10=BR$5,BS$6&gt;=$D$129),1,0),IF(AND(BT10=BR$5,BS$6&gt;=$D$129),1,0),IF(BR10&amp;BU10=BU$5,4,0),IF(AND(BR10=BR$5,BS$6&lt;=$D$104),-0.5,0),IF(AND(BS10=BR$5,BS$6&lt;=$D$104),-0.5,0),IF(AND(BT10=BR$5,BS$6&lt;=$D$104),-0.5,0))</f>
        <v/>
      </c>
      <c r="BW10" s="416" t="n"/>
      <c r="BX10" s="418" t="n"/>
      <c r="BY10" s="418" t="n"/>
      <c r="BZ10" s="418" t="n"/>
      <c r="CA10" s="602">
        <f>SUM(IF(BW10=BW$5,4,0),IF(BW10&amp;BX10=BW$5&amp;BX$5,1,0),
IF(AND(BW10=BW$5,BX$6&gt;=$D$115),1,0),
IF(AND(BX10=BW$5,BX$6&gt;=$D$115),1,0),
IF(AND(BY10=BW$5,BX$6&gt;=$D$115),1,0),
IF(BW10&amp;BZ10=CA$5,1,0),
IF(BX10=BW$5,2,0),
IF(BY10=BW$5,1,0),
IF(OR(BW10&amp;BX10&amp;BY10=BW$5&amp;BX$5&amp;BY$5,BW10&amp;BX10&amp;BY10=BW$5&amp;BY$5&amp;BX$5,BW10&amp;BX10&amp;BY10=BX$5&amp;BW$5&amp;BY$5,BW10&amp;BX10&amp;BY10=BX$5&amp;BY$5&amp;BW$5,BW10&amp;BX10&amp;BY10=BY$5&amp;BW$5&amp;BX$5,BW10&amp;BX10&amp;BY10=BY$5&amp;BX$5&amp;BW$5),2,0),IF(AND(BW10=BW$5,BX$6&gt;=$D$129),1,0),IF(AND(BX10=BW$5,BX$6&gt;=$D$129),1,0),IF(AND(BY10=BW$5,BX$6&gt;=$D$129),1,0),IF(BW10&amp;BZ10=BZ$5,4,0),IF(AND(BW10=BW$5,BX$6&lt;=$D$104),-0.5,0),IF(AND(BX10=BW$5,BX$6&lt;=$D$104),-0.5,0),IF(AND(BY10=BW$5,BX$6&lt;=$D$104),-0.5,0))</f>
        <v/>
      </c>
      <c r="CB10" s="416" t="n"/>
      <c r="CC10" s="418" t="n"/>
      <c r="CD10" s="418" t="n"/>
      <c r="CE10" s="418" t="n"/>
      <c r="CF10" s="602">
        <f>SUM(IF(CB10=CB$5,4,0),IF(CB10&amp;CC10=CB$5&amp;CC$5,1,0),
IF(AND(CB10=CB$5,CC$6&gt;=$D$115),1,0),
IF(AND(CC10=CB$5,CC$6&gt;=$D$115),1,0),
IF(AND(CD10=CB$5,CC$6&gt;=$D$115),1,0),
IF(CB10&amp;CE10=CF$5,1,0),
IF(CC10=CB$5,2,0),
IF(CD10=CB$5,1,0),
IF(OR(CB10&amp;CC10&amp;CD10=CB$5&amp;CC$5&amp;CD$5,CB10&amp;CC10&amp;CD10=CB$5&amp;CD$5&amp;CC$5,CB10&amp;CC10&amp;CD10=CC$5&amp;CB$5&amp;CD$5,CB10&amp;CC10&amp;CD10=CC$5&amp;CD$5&amp;CB$5,CB10&amp;CC10&amp;CD10=CD$5&amp;CB$5&amp;CC$5,CB10&amp;CC10&amp;CD10=CD$5&amp;CC$5&amp;CB$5),2,0),IF(AND(CB10=CB$5,CC$6&gt;=$D$129),1,0),IF(AND(CC10=CB$5,CC$6&gt;=$D$129),1,0),IF(AND(CD10=CB$5,CC$6&gt;=$D$129),1,0),IF(CB10&amp;CE10=CE$5,4,0),IF(AND(CB10=CB$5,CC$6&lt;=$D$104),-0.5,0),IF(AND(CC10=CB$5,CC$6&lt;=$D$104),-0.5,0),IF(AND(CD10=CB$5,CC$6&lt;=$D$104),-0.5,0))</f>
        <v/>
      </c>
      <c r="CG10" s="164">
        <f>IF(SEMANA29[[#This Row],[1]]="",0,$B$4)</f>
        <v/>
      </c>
      <c r="CH10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0" s="166">
        <f>IF(SEMANA29[[#This Row],[Columna14]]=0,0,(CH10/CG10))</f>
        <v/>
      </c>
      <c r="CJ10" s="165">
        <f>IF(SEMANA29[[#This Row],[1]]="",0,$B$4)</f>
        <v/>
      </c>
      <c r="CK10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0" s="166">
        <f>IF(SEMANA29[[#This Row],[Columna14]]=0,0,(CK10/CJ10))</f>
        <v/>
      </c>
      <c r="CM10" s="164">
        <f>IF(SEMANA29[[#This Row],[1]]="",0,$B$4)</f>
        <v/>
      </c>
      <c r="CN10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0" s="166">
        <f>IF(SEMANA29[[#This Row],[Columna14]]=0,0,(CN10/CM10))</f>
        <v/>
      </c>
      <c r="CP10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0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Row],[Columna25]],$AX$5,BA10,"SF")+COUNTIFS(SEMANA29[[#This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0" s="166">
        <f>IFERROR(IF(SEMANA29[[#This Row],[Columna14]]=0,0,(CQ10/CP10)),0)</f>
        <v/>
      </c>
      <c r="CS10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0" s="95">
        <f>_xlfn.XLOOKUP(SEMANA29[[#This Row],[COD]],SEMANA2[COD],SEMANA2[Columna33])</f>
        <v/>
      </c>
      <c r="CU10" s="604">
        <f>SUM(CS10,CT10)</f>
        <v/>
      </c>
      <c r="CV10" s="450">
        <f>IF(SEMANA29[[#This Row],[TIPO]]="PREMIO",$O$3,"0,00")</f>
        <v/>
      </c>
      <c r="CW10" s="576" t="n"/>
      <c r="CY10" s="393" t="n">
        <v>3</v>
      </c>
      <c r="CZ10" s="354">
        <f>P$6</f>
        <v/>
      </c>
      <c r="DB10" s="605">
        <f>SEMANA29[[#This Row],[COD]]</f>
        <v/>
      </c>
      <c r="DC10" s="395">
        <f t="array" ref="DC10">IFERROR(IF(AND(INDEX($E$8:$CE$57, MATCH($C10, $C$8:$C$57, 0), (COLUMNS($DC10:DC10)-1)*5 + 1) = INDEX($E$5:$CE$5, 1, (COLUMNS($DC10:DC10)-1)*5 + 1), INDEX($E$8:$CE$57, MATCH($C10, $C$8:$C$57, 0), (COLUMNS($DC10:DC10)-1)*5 + 4) = "F"), INDEX($CZ$8:$CZ$23, COLUMNS($DC10:DC10)), "0"), "")</f>
        <v/>
      </c>
      <c r="DD10" s="395">
        <f t="array" ref="DD10">IFERROR(IF(AND(INDEX($E$8:$CE$57, MATCH($C10, $C$8:$C$57, 0), (COLUMNS($DC10:DD10)-1)*5 + 1) = INDEX($E$5:$CE$5, 1, (COLUMNS($DC10:DD10)-1)*5 + 1), INDEX($E$8:$CE$57, MATCH($C10, $C$8:$C$57, 0), (COLUMNS($DC10:DD10)-1)*5 + 4) = "F"), INDEX($CZ$8:$CZ$23, COLUMNS($DC10:DD10)), "0"), "")</f>
        <v/>
      </c>
      <c r="DE10" s="395">
        <f t="array" ref="DE10">IFERROR(IF(AND(INDEX($E$8:$CE$57, MATCH($C10, $C$8:$C$57, 0), (COLUMNS($DC10:DE10)-1)*5 + 1) = INDEX($E$5:$CE$5, 1, (COLUMNS($DC10:DE10)-1)*5 + 1), INDEX($E$8:$CE$57, MATCH($C10, $C$8:$C$57, 0), (COLUMNS($DC10:DE10)-1)*5 + 4) = "F"), INDEX($CZ$8:$CZ$23, COLUMNS($DC10:DE10)), "0"), "")</f>
        <v/>
      </c>
      <c r="DF10" s="395">
        <f t="array" ref="DF10">IFERROR(IF(AND(INDEX($E$8:$CE$57, MATCH($C10, $C$8:$C$57, 0), (COLUMNS($DC10:DF10)-1)*5 + 1) = INDEX($E$5:$CE$5, 1, (COLUMNS($DC10:DF10)-1)*5 + 1), INDEX($E$8:$CE$57, MATCH($C10, $C$8:$C$57, 0), (COLUMNS($DC10:DF10)-1)*5 + 4) = "F"), INDEX($CZ$8:$CZ$23, COLUMNS($DC10:DF10)), "0"), "")</f>
        <v/>
      </c>
      <c r="DG10" s="395">
        <f t="array" ref="DG10">IFERROR(IF(AND(INDEX($E$8:$CE$57, MATCH($C10, $C$8:$C$57, 0), (COLUMNS($DC10:DG10)-1)*5 + 1) = INDEX($E$5:$CE$5, 1, (COLUMNS($DC10:DG10)-1)*5 + 1), INDEX($E$8:$CE$57, MATCH($C10, $C$8:$C$57, 0), (COLUMNS($DC10:DG10)-1)*5 + 4) = "F"), INDEX($CZ$8:$CZ$23, COLUMNS($DC10:DG10)), "0"), "")</f>
        <v/>
      </c>
      <c r="DH10" s="395">
        <f t="array" ref="DH10">IFERROR(IF(AND(INDEX($E$8:$CE$57, MATCH($C10, $C$8:$C$57, 0), (COLUMNS($DC10:DH10)-1)*5 + 1) = INDEX($E$5:$CE$5, 1, (COLUMNS($DC10:DH10)-1)*5 + 1), INDEX($E$8:$CE$57, MATCH($C10, $C$8:$C$57, 0), (COLUMNS($DC10:DH10)-1)*5 + 4) = "F"), INDEX($CZ$8:$CZ$23, COLUMNS($DC10:DH10)), "0"), "")</f>
        <v/>
      </c>
      <c r="DI10" s="395">
        <f t="array" ref="DI10">IFERROR(IF(AND(INDEX($E$8:$CE$57, MATCH($C10, $C$8:$C$57, 0), (COLUMNS($DC10:DI10)-1)*5 + 1) = INDEX($E$5:$CE$5, 1, (COLUMNS($DC10:DI10)-1)*5 + 1), INDEX($E$8:$CE$57, MATCH($C10, $C$8:$C$57, 0), (COLUMNS($DC10:DI10)-1)*5 + 4) = "F"), INDEX($CZ$8:$CZ$23, COLUMNS($DC10:DI10)), "0"), "")</f>
        <v/>
      </c>
      <c r="DJ10" s="395">
        <f t="array" ref="DJ10">IFERROR(IF(AND(INDEX($E$8:$CE$57, MATCH($C10, $C$8:$C$57, 0), (COLUMNS($DC10:DJ10)-1)*5 + 1) = INDEX($E$5:$CE$5, 1, (COLUMNS($DC10:DJ10)-1)*5 + 1), INDEX($E$8:$CE$57, MATCH($C10, $C$8:$C$57, 0), (COLUMNS($DC10:DJ10)-1)*5 + 4) = "F"), INDEX($CZ$8:$CZ$23, COLUMNS($DC10:DJ10)), "0"), "")</f>
        <v/>
      </c>
      <c r="DK10" s="395">
        <f t="array" ref="DK10">IFERROR(IF(AND(INDEX($E$8:$CE$57, MATCH($C10, $C$8:$C$57, 0), (COLUMNS($DC10:DK10)-1)*5 + 1) = INDEX($E$5:$CE$5, 1, (COLUMNS($DC10:DK10)-1)*5 + 1), INDEX($E$8:$CE$57, MATCH($C10, $C$8:$C$57, 0), (COLUMNS($DC10:DK10)-1)*5 + 4) = "F"), INDEX($CZ$8:$CZ$23, COLUMNS($DC10:DK10)), "0"), "")</f>
        <v/>
      </c>
      <c r="DL10" s="395">
        <f t="array" ref="DL10">IFERROR(IF(AND(INDEX($E$8:$CE$57, MATCH($C10, $C$8:$C$57, 0), (COLUMNS($DC10:DL10)-1)*5 + 1) = INDEX($E$5:$CE$5, 1, (COLUMNS($DC10:DL10)-1)*5 + 1), INDEX($E$8:$CE$57, MATCH($C10, $C$8:$C$57, 0), (COLUMNS($DC10:DL10)-1)*5 + 4) = "F"), INDEX($CZ$8:$CZ$23, COLUMNS($DC10:DL10)), "0"), "")</f>
        <v/>
      </c>
      <c r="DM10" s="395">
        <f t="array" ref="DM10">IFERROR(IF(AND(INDEX($E$8:$CE$57, MATCH($C10, $C$8:$C$57, 0), (COLUMNS($DC10:DM10)-1)*5 + 1) = INDEX($E$5:$CE$5, 1, (COLUMNS($DC10:DM10)-1)*5 + 1), INDEX($E$8:$CE$57, MATCH($C10, $C$8:$C$57, 0), (COLUMNS($DC10:DM10)-1)*5 + 4) = "F"), INDEX($CZ$8:$CZ$23, COLUMNS($DC10:DM10)), "0"), "")</f>
        <v/>
      </c>
      <c r="DN10" s="395">
        <f t="array" ref="DN10">IFERROR(IF(AND(INDEX($E$8:$CE$57, MATCH($C10, $C$8:$C$57, 0), (COLUMNS($DC10:DN10)-1)*5 + 1) = INDEX($E$5:$CE$5, 1, (COLUMNS($DC10:DN10)-1)*5 + 1), INDEX($E$8:$CE$57, MATCH($C10, $C$8:$C$57, 0), (COLUMNS($DC10:DN10)-1)*5 + 4) = "F"), INDEX($CZ$8:$CZ$23, COLUMNS($DC10:DN10)), "0"), "")</f>
        <v/>
      </c>
      <c r="DO10" s="395">
        <f t="array" ref="DO10">IFERROR(IF(AND(INDEX($E$8:$CE$57, MATCH($C10, $C$8:$C$57, 0), (COLUMNS($DC10:DO10)-1)*5 + 1) = INDEX($E$5:$CE$5, 1, (COLUMNS($DC10:DO10)-1)*5 + 1), INDEX($E$8:$CE$57, MATCH($C10, $C$8:$C$57, 0), (COLUMNS($DC10:DO10)-1)*5 + 4) = "F"), INDEX($CZ$8:$CZ$23, COLUMNS($DC10:DO10)), "0"), "")</f>
        <v/>
      </c>
      <c r="DP10" s="395">
        <f t="array" ref="DP10">IFERROR(IF(AND(INDEX($E$8:$CE$57, MATCH($C10, $C$8:$C$57, 0), (COLUMNS($DC10:DP10)-1)*5 + 1) = INDEX($E$5:$CE$5, 1, (COLUMNS($DC10:DP10)-1)*5 + 1), INDEX($E$8:$CE$57, MATCH($C10, $C$8:$C$57, 0), (COLUMNS($DC10:DP10)-1)*5 + 4) = "F"), INDEX($CZ$8:$CZ$23, COLUMNS($DC10:DP10)), "0"), "")</f>
        <v/>
      </c>
      <c r="DQ10" s="395">
        <f t="array" ref="DQ10">IFERROR(IF(AND(INDEX($E$8:$CE$57, MATCH($C10, $C$8:$C$57, 0), (COLUMNS($DC10:DQ10)-1)*5 + 1) = INDEX($E$5:$CE$5, 1, (COLUMNS($DC10:DQ10)-1)*5 + 1), INDEX($E$8:$CE$57, MATCH($C10, $C$8:$C$57, 0), (COLUMNS($DC10:DQ10)-1)*5 + 4) = "F"), INDEX($CZ$8:$CZ$23, COLUMNS($DC10:DQ10)), "0"), "")</f>
        <v/>
      </c>
      <c r="DR10" s="395">
        <f t="array" ref="DR10">IFERROR(IF(AND(INDEX($E$8:$CE$57, MATCH($C10, $C$8:$C$57, 0), (COLUMNS($DC10:DR10)-1)*5 + 1) = INDEX($E$5:$CE$5, 1, (COLUMNS($DC10:DR10)-1)*5 + 1), INDEX($E$8:$CE$57, MATCH($C10, $C$8:$C$57, 0), (COLUMNS($DC10:DR10)-1)*5 + 4) = "F"), INDEX($CZ$8:$CZ$23, COLUMNS($DC10:DR10)), "0"), "")</f>
        <v/>
      </c>
      <c r="DT10" s="605">
        <f>SEMANA29[[#This Row],[COD]]</f>
        <v/>
      </c>
      <c r="DU10" s="395">
        <f t="array" ref="DU10">IFERROR(IF(AND(INDEX($E$8:$CE$57, MATCH($C10, $C$8:$C$57, 0), (COLUMNS($DU10:DU10)-1)*5 + 1) = INDEX($E$5:$CE$5, 1, (COLUMNS($DU10:DU10)-1)*5 + 1), INDEX($E$8:$CE$57, MATCH($C10, $C$8:$C$57, 0), (COLUMNS($DU10:DU10)-1)*5 + 4) = "SF"), INDEX($CZ$8:$CZ$23, COLUMNS($DU10:DU10)), "0"), "")</f>
        <v/>
      </c>
      <c r="DV10" s="395">
        <f t="array" ref="DV10">IFERROR(IF(AND(INDEX($E$8:$CE$57, MATCH($C10, $C$8:$C$57, 0), (COLUMNS($DU10:DV10)-1)*5 + 1) = INDEX($E$5:$CE$5, 1, (COLUMNS($DU10:DV10)-1)*5 + 1), INDEX($E$8:$CE$57, MATCH($C10, $C$8:$C$57, 0), (COLUMNS($DU10:DV10)-1)*5 + 4) = "SF"), INDEX($CZ$8:$CZ$23, COLUMNS($DU10:DV10)), "0"), "")</f>
        <v/>
      </c>
      <c r="DW10" s="395">
        <f t="array" ref="DW10">IFERROR(IF(AND(INDEX($E$8:$CE$57, MATCH($C10, $C$8:$C$57, 0), (COLUMNS($DU10:DW10)-1)*5 + 1) = INDEX($E$5:$CE$5, 1, (COLUMNS($DU10:DW10)-1)*5 + 1), INDEX($E$8:$CE$57, MATCH($C10, $C$8:$C$57, 0), (COLUMNS($DU10:DW10)-1)*5 + 4) = "SF"), INDEX($CZ$8:$CZ$23, COLUMNS($DU10:DW10)), "0"), "")</f>
        <v/>
      </c>
      <c r="DX10" s="395">
        <f t="array" ref="DX10">IFERROR(IF(AND(INDEX($E$8:$CE$57, MATCH($C10, $C$8:$C$57, 0), (COLUMNS($DU10:DX10)-1)*5 + 1) = INDEX($E$5:$CE$5, 1, (COLUMNS($DU10:DX10)-1)*5 + 1), INDEX($E$8:$CE$57, MATCH($C10, $C$8:$C$57, 0), (COLUMNS($DU10:DX10)-1)*5 + 4) = "SF"), INDEX($CZ$8:$CZ$23, COLUMNS($DU10:DX10)), "0"), "")</f>
        <v/>
      </c>
      <c r="DY10" s="395">
        <f t="array" ref="DY10">IFERROR(IF(AND(INDEX($E$8:$CE$57, MATCH($C10, $C$8:$C$57, 0), (COLUMNS($DU10:DY10)-1)*5 + 1) = INDEX($E$5:$CE$5, 1, (COLUMNS($DU10:DY10)-1)*5 + 1), INDEX($E$8:$CE$57, MATCH($C10, $C$8:$C$57, 0), (COLUMNS($DU10:DY10)-1)*5 + 4) = "SF"), INDEX($CZ$8:$CZ$23, COLUMNS($DU10:DY10)), "0"), "")</f>
        <v/>
      </c>
      <c r="DZ10" s="395">
        <f t="array" ref="DZ10">IFERROR(IF(AND(INDEX($E$8:$CE$57, MATCH($C10, $C$8:$C$57, 0), (COLUMNS($DU10:DZ10)-1)*5 + 1) = INDEX($E$5:$CE$5, 1, (COLUMNS($DU10:DZ10)-1)*5 + 1), INDEX($E$8:$CE$57, MATCH($C10, $C$8:$C$57, 0), (COLUMNS($DU10:DZ10)-1)*5 + 4) = "SF"), INDEX($CZ$8:$CZ$23, COLUMNS($DU10:DZ10)), "0"), "")</f>
        <v/>
      </c>
      <c r="EA10" s="395">
        <f t="array" ref="EA10">IFERROR(IF(AND(INDEX($E$8:$CE$57, MATCH($C10, $C$8:$C$57, 0), (COLUMNS($DU10:EA10)-1)*5 + 1) = INDEX($E$5:$CE$5, 1, (COLUMNS($DU10:EA10)-1)*5 + 1), INDEX($E$8:$CE$57, MATCH($C10, $C$8:$C$57, 0), (COLUMNS($DU10:EA10)-1)*5 + 4) = "SF"), INDEX($CZ$8:$CZ$23, COLUMNS($DU10:EA10)), "0"), "")</f>
        <v/>
      </c>
      <c r="EB10" s="395">
        <f t="array" ref="EB10">IFERROR(IF(AND(INDEX($E$8:$CE$57, MATCH($C10, $C$8:$C$57, 0), (COLUMNS($DU10:EB10)-1)*5 + 1) = INDEX($E$5:$CE$5, 1, (COLUMNS($DU10:EB10)-1)*5 + 1), INDEX($E$8:$CE$57, MATCH($C10, $C$8:$C$57, 0), (COLUMNS($DU10:EB10)-1)*5 + 4) = "SF"), INDEX($CZ$8:$CZ$23, COLUMNS($DU10:EB10)), "0"), "")</f>
        <v/>
      </c>
      <c r="EC10" s="395">
        <f t="array" ref="EC10">IFERROR(IF(AND(INDEX($E$8:$CE$57, MATCH($C10, $C$8:$C$57, 0), (COLUMNS($DU10:EC10)-1)*5 + 1) = INDEX($E$5:$CE$5, 1, (COLUMNS($DU10:EC10)-1)*5 + 1), INDEX($E$8:$CE$57, MATCH($C10, $C$8:$C$57, 0), (COLUMNS($DU10:EC10)-1)*5 + 4) = "SF"), INDEX($CZ$8:$CZ$23, COLUMNS($DU10:EC10)), "0"), "")</f>
        <v/>
      </c>
      <c r="ED10" s="395">
        <f t="array" ref="ED10">IFERROR(IF(AND(INDEX($E$8:$CE$57, MATCH($C10, $C$8:$C$57, 0), (COLUMNS($DU10:ED10)-1)*5 + 1) = INDEX($E$5:$CE$5, 1, (COLUMNS($DU10:ED10)-1)*5 + 1), INDEX($E$8:$CE$57, MATCH($C10, $C$8:$C$57, 0), (COLUMNS($DU10:ED10)-1)*5 + 4) = "SF"), INDEX($CZ$8:$CZ$23, COLUMNS($DU10:ED10)), "0"), "")</f>
        <v/>
      </c>
      <c r="EE10" s="395">
        <f t="array" ref="EE10">IFERROR(IF(AND(INDEX($E$8:$CE$57, MATCH($C10, $C$8:$C$57, 0), (COLUMNS($DU10:EE10)-1)*5 + 1) = INDEX($E$5:$CE$5, 1, (COLUMNS($DU10:EE10)-1)*5 + 1), INDEX($E$8:$CE$57, MATCH($C10, $C$8:$C$57, 0), (COLUMNS($DU10:EE10)-1)*5 + 4) = "SF"), INDEX($CZ$8:$CZ$23, COLUMNS($DU10:EE10)), "0"), "")</f>
        <v/>
      </c>
      <c r="EF10" s="395">
        <f t="array" ref="EF10">IFERROR(IF(AND(INDEX($E$8:$CE$57, MATCH($C10, $C$8:$C$57, 0), (COLUMNS($DU10:EF10)-1)*5 + 1) = INDEX($E$5:$CE$5, 1, (COLUMNS($DU10:EF10)-1)*5 + 1), INDEX($E$8:$CE$57, MATCH($C10, $C$8:$C$57, 0), (COLUMNS($DU10:EF10)-1)*5 + 4) = "SF"), INDEX($CZ$8:$CZ$23, COLUMNS($DU10:EF10)), "0"), "")</f>
        <v/>
      </c>
      <c r="EG10" s="395">
        <f t="array" ref="EG10">IFERROR(IF(AND(INDEX($E$8:$CE$57, MATCH($C10, $C$8:$C$57, 0), (COLUMNS($DU10:EG10)-1)*5 + 1) = INDEX($E$5:$CE$5, 1, (COLUMNS($DU10:EG10)-1)*5 + 1), INDEX($E$8:$CE$57, MATCH($C10, $C$8:$C$57, 0), (COLUMNS($DU10:EG10)-1)*5 + 4) = "SF"), INDEX($CZ$8:$CZ$23, COLUMNS($DU10:EG10)), "0"), "")</f>
        <v/>
      </c>
      <c r="EH10" s="395">
        <f t="array" ref="EH10">IFERROR(IF(AND(INDEX($E$8:$CE$57, MATCH($C10, $C$8:$C$57, 0), (COLUMNS($DU10:EH10)-1)*5 + 1) = INDEX($E$5:$CE$5, 1, (COLUMNS($DU10:EH10)-1)*5 + 1), INDEX($E$8:$CE$57, MATCH($C10, $C$8:$C$57, 0), (COLUMNS($DU10:EH10)-1)*5 + 4) = "SF"), INDEX($CZ$8:$CZ$23, COLUMNS($DU10:EH10)), "0"), "")</f>
        <v/>
      </c>
      <c r="EI10" s="395">
        <f t="array" ref="EI10">IFERROR(IF(AND(INDEX($E$8:$CE$57, MATCH($C10, $C$8:$C$57, 0), (COLUMNS($DU10:EI10)-1)*5 + 1) = INDEX($E$5:$CE$5, 1, (COLUMNS($DU10:EI10)-1)*5 + 1), INDEX($E$8:$CE$57, MATCH($C10, $C$8:$C$57, 0), (COLUMNS($DU10:EI10)-1)*5 + 4) = "SF"), INDEX($CZ$8:$CZ$23, COLUMNS($DU10:EI10)), "0"), "")</f>
        <v/>
      </c>
      <c r="EJ10" s="395">
        <f t="array" ref="EJ10">IFERROR(IF(AND(INDEX($E$8:$CE$57, MATCH($C10, $C$8:$C$57, 0), (COLUMNS($DU10:EJ10)-1)*5 + 1) = INDEX($E$5:$CE$5, 1, (COLUMNS($DU10:EJ10)-1)*5 + 1), INDEX($E$8:$CE$57, MATCH($C10, $C$8:$C$57, 0), (COLUMNS($DU10:EJ10)-1)*5 + 4) = "SF"), INDEX($CZ$8:$CZ$23, COLUMNS($DU10:EJ10)), "0"), "")</f>
        <v/>
      </c>
    </row>
    <row r="11" ht="20.1" customHeight="1" s="568">
      <c r="A11" s="576" t="n"/>
      <c r="B11" s="449">
        <f>IF(SEMANA29[[#This Row],[COD]]&lt;&gt;"",B10+1,"")</f>
        <v/>
      </c>
      <c r="C11" s="622" t="inlineStr">
        <is>
          <t>COD 04</t>
        </is>
      </c>
      <c r="D11" s="415">
        <f t="array" ref="D11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1" s="416" t="n"/>
      <c r="F11" s="417" t="n"/>
      <c r="G11" s="417" t="n"/>
      <c r="H11" s="417" t="n"/>
      <c r="I11" s="602">
        <f>SUM(IF(E11=E$5,4,0),IF(E11&amp;F11=E$5&amp;F$5,1,0),
IF(AND(E11=E$5,F$6&gt;=$D$115),1,0),
IF(AND(F11=E$5,F$6&gt;=$D$115),1,0),
IF(AND(G11=E$5,F$6&gt;=$D$115),1,0),
IF(E11&amp;H11=I$5,1,0),
IF(F11=E$5,2,0),
IF(G11=E$5,1,0),
IF(OR(E11&amp;F11&amp;G11=E$5&amp;F$5&amp;G$5,E11&amp;F11&amp;G11=E$5&amp;G$5&amp;F$5,E11&amp;F11&amp;G11=F$5&amp;E$5&amp;G$5,E11&amp;F11&amp;G11=F$5&amp;G$5&amp;E$5,E11&amp;F11&amp;G11=G$5&amp;E$5&amp;F$5,E11&amp;F11&amp;G11=G$5&amp;F$5&amp;E$5),2,0),IF(AND(E11=E$5,F$6&gt;=$D$129),1,0),IF(AND(F11=E$5,F$6&gt;=$D$129),1,0),IF(AND(G11=E$5,F$6&gt;=$D$129),1,0),IF(E11&amp;H11=H$5,4,0),IF(AND(E11=E$5,F$6&lt;=$D$104),-0.5,0),IF(AND(F11=E$5,F$6&lt;=$D$104),-0.5,0),IF(AND(G11=E$5,F$6&lt;=$D$104),-0.5,0))</f>
        <v/>
      </c>
      <c r="J11" s="416" t="n"/>
      <c r="K11" s="417" t="n"/>
      <c r="L11" s="417" t="n"/>
      <c r="M11" s="417" t="n"/>
      <c r="N11" s="602">
        <f>SUM(IF(J11=J$5,4,0),IF(J11&amp;K11=J$5&amp;K$5,1,0),
IF(AND(J11=J$5,K$6&gt;=$D$115),1,0),
IF(AND(K11=J$5,K$6&gt;=$D$115),1,0),
IF(AND(L11=J$5,K$6&gt;=$D$115),1,0),
IF(J11&amp;M11=N$5,1,0),
IF(K11=J$5,2,0),
IF(L11=J$5,1,0),
IF(OR(J11&amp;K11&amp;L11=J$5&amp;K$5&amp;L$5,J11&amp;K11&amp;L11=J$5&amp;L$5&amp;K$5,J11&amp;K11&amp;L11=K$5&amp;J$5&amp;L$5,J11&amp;K11&amp;L11=K$5&amp;L$5&amp;J$5,J11&amp;K11&amp;L11=L$5&amp;J$5&amp;K$5,J11&amp;K11&amp;L11=L$5&amp;K$5&amp;J$5),2,0),IF(AND(J11=J$5,K$6&gt;=$D$129),1,0),IF(AND(K11=J$5,K$6&gt;=$D$129),1,0),IF(AND(L11=J$5,K$6&gt;=$D$129),1,0),IF(J11&amp;M11=M$5,4,0),IF(AND(J11=J$5,K$6&lt;=$D$104),-0.5,0),IF(AND(K11=J$5,K$6&lt;=$D$104),-0.5,0),IF(AND(L11=J$5,K$6&lt;=$D$104),-0.5,0))</f>
        <v/>
      </c>
      <c r="O11" s="416" t="n"/>
      <c r="P11" s="417" t="n"/>
      <c r="Q11" s="417" t="n"/>
      <c r="R11" s="417" t="n"/>
      <c r="S11" s="602">
        <f>SUM(IF(O11=O$5,4,0),IF(O11&amp;P11=O$5&amp;P$5,1,0),
IF(AND(O11=O$5,P$6&gt;=$D$115),1,0),
IF(AND(P11=O$5,P$6&gt;=$D$115),1,0),
IF(AND(Q11=O$5,P$6&gt;=$D$115),1,0),
IF(O11&amp;R11=S$5,1,0),
IF(P11=O$5,2,0),
IF(Q11=O$5,1,0),
IF(OR(O11&amp;P11&amp;Q11=O$5&amp;P$5&amp;Q$5,O11&amp;P11&amp;Q11=O$5&amp;Q$5&amp;P$5,O11&amp;P11&amp;Q11=P$5&amp;O$5&amp;Q$5,O11&amp;P11&amp;Q11=P$5&amp;Q$5&amp;O$5,O11&amp;P11&amp;Q11=Q$5&amp;O$5&amp;P$5,O11&amp;P11&amp;Q11=Q$5&amp;P$5&amp;O$5),2,0),IF(AND(O11=O$5,P$6&gt;=$D$129),1,0),IF(AND(P11=O$5,P$6&gt;=$D$129),1,0),IF(AND(Q11=O$5,P$6&gt;=$D$129),1,0),IF(O11&amp;R11=R$5,4,0),IF(AND(O11=O$5,P$6&lt;=$D$104),-0.5,0),IF(AND(P11=O$5,P$6&lt;=$D$104),-0.5,0),IF(AND(Q11=O$5,P$6&lt;=$D$104),-0.5,0))</f>
        <v/>
      </c>
      <c r="T11" s="416" t="n"/>
      <c r="U11" s="417" t="n"/>
      <c r="V11" s="417" t="n"/>
      <c r="W11" s="417" t="n"/>
      <c r="X11" s="602">
        <f>SUM(IF(T11=T$5,4,0),IF(T11&amp;U11=T$5&amp;U$5,1,0),
IF(AND(T11=T$5,U$6&gt;=$D$115),1,0),
IF(AND(U11=T$5,U$6&gt;=$D$115),1,0),
IF(AND(V11=T$5,U$6&gt;=$D$115),1,0),
IF(T11&amp;W11=X$5,1,0),
IF(U11=T$5,2,0),
IF(V11=T$5,1,0),
IF(OR(T11&amp;U11&amp;V11=T$5&amp;U$5&amp;V$5,T11&amp;U11&amp;V11=T$5&amp;V$5&amp;U$5,T11&amp;U11&amp;V11=U$5&amp;T$5&amp;V$5,T11&amp;U11&amp;V11=U$5&amp;V$5&amp;T$5,T11&amp;U11&amp;V11=V$5&amp;T$5&amp;U$5,T11&amp;U11&amp;V11=V$5&amp;U$5&amp;T$5),2,0),IF(AND(T11=T$5,U$6&gt;=$D$129),1,0),IF(AND(U11=T$5,U$6&gt;=$D$129),1,0),IF(AND(V11=T$5,U$6&gt;=$D$129),1,0),IF(T11&amp;W11=W$5,4,0),IF(AND(T11=T$5,U$6&lt;=$D$104),-0.5,0),IF(AND(U11=T$5,U$6&lt;=$D$104),-0.5,0),IF(AND(V11=T$5,U$6&lt;=$D$104),-0.5,0))</f>
        <v/>
      </c>
      <c r="Y11" s="416" t="n"/>
      <c r="Z11" s="417" t="n"/>
      <c r="AA11" s="417" t="n"/>
      <c r="AB11" s="417" t="n"/>
      <c r="AC11" s="602">
        <f>SUM(IF(Y11=Y$5,4,0),IF(Y11&amp;Z11=Y$5&amp;Z$5,1,0),
IF(AND(Y11=Y$5,Z$6&gt;=$D$115),1,0),
IF(AND(Z11=Y$5,Z$6&gt;=$D$115),1,0),
IF(AND(AA11=Y$5,Z$6&gt;=$D$115),1,0),
IF(Y11&amp;AB11=AC$5,1,0),
IF(Z11=Y$5,2,0),
IF(AA11=Y$5,1,0),
IF(OR(Y11&amp;Z11&amp;AA11=Y$5&amp;Z$5&amp;AA$5,Y11&amp;Z11&amp;AA11=Y$5&amp;AA$5&amp;Z$5,Y11&amp;Z11&amp;AA11=Z$5&amp;Y$5&amp;AA$5,Y11&amp;Z11&amp;AA11=Z$5&amp;AA$5&amp;Y$5,Y11&amp;Z11&amp;AA11=AA$5&amp;Y$5&amp;Z$5,Y11&amp;Z11&amp;AA11=AA$5&amp;Z$5&amp;Y$5),2,0),IF(AND(Y11=Y$5,Z$6&gt;=$D$129),1,0),IF(AND(Z11=Y$5,Z$6&gt;=$D$129),1,0),IF(AND(AA11=Y$5,Z$6&gt;=$D$129),1,0),IF(Y11&amp;AB11=AB$5,4,0),IF(AND(Y11=Y$5,Z$6&lt;=$D$104),-0.5,0),IF(AND(Z11=Y$5,Z$6&lt;=$D$104),-0.5,0),IF(AND(AA11=Y$5,Z$6&lt;=$D$104),-0.5,0))</f>
        <v/>
      </c>
      <c r="AD11" s="416" t="n"/>
      <c r="AE11" s="417" t="n"/>
      <c r="AF11" s="417" t="n"/>
      <c r="AG11" s="417" t="n"/>
      <c r="AH11" s="602">
        <f>SUM(IF(AD11=AD$5,4,0),IF(AD11&amp;AE11=AD$5&amp;AE$5,1,0),
IF(AND(AD11=AD$5,AE$6&gt;=$D$115),1,0),
IF(AND(AE11=AD$5,AE$6&gt;=$D$115),1,0),
IF(AND(AF11=AD$5,AE$6&gt;=$D$115),1,0),
IF(AD11&amp;AG11=AH$5,1,0),
IF(AE11=AD$5,2,0),
IF(AF11=AD$5,1,0),
IF(OR(AD11&amp;AE11&amp;AF11=AD$5&amp;AE$5&amp;AF$5,AD11&amp;AE11&amp;AF11=AD$5&amp;AF$5&amp;AE$5,AD11&amp;AE11&amp;AF11=AE$5&amp;AD$5&amp;AF$5,AD11&amp;AE11&amp;AF11=AE$5&amp;AF$5&amp;AD$5,AD11&amp;AE11&amp;AF11=AF$5&amp;AD$5&amp;AE$5,AD11&amp;AE11&amp;AF11=AF$5&amp;AE$5&amp;AD$5),2,0),IF(AND(AD11=AD$5,AE$6&gt;=$D$129),1,0),IF(AND(AE11=AD$5,AE$6&gt;=$D$129),1,0),IF(AND(AF11=AD$5,AE$6&gt;=$D$129),1,0),IF(AD11&amp;AG11=AG$5,4,0),IF(AND(AD11=AD$5,AE$6&lt;=$D$104),-0.5,0),IF(AND(AE11=AD$5,AE$6&lt;=$D$104),-0.5,0),IF(AND(AF11=AD$5,AE$6&lt;=$D$104),-0.5,0))</f>
        <v/>
      </c>
      <c r="AI11" s="416" t="n"/>
      <c r="AJ11" s="417" t="n"/>
      <c r="AK11" s="417" t="n"/>
      <c r="AL11" s="417" t="n"/>
      <c r="AM11" s="602">
        <f>SUM(IF(AI11=AI$5,4,0),IF(AI11&amp;AJ11=AI$5&amp;AJ$5,1,0),
IF(AND(AI11=AI$5,AJ$6&gt;=$D$115),1,0),
IF(AND(AJ11=AI$5,AJ$6&gt;=$D$115),1,0),
IF(AND(AK11=AI$5,AJ$6&gt;=$D$115),1,0),
IF(AI11&amp;AL11=AM$5,1,0),
IF(AJ11=AI$5,2,0),
IF(AK11=AI$5,1,0),
IF(OR(AI11&amp;AJ11&amp;AK11=AI$5&amp;AJ$5&amp;AK$5,AI11&amp;AJ11&amp;AK11=AI$5&amp;AK$5&amp;AJ$5,AI11&amp;AJ11&amp;AK11=AJ$5&amp;AI$5&amp;AK$5,AI11&amp;AJ11&amp;AK11=AJ$5&amp;AK$5&amp;AI$5,AI11&amp;AJ11&amp;AK11=AK$5&amp;AI$5&amp;AJ$5,AI11&amp;AJ11&amp;AK11=AK$5&amp;AJ$5&amp;AI$5),2,0),IF(AND(AI11=AI$5,AJ$6&gt;=$D$129),1,0),IF(AND(AJ11=AI$5,AJ$6&gt;=$D$129),1,0),IF(AND(AK11=AI$5,AJ$6&gt;=$D$129),1,0),IF(AI11&amp;AL11=AL$5,4,0),IF(AND(AI11=AI$5,AJ$6&lt;=$D$104),-0.5,0),IF(AND(AJ11=AI$5,AJ$6&lt;=$D$104),-0.5,0),IF(AND(AK11=AI$5,AJ$6&lt;=$D$104),-0.5,0))</f>
        <v/>
      </c>
      <c r="AN11" s="416" t="n"/>
      <c r="AO11" s="417" t="n"/>
      <c r="AP11" s="417" t="n"/>
      <c r="AQ11" s="417" t="n"/>
      <c r="AR11" s="602">
        <f>SUM(IF(AN11=AN$5,4,0),IF(AN11&amp;AO11=AN$5&amp;AO$5,1,0),
IF(AND(AN11=AN$5,AO$6&gt;=$D$115),1,0),
IF(AND(AO11=AN$5,AO$6&gt;=$D$115),1,0),
IF(AND(AP11=AN$5,AO$6&gt;=$D$115),1,0),
IF(AN11&amp;AQ11=AR$5,1,0),
IF(AO11=AN$5,2,0),
IF(AP11=AN$5,1,0),
IF(OR(AN11&amp;AO11&amp;AP11=AN$5&amp;AO$5&amp;AP$5,AN11&amp;AO11&amp;AP11=AN$5&amp;AP$5&amp;AO$5,AN11&amp;AO11&amp;AP11=AO$5&amp;AN$5&amp;AP$5,AN11&amp;AO11&amp;AP11=AO$5&amp;AP$5&amp;AN$5,AN11&amp;AO11&amp;AP11=AP$5&amp;AN$5&amp;AO$5,AN11&amp;AO11&amp;AP11=AP$5&amp;AO$5&amp;AN$5),2,0),IF(AND(AN11=AN$5,AO$6&gt;=$D$129),1,0),IF(AND(AO11=AN$5,AO$6&gt;=$D$129),1,0),IF(AND(AP11=AN$5,AO$6&gt;=$D$129),1,0),IF(AN11&amp;AQ11=AQ$5,4,0),IF(AND(AN11=AN$5,AO$6&lt;=$D$104),-0.5,0),IF(AND(AO11=AN$5,AO$6&lt;=$D$104),-0.5,0),IF(AND(AP11=AN$5,AO$6&lt;=$D$104),-0.5,0))</f>
        <v/>
      </c>
      <c r="AS11" s="416" t="n"/>
      <c r="AT11" s="417" t="n"/>
      <c r="AU11" s="417" t="n"/>
      <c r="AV11" s="417" t="n"/>
      <c r="AW11" s="602">
        <f>SUM(IF(AS11=AS$5,4,0),IF(AS11&amp;AT11=AS$5&amp;AT$5,1,0),
IF(AND(AS11=AS$5,AT$6&gt;=$D$115),1,0),
IF(AND(AT11=AS$5,AT$6&gt;=$D$115),1,0),
IF(AND(AU11=AS$5,AT$6&gt;=$D$115),1,0),
IF(AS11&amp;AV11=AW$5,1,0),
IF(AT11=AS$5,2,0),
IF(AU11=AS$5,1,0),
IF(OR(AS11&amp;AT11&amp;AU11=AS$5&amp;AT$5&amp;AU$5,AS11&amp;AT11&amp;AU11=AS$5&amp;AU$5&amp;AT$5,AS11&amp;AT11&amp;AU11=AT$5&amp;AS$5&amp;AU$5,AS11&amp;AT11&amp;AU11=AT$5&amp;AU$5&amp;AS$5,AS11&amp;AT11&amp;AU11=AU$5&amp;AS$5&amp;AT$5,AS11&amp;AT11&amp;AU11=AU$5&amp;AT$5&amp;AS$5),2,0),IF(AND(AS11=AS$5,AT$6&gt;=$D$129),1,0),IF(AND(AT11=AS$5,AT$6&gt;=$D$129),1,0),IF(AND(AU11=AS$5,AT$6&gt;=$D$129),1,0),IF(AS11&amp;AV11=AV$5,4,0),IF(AND(AS11=AS$5,AT$6&lt;=$D$104),-0.5,0),IF(AND(AT11=AS$5,AT$6&lt;=$D$104),-0.5,0),IF(AND(AU11=AS$5,AT$6&lt;=$D$104),-0.5,0))</f>
        <v/>
      </c>
      <c r="AX11" s="416" t="n"/>
      <c r="AY11" s="417" t="n"/>
      <c r="AZ11" s="417" t="n"/>
      <c r="BA11" s="417" t="n"/>
      <c r="BB11" s="602">
        <f>SUM(IF(AX11=AX$5,4,0),IF(AX11&amp;AY11=AX$5&amp;AY$5,1,0),
IF(AND(AX11=AX$5,AY$6&gt;=$D$115),1,0),
IF(AND(AY11=AX$5,AY$6&gt;=$D$115),1,0),
IF(AND(AZ11=AX$5,AY$6&gt;=$D$115),1,0),
IF(AX11&amp;BA11=BB$5,1,0),
IF(AY11=AX$5,2,0),
IF(AZ11=AX$5,1,0),
IF(OR(AX11&amp;AY11&amp;AZ11=AX$5&amp;AY$5&amp;AZ$5,AX11&amp;AY11&amp;AZ11=AX$5&amp;AZ$5&amp;AY$5,AX11&amp;AY11&amp;AZ11=AY$5&amp;AX$5&amp;AZ$5,AX11&amp;AY11&amp;AZ11=AY$5&amp;AZ$5&amp;AX$5,AX11&amp;AY11&amp;AZ11=AZ$5&amp;AX$5&amp;AY$5,AX11&amp;AY11&amp;AZ11=AZ$5&amp;AY$5&amp;AX$5),2,0),IF(AND(AX11=AX$5,AY$6&gt;=$D$129),1,0),IF(AND(AY11=AX$5,AY$6&gt;=$D$129),1,0),IF(AND(AZ11=AX$5,AY$6&gt;=$D$129),1,0),IF(AX11&amp;BA11=BA$5,4,0),IF(AND(AX11=AX$5,AY$6&lt;=$D$104),-0.5,0),IF(AND(AY11=AX$5,AY$6&lt;=$D$104),-0.5,0),IF(AND(AZ11=AX$5,AY$6&lt;=$D$104),-0.5,0))</f>
        <v/>
      </c>
      <c r="BC11" s="416" t="n"/>
      <c r="BD11" s="417" t="n"/>
      <c r="BE11" s="417" t="n"/>
      <c r="BF11" s="417" t="n"/>
      <c r="BG11" s="602">
        <f>SUM(IF(BC11=BC$5,4,0),IF(BC11&amp;BD11=BC$5&amp;BD$5,1,0),
IF(AND(BC11=BC$5,BD$6&gt;=$D$115),1,0),
IF(AND(BD11=BC$5,BD$6&gt;=$D$115),1,0),
IF(AND(BE11=BC$5,BD$6&gt;=$D$115),1,0),
IF(BC11&amp;BF11=BG$5,1,0),
IF(BD11=BC$5,2,0),
IF(BE11=BC$5,1,0),
IF(OR(BC11&amp;BD11&amp;BE11=BC$5&amp;BD$5&amp;BE$5,BC11&amp;BD11&amp;BE11=BC$5&amp;BE$5&amp;BD$5,BC11&amp;BD11&amp;BE11=BD$5&amp;BC$5&amp;BE$5,BC11&amp;BD11&amp;BE11=BD$5&amp;BE$5&amp;BC$5,BC11&amp;BD11&amp;BE11=BE$5&amp;BC$5&amp;BD$5,BC11&amp;BD11&amp;BE11=BE$5&amp;BD$5&amp;BC$5),2,0),IF(AND(BC11=BC$5,BD$6&gt;=$D$129),1,0),IF(AND(BD11=BC$5,BD$6&gt;=$D$129),1,0),IF(AND(BE11=BC$5,BD$6&gt;=$D$129),1,0),IF(BC11&amp;BF11=BF$5,4,0),IF(AND(BC11=BC$5,BD$6&lt;=$D$104),-0.5,0),IF(AND(BD11=BC$5,BD$6&lt;=$D$104),-0.5,0),IF(AND(BE11=BC$5,BD$6&lt;=$D$104),-0.5,0))</f>
        <v/>
      </c>
      <c r="BH11" s="416" t="n"/>
      <c r="BI11" s="417" t="n"/>
      <c r="BJ11" s="417" t="n"/>
      <c r="BK11" s="417" t="n"/>
      <c r="BL11" s="602">
        <f>SUM(IF(BH11=BH$5,4,0),IF(BH11&amp;BI11=BH$5&amp;BI$5,1,0),
IF(AND(BH11=BH$5,BI$6&gt;=$D$115),1,0),
IF(AND(BI11=BH$5,BI$6&gt;=$D$115),1,0),
IF(AND(BJ11=BH$5,BI$6&gt;=$D$115),1,0),
IF(BH11&amp;BK11=BL$5,1,0),
IF(BI11=BH$5,2,0),
IF(BJ11=BH$5,1,0),
IF(OR(BH11&amp;BI11&amp;BJ11=BH$5&amp;BI$5&amp;BJ$5,BH11&amp;BI11&amp;BJ11=BH$5&amp;BJ$5&amp;BI$5,BH11&amp;BI11&amp;BJ11=BI$5&amp;BH$5&amp;BJ$5,BH11&amp;BI11&amp;BJ11=BI$5&amp;BJ$5&amp;BH$5,BH11&amp;BI11&amp;BJ11=BJ$5&amp;BH$5&amp;BI$5,BH11&amp;BI11&amp;BJ11=BJ$5&amp;BI$5&amp;BH$5),2,0),IF(AND(BH11=BH$5,BI$6&gt;=$D$129),1,0),IF(AND(BI11=BH$5,BI$6&gt;=$D$129),1,0),IF(AND(BJ11=BH$5,BI$6&gt;=$D$129),1,0),IF(BH11&amp;BK11=BK$5,4,0),IF(AND(BH11=BH$5,BI$6&lt;=$D$104),-0.5,0),IF(AND(BI11=BH$5,BI$6&lt;=$D$104),-0.5,0),IF(AND(BJ11=BH$5,BI$6&lt;=$D$104),-0.5,0))</f>
        <v/>
      </c>
      <c r="BM11" s="416" t="n"/>
      <c r="BN11" s="417" t="n"/>
      <c r="BO11" s="417" t="n"/>
      <c r="BP11" s="417" t="n"/>
      <c r="BQ11" s="602">
        <f>SUM(IF(BM11=BM$5,4,0),IF(BM11&amp;BN11=BM$5&amp;BN$5,1,0),
IF(AND(BM11=BM$5,BN$6&gt;=$D$115),1,0),
IF(AND(BN11=BM$5,BN$6&gt;=$D$115),1,0),
IF(AND(BO11=BM$5,BN$6&gt;=$D$115),1,0),
IF(BM11&amp;BP11=BQ$5,1,0),
IF(BN11=BM$5,2,0),
IF(BO11=BM$5,1,0),
IF(OR(BM11&amp;BN11&amp;BO11=BM$5&amp;BN$5&amp;BO$5,BM11&amp;BN11&amp;BO11=BM$5&amp;BO$5&amp;BN$5,BM11&amp;BN11&amp;BO11=BN$5&amp;BM$5&amp;BO$5,BM11&amp;BN11&amp;BO11=BN$5&amp;BO$5&amp;BM$5,BM11&amp;BN11&amp;BO11=BO$5&amp;BM$5&amp;BN$5,BM11&amp;BN11&amp;BO11=BO$5&amp;BN$5&amp;BM$5),2,0),IF(AND(BM11=BM$5,BN$6&gt;=$D$129),1,0),IF(AND(BN11=BM$5,BN$6&gt;=$D$129),1,0),IF(AND(BO11=BM$5,BN$6&gt;=$D$129),1,0),IF(BM11&amp;BP11=BP$5,4,0),IF(AND(BM11=BM$5,BN$6&lt;=$D$104),-0.5,0),IF(AND(BN11=BM$5,BN$6&lt;=$D$104),-0.5,0),IF(AND(BO11=BM$5,BN$6&lt;=$D$104),-0.5,0))</f>
        <v/>
      </c>
      <c r="BR11" s="416" t="n"/>
      <c r="BS11" s="417" t="n"/>
      <c r="BT11" s="417" t="n"/>
      <c r="BU11" s="417" t="n"/>
      <c r="BV11" s="602">
        <f>SUM(IF(BR11=BR$5,4,0),IF(BR11&amp;BS11=BR$5&amp;BS$5,1,0),
IF(AND(BR11=BR$5,BS$6&gt;=$D$115),1,0),
IF(AND(BS11=BR$5,BS$6&gt;=$D$115),1,0),
IF(AND(BT11=BR$5,BS$6&gt;=$D$115),1,0),
IF(BR11&amp;BU11=BV$5,1,0),
IF(BS11=BR$5,2,0),
IF(BT11=BR$5,1,0),
IF(OR(BR11&amp;BS11&amp;BT11=BR$5&amp;BS$5&amp;BT$5,BR11&amp;BS11&amp;BT11=BR$5&amp;BT$5&amp;BS$5,BR11&amp;BS11&amp;BT11=BS$5&amp;BR$5&amp;BT$5,BR11&amp;BS11&amp;BT11=BS$5&amp;BT$5&amp;BR$5,BR11&amp;BS11&amp;BT11=BT$5&amp;BR$5&amp;BS$5,BR11&amp;BS11&amp;BT11=BT$5&amp;BS$5&amp;BR$5),2,0),IF(AND(BR11=BR$5,BS$6&gt;=$D$129),1,0),IF(AND(BS11=BR$5,BS$6&gt;=$D$129),1,0),IF(AND(BT11=BR$5,BS$6&gt;=$D$129),1,0),IF(BR11&amp;BU11=BU$5,4,0),IF(AND(BR11=BR$5,BS$6&lt;=$D$104),-0.5,0),IF(AND(BS11=BR$5,BS$6&lt;=$D$104),-0.5,0),IF(AND(BT11=BR$5,BS$6&lt;=$D$104),-0.5,0))</f>
        <v/>
      </c>
      <c r="BW11" s="416" t="n"/>
      <c r="BX11" s="417" t="n"/>
      <c r="BY11" s="417" t="n"/>
      <c r="BZ11" s="417" t="n"/>
      <c r="CA11" s="602">
        <f>SUM(IF(BW11=BW$5,4,0),IF(BW11&amp;BX11=BW$5&amp;BX$5,1,0),
IF(AND(BW11=BW$5,BX$6&gt;=$D$115),1,0),
IF(AND(BX11=BW$5,BX$6&gt;=$D$115),1,0),
IF(AND(BY11=BW$5,BX$6&gt;=$D$115),1,0),
IF(BW11&amp;BZ11=CA$5,1,0),
IF(BX11=BW$5,2,0),
IF(BY11=BW$5,1,0),
IF(OR(BW11&amp;BX11&amp;BY11=BW$5&amp;BX$5&amp;BY$5,BW11&amp;BX11&amp;BY11=BW$5&amp;BY$5&amp;BX$5,BW11&amp;BX11&amp;BY11=BX$5&amp;BW$5&amp;BY$5,BW11&amp;BX11&amp;BY11=BX$5&amp;BY$5&amp;BW$5,BW11&amp;BX11&amp;BY11=BY$5&amp;BW$5&amp;BX$5,BW11&amp;BX11&amp;BY11=BY$5&amp;BX$5&amp;BW$5),2,0),IF(AND(BW11=BW$5,BX$6&gt;=$D$129),1,0),IF(AND(BX11=BW$5,BX$6&gt;=$D$129),1,0),IF(AND(BY11=BW$5,BX$6&gt;=$D$129),1,0),IF(BW11&amp;BZ11=BZ$5,4,0),IF(AND(BW11=BW$5,BX$6&lt;=$D$104),-0.5,0),IF(AND(BX11=BW$5,BX$6&lt;=$D$104),-0.5,0),IF(AND(BY11=BW$5,BX$6&lt;=$D$104),-0.5,0))</f>
        <v/>
      </c>
      <c r="CB11" s="416" t="n"/>
      <c r="CC11" s="417" t="n"/>
      <c r="CD11" s="417" t="n"/>
      <c r="CE11" s="417" t="n"/>
      <c r="CF11" s="602">
        <f>SUM(IF(CB11=CB$5,4,0),IF(CB11&amp;CC11=CB$5&amp;CC$5,1,0),
IF(AND(CB11=CB$5,CC$6&gt;=$D$115),1,0),
IF(AND(CC11=CB$5,CC$6&gt;=$D$115),1,0),
IF(AND(CD11=CB$5,CC$6&gt;=$D$115),1,0),
IF(CB11&amp;CE11=CF$5,1,0),
IF(CC11=CB$5,2,0),
IF(CD11=CB$5,1,0),
IF(OR(CB11&amp;CC11&amp;CD11=CB$5&amp;CC$5&amp;CD$5,CB11&amp;CC11&amp;CD11=CB$5&amp;CD$5&amp;CC$5,CB11&amp;CC11&amp;CD11=CC$5&amp;CB$5&amp;CD$5,CB11&amp;CC11&amp;CD11=CC$5&amp;CD$5&amp;CB$5,CB11&amp;CC11&amp;CD11=CD$5&amp;CB$5&amp;CC$5,CB11&amp;CC11&amp;CD11=CD$5&amp;CC$5&amp;CB$5),2,0),IF(AND(CB11=CB$5,CC$6&gt;=$D$129),1,0),IF(AND(CC11=CB$5,CC$6&gt;=$D$129),1,0),IF(AND(CD11=CB$5,CC$6&gt;=$D$129),1,0),IF(CB11&amp;CE11=CE$5,4,0),IF(AND(CB11=CB$5,CC$6&lt;=$D$104),-0.5,0),IF(AND(CC11=CB$5,CC$6&lt;=$D$104),-0.5,0),IF(AND(CD11=CB$5,CC$6&lt;=$D$104),-0.5,0))</f>
        <v/>
      </c>
      <c r="CG11" s="164">
        <f>IF(SEMANA29[[#This Row],[1]]="",0,$B$4)</f>
        <v/>
      </c>
      <c r="CH11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1" s="166">
        <f>IF(SEMANA29[[#This Row],[Columna14]]=0,0,(CH11/CG11))</f>
        <v/>
      </c>
      <c r="CJ11" s="165">
        <f>IF(SEMANA29[[#This Row],[1]]="",0,$B$4)</f>
        <v/>
      </c>
      <c r="CK11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1" s="166">
        <f>IF(SEMANA29[[#This Row],[Columna14]]=0,0,(CK11/CJ11))</f>
        <v/>
      </c>
      <c r="CM11" s="164">
        <f>IF(SEMANA29[[#This Row],[1]]="",0,$B$4)</f>
        <v/>
      </c>
      <c r="CN11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1" s="166">
        <f>IF(SEMANA29[[#This Row],[Columna14]]=0,0,(CN11/CM11))</f>
        <v/>
      </c>
      <c r="CP11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1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Row],[Columna25]],$AX$5,BA11,"SF")+COUNTIFS(SEMANA29[[#This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1" s="166">
        <f>IFERROR(IF(SEMANA29[[#This Row],[Columna14]]=0,0,(CQ11/CP11)),0)</f>
        <v/>
      </c>
      <c r="CS11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1" s="95">
        <f>_xlfn.XLOOKUP(SEMANA29[[#This Row],[COD]],SEMANA2[COD],SEMANA2[Columna33])</f>
        <v/>
      </c>
      <c r="CU11" s="604">
        <f>SUM(CS11,CT11)</f>
        <v/>
      </c>
      <c r="CV11" s="450">
        <f>IF(SEMANA29[[#This Row],[TIPO]]="PREMIO",$O$3,"0,00")</f>
        <v/>
      </c>
      <c r="CW11" s="576" t="n"/>
      <c r="CY11" s="393" t="n">
        <v>4</v>
      </c>
      <c r="CZ11" s="354">
        <f>U$6</f>
        <v/>
      </c>
      <c r="DB11" s="605">
        <f>SEMANA29[[#This Row],[COD]]</f>
        <v/>
      </c>
      <c r="DC11" s="395">
        <f t="array" ref="DC11">IFERROR(IF(AND(INDEX($E$8:$CE$57, MATCH($C11, $C$8:$C$57, 0), (COLUMNS($DC11:DC11)-1)*5 + 1) = INDEX($E$5:$CE$5, 1, (COLUMNS($DC11:DC11)-1)*5 + 1), INDEX($E$8:$CE$57, MATCH($C11, $C$8:$C$57, 0), (COLUMNS($DC11:DC11)-1)*5 + 4) = "F"), INDEX($CZ$8:$CZ$23, COLUMNS($DC11:DC11)), "0"), "")</f>
        <v/>
      </c>
      <c r="DD11" s="395">
        <f t="array" ref="DD11">IFERROR(IF(AND(INDEX($E$8:$CE$57, MATCH($C11, $C$8:$C$57, 0), (COLUMNS($DC11:DD11)-1)*5 + 1) = INDEX($E$5:$CE$5, 1, (COLUMNS($DC11:DD11)-1)*5 + 1), INDEX($E$8:$CE$57, MATCH($C11, $C$8:$C$57, 0), (COLUMNS($DC11:DD11)-1)*5 + 4) = "F"), INDEX($CZ$8:$CZ$23, COLUMNS($DC11:DD11)), "0"), "")</f>
        <v/>
      </c>
      <c r="DE11" s="395">
        <f t="array" ref="DE11">IFERROR(IF(AND(INDEX($E$8:$CE$57, MATCH($C11, $C$8:$C$57, 0), (COLUMNS($DC11:DE11)-1)*5 + 1) = INDEX($E$5:$CE$5, 1, (COLUMNS($DC11:DE11)-1)*5 + 1), INDEX($E$8:$CE$57, MATCH($C11, $C$8:$C$57, 0), (COLUMNS($DC11:DE11)-1)*5 + 4) = "F"), INDEX($CZ$8:$CZ$23, COLUMNS($DC11:DE11)), "0"), "")</f>
        <v/>
      </c>
      <c r="DF11" s="395">
        <f t="array" ref="DF11">IFERROR(IF(AND(INDEX($E$8:$CE$57, MATCH($C11, $C$8:$C$57, 0), (COLUMNS($DC11:DF11)-1)*5 + 1) = INDEX($E$5:$CE$5, 1, (COLUMNS($DC11:DF11)-1)*5 + 1), INDEX($E$8:$CE$57, MATCH($C11, $C$8:$C$57, 0), (COLUMNS($DC11:DF11)-1)*5 + 4) = "F"), INDEX($CZ$8:$CZ$23, COLUMNS($DC11:DF11)), "0"), "")</f>
        <v/>
      </c>
      <c r="DG11" s="395">
        <f t="array" ref="DG11">IFERROR(IF(AND(INDEX($E$8:$CE$57, MATCH($C11, $C$8:$C$57, 0), (COLUMNS($DC11:DG11)-1)*5 + 1) = INDEX($E$5:$CE$5, 1, (COLUMNS($DC11:DG11)-1)*5 + 1), INDEX($E$8:$CE$57, MATCH($C11, $C$8:$C$57, 0), (COLUMNS($DC11:DG11)-1)*5 + 4) = "F"), INDEX($CZ$8:$CZ$23, COLUMNS($DC11:DG11)), "0"), "")</f>
        <v/>
      </c>
      <c r="DH11" s="395">
        <f t="array" ref="DH11">IFERROR(IF(AND(INDEX($E$8:$CE$57, MATCH($C11, $C$8:$C$57, 0), (COLUMNS($DC11:DH11)-1)*5 + 1) = INDEX($E$5:$CE$5, 1, (COLUMNS($DC11:DH11)-1)*5 + 1), INDEX($E$8:$CE$57, MATCH($C11, $C$8:$C$57, 0), (COLUMNS($DC11:DH11)-1)*5 + 4) = "F"), INDEX($CZ$8:$CZ$23, COLUMNS($DC11:DH11)), "0"), "")</f>
        <v/>
      </c>
      <c r="DI11" s="395">
        <f t="array" ref="DI11">IFERROR(IF(AND(INDEX($E$8:$CE$57, MATCH($C11, $C$8:$C$57, 0), (COLUMNS($DC11:DI11)-1)*5 + 1) = INDEX($E$5:$CE$5, 1, (COLUMNS($DC11:DI11)-1)*5 + 1), INDEX($E$8:$CE$57, MATCH($C11, $C$8:$C$57, 0), (COLUMNS($DC11:DI11)-1)*5 + 4) = "F"), INDEX($CZ$8:$CZ$23, COLUMNS($DC11:DI11)), "0"), "")</f>
        <v/>
      </c>
      <c r="DJ11" s="395">
        <f t="array" ref="DJ11">IFERROR(IF(AND(INDEX($E$8:$CE$57, MATCH($C11, $C$8:$C$57, 0), (COLUMNS($DC11:DJ11)-1)*5 + 1) = INDEX($E$5:$CE$5, 1, (COLUMNS($DC11:DJ11)-1)*5 + 1), INDEX($E$8:$CE$57, MATCH($C11, $C$8:$C$57, 0), (COLUMNS($DC11:DJ11)-1)*5 + 4) = "F"), INDEX($CZ$8:$CZ$23, COLUMNS($DC11:DJ11)), "0"), "")</f>
        <v/>
      </c>
      <c r="DK11" s="395">
        <f t="array" ref="DK11">IFERROR(IF(AND(INDEX($E$8:$CE$57, MATCH($C11, $C$8:$C$57, 0), (COLUMNS($DC11:DK11)-1)*5 + 1) = INDEX($E$5:$CE$5, 1, (COLUMNS($DC11:DK11)-1)*5 + 1), INDEX($E$8:$CE$57, MATCH($C11, $C$8:$C$57, 0), (COLUMNS($DC11:DK11)-1)*5 + 4) = "F"), INDEX($CZ$8:$CZ$23, COLUMNS($DC11:DK11)), "0"), "")</f>
        <v/>
      </c>
      <c r="DL11" s="395">
        <f t="array" ref="DL11">IFERROR(IF(AND(INDEX($E$8:$CE$57, MATCH($C11, $C$8:$C$57, 0), (COLUMNS($DC11:DL11)-1)*5 + 1) = INDEX($E$5:$CE$5, 1, (COLUMNS($DC11:DL11)-1)*5 + 1), INDEX($E$8:$CE$57, MATCH($C11, $C$8:$C$57, 0), (COLUMNS($DC11:DL11)-1)*5 + 4) = "F"), INDEX($CZ$8:$CZ$23, COLUMNS($DC11:DL11)), "0"), "")</f>
        <v/>
      </c>
      <c r="DM11" s="395">
        <f t="array" ref="DM11">IFERROR(IF(AND(INDEX($E$8:$CE$57, MATCH($C11, $C$8:$C$57, 0), (COLUMNS($DC11:DM11)-1)*5 + 1) = INDEX($E$5:$CE$5, 1, (COLUMNS($DC11:DM11)-1)*5 + 1), INDEX($E$8:$CE$57, MATCH($C11, $C$8:$C$57, 0), (COLUMNS($DC11:DM11)-1)*5 + 4) = "F"), INDEX($CZ$8:$CZ$23, COLUMNS($DC11:DM11)), "0"), "")</f>
        <v/>
      </c>
      <c r="DN11" s="395">
        <f t="array" ref="DN11">IFERROR(IF(AND(INDEX($E$8:$CE$57, MATCH($C11, $C$8:$C$57, 0), (COLUMNS($DC11:DN11)-1)*5 + 1) = INDEX($E$5:$CE$5, 1, (COLUMNS($DC11:DN11)-1)*5 + 1), INDEX($E$8:$CE$57, MATCH($C11, $C$8:$C$57, 0), (COLUMNS($DC11:DN11)-1)*5 + 4) = "F"), INDEX($CZ$8:$CZ$23, COLUMNS($DC11:DN11)), "0"), "")</f>
        <v/>
      </c>
      <c r="DO11" s="395">
        <f t="array" ref="DO11">IFERROR(IF(AND(INDEX($E$8:$CE$57, MATCH($C11, $C$8:$C$57, 0), (COLUMNS($DC11:DO11)-1)*5 + 1) = INDEX($E$5:$CE$5, 1, (COLUMNS($DC11:DO11)-1)*5 + 1), INDEX($E$8:$CE$57, MATCH($C11, $C$8:$C$57, 0), (COLUMNS($DC11:DO11)-1)*5 + 4) = "F"), INDEX($CZ$8:$CZ$23, COLUMNS($DC11:DO11)), "0"), "")</f>
        <v/>
      </c>
      <c r="DP11" s="395">
        <f t="array" ref="DP11">IFERROR(IF(AND(INDEX($E$8:$CE$57, MATCH($C11, $C$8:$C$57, 0), (COLUMNS($DC11:DP11)-1)*5 + 1) = INDEX($E$5:$CE$5, 1, (COLUMNS($DC11:DP11)-1)*5 + 1), INDEX($E$8:$CE$57, MATCH($C11, $C$8:$C$57, 0), (COLUMNS($DC11:DP11)-1)*5 + 4) = "F"), INDEX($CZ$8:$CZ$23, COLUMNS($DC11:DP11)), "0"), "")</f>
        <v/>
      </c>
      <c r="DQ11" s="395">
        <f t="array" ref="DQ11">IFERROR(IF(AND(INDEX($E$8:$CE$57, MATCH($C11, $C$8:$C$57, 0), (COLUMNS($DC11:DQ11)-1)*5 + 1) = INDEX($E$5:$CE$5, 1, (COLUMNS($DC11:DQ11)-1)*5 + 1), INDEX($E$8:$CE$57, MATCH($C11, $C$8:$C$57, 0), (COLUMNS($DC11:DQ11)-1)*5 + 4) = "F"), INDEX($CZ$8:$CZ$23, COLUMNS($DC11:DQ11)), "0"), "")</f>
        <v/>
      </c>
      <c r="DR11" s="395">
        <f t="array" ref="DR11">IFERROR(IF(AND(INDEX($E$8:$CE$57, MATCH($C11, $C$8:$C$57, 0), (COLUMNS($DC11:DR11)-1)*5 + 1) = INDEX($E$5:$CE$5, 1, (COLUMNS($DC11:DR11)-1)*5 + 1), INDEX($E$8:$CE$57, MATCH($C11, $C$8:$C$57, 0), (COLUMNS($DC11:DR11)-1)*5 + 4) = "F"), INDEX($CZ$8:$CZ$23, COLUMNS($DC11:DR11)), "0"), "")</f>
        <v/>
      </c>
      <c r="DT11" s="605">
        <f>SEMANA29[[#This Row],[COD]]</f>
        <v/>
      </c>
      <c r="DU11" s="395">
        <f t="array" ref="DU11">IFERROR(IF(AND(INDEX($E$8:$CE$57, MATCH($C11, $C$8:$C$57, 0), (COLUMNS($DU11:DU11)-1)*5 + 1) = INDEX($E$5:$CE$5, 1, (COLUMNS($DU11:DU11)-1)*5 + 1), INDEX($E$8:$CE$57, MATCH($C11, $C$8:$C$57, 0), (COLUMNS($DU11:DU11)-1)*5 + 4) = "SF"), INDEX($CZ$8:$CZ$23, COLUMNS($DU11:DU11)), "0"), "")</f>
        <v/>
      </c>
      <c r="DV11" s="395">
        <f t="array" ref="DV11">IFERROR(IF(AND(INDEX($E$8:$CE$57, MATCH($C11, $C$8:$C$57, 0), (COLUMNS($DU11:DV11)-1)*5 + 1) = INDEX($E$5:$CE$5, 1, (COLUMNS($DU11:DV11)-1)*5 + 1), INDEX($E$8:$CE$57, MATCH($C11, $C$8:$C$57, 0), (COLUMNS($DU11:DV11)-1)*5 + 4) = "SF"), INDEX($CZ$8:$CZ$23, COLUMNS($DU11:DV11)), "0"), "")</f>
        <v/>
      </c>
      <c r="DW11" s="395">
        <f t="array" ref="DW11">IFERROR(IF(AND(INDEX($E$8:$CE$57, MATCH($C11, $C$8:$C$57, 0), (COLUMNS($DU11:DW11)-1)*5 + 1) = INDEX($E$5:$CE$5, 1, (COLUMNS($DU11:DW11)-1)*5 + 1), INDEX($E$8:$CE$57, MATCH($C11, $C$8:$C$57, 0), (COLUMNS($DU11:DW11)-1)*5 + 4) = "SF"), INDEX($CZ$8:$CZ$23, COLUMNS($DU11:DW11)), "0"), "")</f>
        <v/>
      </c>
      <c r="DX11" s="395">
        <f t="array" ref="DX11">IFERROR(IF(AND(INDEX($E$8:$CE$57, MATCH($C11, $C$8:$C$57, 0), (COLUMNS($DU11:DX11)-1)*5 + 1) = INDEX($E$5:$CE$5, 1, (COLUMNS($DU11:DX11)-1)*5 + 1), INDEX($E$8:$CE$57, MATCH($C11, $C$8:$C$57, 0), (COLUMNS($DU11:DX11)-1)*5 + 4) = "SF"), INDEX($CZ$8:$CZ$23, COLUMNS($DU11:DX11)), "0"), "")</f>
        <v/>
      </c>
      <c r="DY11" s="395">
        <f t="array" ref="DY11">IFERROR(IF(AND(INDEX($E$8:$CE$57, MATCH($C11, $C$8:$C$57, 0), (COLUMNS($DU11:DY11)-1)*5 + 1) = INDEX($E$5:$CE$5, 1, (COLUMNS($DU11:DY11)-1)*5 + 1), INDEX($E$8:$CE$57, MATCH($C11, $C$8:$C$57, 0), (COLUMNS($DU11:DY11)-1)*5 + 4) = "SF"), INDEX($CZ$8:$CZ$23, COLUMNS($DU11:DY11)), "0"), "")</f>
        <v/>
      </c>
      <c r="DZ11" s="395">
        <f t="array" ref="DZ11">IFERROR(IF(AND(INDEX($E$8:$CE$57, MATCH($C11, $C$8:$C$57, 0), (COLUMNS($DU11:DZ11)-1)*5 + 1) = INDEX($E$5:$CE$5, 1, (COLUMNS($DU11:DZ11)-1)*5 + 1), INDEX($E$8:$CE$57, MATCH($C11, $C$8:$C$57, 0), (COLUMNS($DU11:DZ11)-1)*5 + 4) = "SF"), INDEX($CZ$8:$CZ$23, COLUMNS($DU11:DZ11)), "0"), "")</f>
        <v/>
      </c>
      <c r="EA11" s="395">
        <f t="array" ref="EA11">IFERROR(IF(AND(INDEX($E$8:$CE$57, MATCH($C11, $C$8:$C$57, 0), (COLUMNS($DU11:EA11)-1)*5 + 1) = INDEX($E$5:$CE$5, 1, (COLUMNS($DU11:EA11)-1)*5 + 1), INDEX($E$8:$CE$57, MATCH($C11, $C$8:$C$57, 0), (COLUMNS($DU11:EA11)-1)*5 + 4) = "SF"), INDEX($CZ$8:$CZ$23, COLUMNS($DU11:EA11)), "0"), "")</f>
        <v/>
      </c>
      <c r="EB11" s="395">
        <f t="array" ref="EB11">IFERROR(IF(AND(INDEX($E$8:$CE$57, MATCH($C11, $C$8:$C$57, 0), (COLUMNS($DU11:EB11)-1)*5 + 1) = INDEX($E$5:$CE$5, 1, (COLUMNS($DU11:EB11)-1)*5 + 1), INDEX($E$8:$CE$57, MATCH($C11, $C$8:$C$57, 0), (COLUMNS($DU11:EB11)-1)*5 + 4) = "SF"), INDEX($CZ$8:$CZ$23, COLUMNS($DU11:EB11)), "0"), "")</f>
        <v/>
      </c>
      <c r="EC11" s="395">
        <f t="array" ref="EC11">IFERROR(IF(AND(INDEX($E$8:$CE$57, MATCH($C11, $C$8:$C$57, 0), (COLUMNS($DU11:EC11)-1)*5 + 1) = INDEX($E$5:$CE$5, 1, (COLUMNS($DU11:EC11)-1)*5 + 1), INDEX($E$8:$CE$57, MATCH($C11, $C$8:$C$57, 0), (COLUMNS($DU11:EC11)-1)*5 + 4) = "SF"), INDEX($CZ$8:$CZ$23, COLUMNS($DU11:EC11)), "0"), "")</f>
        <v/>
      </c>
      <c r="ED11" s="395">
        <f t="array" ref="ED11">IFERROR(IF(AND(INDEX($E$8:$CE$57, MATCH($C11, $C$8:$C$57, 0), (COLUMNS($DU11:ED11)-1)*5 + 1) = INDEX($E$5:$CE$5, 1, (COLUMNS($DU11:ED11)-1)*5 + 1), INDEX($E$8:$CE$57, MATCH($C11, $C$8:$C$57, 0), (COLUMNS($DU11:ED11)-1)*5 + 4) = "SF"), INDEX($CZ$8:$CZ$23, COLUMNS($DU11:ED11)), "0"), "")</f>
        <v/>
      </c>
      <c r="EE11" s="395">
        <f t="array" ref="EE11">IFERROR(IF(AND(INDEX($E$8:$CE$57, MATCH($C11, $C$8:$C$57, 0), (COLUMNS($DU11:EE11)-1)*5 + 1) = INDEX($E$5:$CE$5, 1, (COLUMNS($DU11:EE11)-1)*5 + 1), INDEX($E$8:$CE$57, MATCH($C11, $C$8:$C$57, 0), (COLUMNS($DU11:EE11)-1)*5 + 4) = "SF"), INDEX($CZ$8:$CZ$23, COLUMNS($DU11:EE11)), "0"), "")</f>
        <v/>
      </c>
      <c r="EF11" s="395">
        <f t="array" ref="EF11">IFERROR(IF(AND(INDEX($E$8:$CE$57, MATCH($C11, $C$8:$C$57, 0), (COLUMNS($DU11:EF11)-1)*5 + 1) = INDEX($E$5:$CE$5, 1, (COLUMNS($DU11:EF11)-1)*5 + 1), INDEX($E$8:$CE$57, MATCH($C11, $C$8:$C$57, 0), (COLUMNS($DU11:EF11)-1)*5 + 4) = "SF"), INDEX($CZ$8:$CZ$23, COLUMNS($DU11:EF11)), "0"), "")</f>
        <v/>
      </c>
      <c r="EG11" s="395">
        <f t="array" ref="EG11">IFERROR(IF(AND(INDEX($E$8:$CE$57, MATCH($C11, $C$8:$C$57, 0), (COLUMNS($DU11:EG11)-1)*5 + 1) = INDEX($E$5:$CE$5, 1, (COLUMNS($DU11:EG11)-1)*5 + 1), INDEX($E$8:$CE$57, MATCH($C11, $C$8:$C$57, 0), (COLUMNS($DU11:EG11)-1)*5 + 4) = "SF"), INDEX($CZ$8:$CZ$23, COLUMNS($DU11:EG11)), "0"), "")</f>
        <v/>
      </c>
      <c r="EH11" s="395">
        <f t="array" ref="EH11">IFERROR(IF(AND(INDEX($E$8:$CE$57, MATCH($C11, $C$8:$C$57, 0), (COLUMNS($DU11:EH11)-1)*5 + 1) = INDEX($E$5:$CE$5, 1, (COLUMNS($DU11:EH11)-1)*5 + 1), INDEX($E$8:$CE$57, MATCH($C11, $C$8:$C$57, 0), (COLUMNS($DU11:EH11)-1)*5 + 4) = "SF"), INDEX($CZ$8:$CZ$23, COLUMNS($DU11:EH11)), "0"), "")</f>
        <v/>
      </c>
      <c r="EI11" s="395">
        <f t="array" ref="EI11">IFERROR(IF(AND(INDEX($E$8:$CE$57, MATCH($C11, $C$8:$C$57, 0), (COLUMNS($DU11:EI11)-1)*5 + 1) = INDEX($E$5:$CE$5, 1, (COLUMNS($DU11:EI11)-1)*5 + 1), INDEX($E$8:$CE$57, MATCH($C11, $C$8:$C$57, 0), (COLUMNS($DU11:EI11)-1)*5 + 4) = "SF"), INDEX($CZ$8:$CZ$23, COLUMNS($DU11:EI11)), "0"), "")</f>
        <v/>
      </c>
      <c r="EJ11" s="395">
        <f t="array" ref="EJ11">IFERROR(IF(AND(INDEX($E$8:$CE$57, MATCH($C11, $C$8:$C$57, 0), (COLUMNS($DU11:EJ11)-1)*5 + 1) = INDEX($E$5:$CE$5, 1, (COLUMNS($DU11:EJ11)-1)*5 + 1), INDEX($E$8:$CE$57, MATCH($C11, $C$8:$C$57, 0), (COLUMNS($DU11:EJ11)-1)*5 + 4) = "SF"), INDEX($CZ$8:$CZ$23, COLUMNS($DU11:EJ11)), "0"), "")</f>
        <v/>
      </c>
    </row>
    <row r="12" ht="20.1" customHeight="1" s="568">
      <c r="A12" s="576" t="n"/>
      <c r="B12" s="449">
        <f>IF(SEMANA29[[#This Row],[COD]]&lt;&gt;"",B11+1,"")</f>
        <v/>
      </c>
      <c r="C12" s="622" t="inlineStr">
        <is>
          <t>COD 05</t>
        </is>
      </c>
      <c r="D12" s="415">
        <f t="array" ref="D12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2" s="416" t="n"/>
      <c r="F12" s="416" t="n"/>
      <c r="G12" s="416" t="n"/>
      <c r="H12" s="416" t="n"/>
      <c r="I12" s="602">
        <f>SUM(IF(E12=E$5,4,0),IF(E12&amp;F12=E$5&amp;F$5,1,0),
IF(AND(E12=E$5,F$6&gt;=$D$115),1,0),
IF(AND(F12=E$5,F$6&gt;=$D$115),1,0),
IF(AND(G12=E$5,F$6&gt;=$D$115),1,0),
IF(E12&amp;H12=I$5,1,0),
IF(F12=E$5,2,0),
IF(G12=E$5,1,0),
IF(OR(E12&amp;F12&amp;G12=E$5&amp;F$5&amp;G$5,E12&amp;F12&amp;G12=E$5&amp;G$5&amp;F$5,E12&amp;F12&amp;G12=F$5&amp;E$5&amp;G$5,E12&amp;F12&amp;G12=F$5&amp;G$5&amp;E$5,E12&amp;F12&amp;G12=G$5&amp;E$5&amp;F$5,E12&amp;F12&amp;G12=G$5&amp;F$5&amp;E$5),2,0),IF(AND(E12=E$5,F$6&gt;=$D$129),1,0),IF(AND(F12=E$5,F$6&gt;=$D$129),1,0),IF(AND(G12=E$5,F$6&gt;=$D$129),1,0),IF(E12&amp;H12=H$5,4,0),IF(AND(E12=E$5,F$6&lt;=$D$104),-0.5,0),IF(AND(F12=E$5,F$6&lt;=$D$104),-0.5,0),IF(AND(G12=E$5,F$6&lt;=$D$104),-0.5,0))</f>
        <v/>
      </c>
      <c r="J12" s="416" t="n"/>
      <c r="K12" s="416" t="n"/>
      <c r="L12" s="416" t="n"/>
      <c r="M12" s="416" t="n"/>
      <c r="N12" s="602">
        <f>SUM(IF(J12=J$5,4,0),IF(J12&amp;K12=J$5&amp;K$5,1,0),
IF(AND(J12=J$5,K$6&gt;=$D$115),1,0),
IF(AND(K12=J$5,K$6&gt;=$D$115),1,0),
IF(AND(L12=J$5,K$6&gt;=$D$115),1,0),
IF(J12&amp;M12=N$5,1,0),
IF(K12=J$5,2,0),
IF(L12=J$5,1,0),
IF(OR(J12&amp;K12&amp;L12=J$5&amp;K$5&amp;L$5,J12&amp;K12&amp;L12=J$5&amp;L$5&amp;K$5,J12&amp;K12&amp;L12=K$5&amp;J$5&amp;L$5,J12&amp;K12&amp;L12=K$5&amp;L$5&amp;J$5,J12&amp;K12&amp;L12=L$5&amp;J$5&amp;K$5,J12&amp;K12&amp;L12=L$5&amp;K$5&amp;J$5),2,0),IF(AND(J12=J$5,K$6&gt;=$D$129),1,0),IF(AND(K12=J$5,K$6&gt;=$D$129),1,0),IF(AND(L12=J$5,K$6&gt;=$D$129),1,0),IF(J12&amp;M12=M$5,4,0),IF(AND(J12=J$5,K$6&lt;=$D$104),-0.5,0),IF(AND(K12=J$5,K$6&lt;=$D$104),-0.5,0),IF(AND(L12=J$5,K$6&lt;=$D$104),-0.5,0))</f>
        <v/>
      </c>
      <c r="O12" s="416" t="n"/>
      <c r="P12" s="416" t="n"/>
      <c r="Q12" s="416" t="n"/>
      <c r="R12" s="416" t="n"/>
      <c r="S12" s="602">
        <f>SUM(IF(O12=O$5,4,0),IF(O12&amp;P12=O$5&amp;P$5,1,0),
IF(AND(O12=O$5,P$6&gt;=$D$115),1,0),
IF(AND(P12=O$5,P$6&gt;=$D$115),1,0),
IF(AND(Q12=O$5,P$6&gt;=$D$115),1,0),
IF(O12&amp;R12=S$5,1,0),
IF(P12=O$5,2,0),
IF(Q12=O$5,1,0),
IF(OR(O12&amp;P12&amp;Q12=O$5&amp;P$5&amp;Q$5,O12&amp;P12&amp;Q12=O$5&amp;Q$5&amp;P$5,O12&amp;P12&amp;Q12=P$5&amp;O$5&amp;Q$5,O12&amp;P12&amp;Q12=P$5&amp;Q$5&amp;O$5,O12&amp;P12&amp;Q12=Q$5&amp;O$5&amp;P$5,O12&amp;P12&amp;Q12=Q$5&amp;P$5&amp;O$5),2,0),IF(AND(O12=O$5,P$6&gt;=$D$129),1,0),IF(AND(P12=O$5,P$6&gt;=$D$129),1,0),IF(AND(Q12=O$5,P$6&gt;=$D$129),1,0),IF(O12&amp;R12=R$5,4,0),IF(AND(O12=O$5,P$6&lt;=$D$104),-0.5,0),IF(AND(P12=O$5,P$6&lt;=$D$104),-0.5,0),IF(AND(Q12=O$5,P$6&lt;=$D$104),-0.5,0))</f>
        <v/>
      </c>
      <c r="T12" s="416" t="n"/>
      <c r="U12" s="416" t="n"/>
      <c r="V12" s="416" t="n"/>
      <c r="W12" s="416" t="n"/>
      <c r="X12" s="602">
        <f>SUM(IF(T12=T$5,4,0),IF(T12&amp;U12=T$5&amp;U$5,1,0),
IF(AND(T12=T$5,U$6&gt;=$D$115),1,0),
IF(AND(U12=T$5,U$6&gt;=$D$115),1,0),
IF(AND(V12=T$5,U$6&gt;=$D$115),1,0),
IF(T12&amp;W12=X$5,1,0),
IF(U12=T$5,2,0),
IF(V12=T$5,1,0),
IF(OR(T12&amp;U12&amp;V12=T$5&amp;U$5&amp;V$5,T12&amp;U12&amp;V12=T$5&amp;V$5&amp;U$5,T12&amp;U12&amp;V12=U$5&amp;T$5&amp;V$5,T12&amp;U12&amp;V12=U$5&amp;V$5&amp;T$5,T12&amp;U12&amp;V12=V$5&amp;T$5&amp;U$5,T12&amp;U12&amp;V12=V$5&amp;U$5&amp;T$5),2,0),IF(AND(T12=T$5,U$6&gt;=$D$129),1,0),IF(AND(U12=T$5,U$6&gt;=$D$129),1,0),IF(AND(V12=T$5,U$6&gt;=$D$129),1,0),IF(T12&amp;W12=W$5,4,0),IF(AND(T12=T$5,U$6&lt;=$D$104),-0.5,0),IF(AND(U12=T$5,U$6&lt;=$D$104),-0.5,0),IF(AND(V12=T$5,U$6&lt;=$D$104),-0.5,0))</f>
        <v/>
      </c>
      <c r="Y12" s="416" t="n"/>
      <c r="Z12" s="416" t="n"/>
      <c r="AA12" s="416" t="n"/>
      <c r="AB12" s="416" t="n"/>
      <c r="AC12" s="602">
        <f>SUM(IF(Y12=Y$5,4,0),IF(Y12&amp;Z12=Y$5&amp;Z$5,1,0),
IF(AND(Y12=Y$5,Z$6&gt;=$D$115),1,0),
IF(AND(Z12=Y$5,Z$6&gt;=$D$115),1,0),
IF(AND(AA12=Y$5,Z$6&gt;=$D$115),1,0),
IF(Y12&amp;AB12=AC$5,1,0),
IF(Z12=Y$5,2,0),
IF(AA12=Y$5,1,0),
IF(OR(Y12&amp;Z12&amp;AA12=Y$5&amp;Z$5&amp;AA$5,Y12&amp;Z12&amp;AA12=Y$5&amp;AA$5&amp;Z$5,Y12&amp;Z12&amp;AA12=Z$5&amp;Y$5&amp;AA$5,Y12&amp;Z12&amp;AA12=Z$5&amp;AA$5&amp;Y$5,Y12&amp;Z12&amp;AA12=AA$5&amp;Y$5&amp;Z$5,Y12&amp;Z12&amp;AA12=AA$5&amp;Z$5&amp;Y$5),2,0),IF(AND(Y12=Y$5,Z$6&gt;=$D$129),1,0),IF(AND(Z12=Y$5,Z$6&gt;=$D$129),1,0),IF(AND(AA12=Y$5,Z$6&gt;=$D$129),1,0),IF(Y12&amp;AB12=AB$5,4,0),IF(AND(Y12=Y$5,Z$6&lt;=$D$104),-0.5,0),IF(AND(Z12=Y$5,Z$6&lt;=$D$104),-0.5,0),IF(AND(AA12=Y$5,Z$6&lt;=$D$104),-0.5,0))</f>
        <v/>
      </c>
      <c r="AD12" s="416" t="n"/>
      <c r="AE12" s="416" t="n"/>
      <c r="AF12" s="416" t="n"/>
      <c r="AG12" s="416" t="n"/>
      <c r="AH12" s="602">
        <f>SUM(IF(AD12=AD$5,4,0),IF(AD12&amp;AE12=AD$5&amp;AE$5,1,0),
IF(AND(AD12=AD$5,AE$6&gt;=$D$115),1,0),
IF(AND(AE12=AD$5,AE$6&gt;=$D$115),1,0),
IF(AND(AF12=AD$5,AE$6&gt;=$D$115),1,0),
IF(AD12&amp;AG12=AH$5,1,0),
IF(AE12=AD$5,2,0),
IF(AF12=AD$5,1,0),
IF(OR(AD12&amp;AE12&amp;AF12=AD$5&amp;AE$5&amp;AF$5,AD12&amp;AE12&amp;AF12=AD$5&amp;AF$5&amp;AE$5,AD12&amp;AE12&amp;AF12=AE$5&amp;AD$5&amp;AF$5,AD12&amp;AE12&amp;AF12=AE$5&amp;AF$5&amp;AD$5,AD12&amp;AE12&amp;AF12=AF$5&amp;AD$5&amp;AE$5,AD12&amp;AE12&amp;AF12=AF$5&amp;AE$5&amp;AD$5),2,0),IF(AND(AD12=AD$5,AE$6&gt;=$D$129),1,0),IF(AND(AE12=AD$5,AE$6&gt;=$D$129),1,0),IF(AND(AF12=AD$5,AE$6&gt;=$D$129),1,0),IF(AD12&amp;AG12=AG$5,4,0),IF(AND(AD12=AD$5,AE$6&lt;=$D$104),-0.5,0),IF(AND(AE12=AD$5,AE$6&lt;=$D$104),-0.5,0),IF(AND(AF12=AD$5,AE$6&lt;=$D$104),-0.5,0))</f>
        <v/>
      </c>
      <c r="AI12" s="416" t="n"/>
      <c r="AJ12" s="416" t="n"/>
      <c r="AK12" s="416" t="n"/>
      <c r="AL12" s="416" t="n"/>
      <c r="AM12" s="602">
        <f>SUM(IF(AI12=AI$5,4,0),IF(AI12&amp;AJ12=AI$5&amp;AJ$5,1,0),
IF(AND(AI12=AI$5,AJ$6&gt;=$D$115),1,0),
IF(AND(AJ12=AI$5,AJ$6&gt;=$D$115),1,0),
IF(AND(AK12=AI$5,AJ$6&gt;=$D$115),1,0),
IF(AI12&amp;AL12=AM$5,1,0),
IF(AJ12=AI$5,2,0),
IF(AK12=AI$5,1,0),
IF(OR(AI12&amp;AJ12&amp;AK12=AI$5&amp;AJ$5&amp;AK$5,AI12&amp;AJ12&amp;AK12=AI$5&amp;AK$5&amp;AJ$5,AI12&amp;AJ12&amp;AK12=AJ$5&amp;AI$5&amp;AK$5,AI12&amp;AJ12&amp;AK12=AJ$5&amp;AK$5&amp;AI$5,AI12&amp;AJ12&amp;AK12=AK$5&amp;AI$5&amp;AJ$5,AI12&amp;AJ12&amp;AK12=AK$5&amp;AJ$5&amp;AI$5),2,0),IF(AND(AI12=AI$5,AJ$6&gt;=$D$129),1,0),IF(AND(AJ12=AI$5,AJ$6&gt;=$D$129),1,0),IF(AND(AK12=AI$5,AJ$6&gt;=$D$129),1,0),IF(AI12&amp;AL12=AL$5,4,0),IF(AND(AI12=AI$5,AJ$6&lt;=$D$104),-0.5,0),IF(AND(AJ12=AI$5,AJ$6&lt;=$D$104),-0.5,0),IF(AND(AK12=AI$5,AJ$6&lt;=$D$104),-0.5,0))</f>
        <v/>
      </c>
      <c r="AN12" s="416" t="n"/>
      <c r="AO12" s="416" t="n"/>
      <c r="AP12" s="416" t="n"/>
      <c r="AQ12" s="416" t="n"/>
      <c r="AR12" s="602">
        <f>SUM(IF(AN12=AN$5,4,0),IF(AN12&amp;AO12=AN$5&amp;AO$5,1,0),
IF(AND(AN12=AN$5,AO$6&gt;=$D$115),1,0),
IF(AND(AO12=AN$5,AO$6&gt;=$D$115),1,0),
IF(AND(AP12=AN$5,AO$6&gt;=$D$115),1,0),
IF(AN12&amp;AQ12=AR$5,1,0),
IF(AO12=AN$5,2,0),
IF(AP12=AN$5,1,0),
IF(OR(AN12&amp;AO12&amp;AP12=AN$5&amp;AO$5&amp;AP$5,AN12&amp;AO12&amp;AP12=AN$5&amp;AP$5&amp;AO$5,AN12&amp;AO12&amp;AP12=AO$5&amp;AN$5&amp;AP$5,AN12&amp;AO12&amp;AP12=AO$5&amp;AP$5&amp;AN$5,AN12&amp;AO12&amp;AP12=AP$5&amp;AN$5&amp;AO$5,AN12&amp;AO12&amp;AP12=AP$5&amp;AO$5&amp;AN$5),2,0),IF(AND(AN12=AN$5,AO$6&gt;=$D$129),1,0),IF(AND(AO12=AN$5,AO$6&gt;=$D$129),1,0),IF(AND(AP12=AN$5,AO$6&gt;=$D$129),1,0),IF(AN12&amp;AQ12=AQ$5,4,0),IF(AND(AN12=AN$5,AO$6&lt;=$D$104),-0.5,0),IF(AND(AO12=AN$5,AO$6&lt;=$D$104),-0.5,0),IF(AND(AP12=AN$5,AO$6&lt;=$D$104),-0.5,0))</f>
        <v/>
      </c>
      <c r="AS12" s="416" t="n"/>
      <c r="AT12" s="416" t="n"/>
      <c r="AU12" s="416" t="n"/>
      <c r="AV12" s="416" t="n"/>
      <c r="AW12" s="602">
        <f>SUM(IF(AS12=AS$5,4,0),IF(AS12&amp;AT12=AS$5&amp;AT$5,1,0),
IF(AND(AS12=AS$5,AT$6&gt;=$D$115),1,0),
IF(AND(AT12=AS$5,AT$6&gt;=$D$115),1,0),
IF(AND(AU12=AS$5,AT$6&gt;=$D$115),1,0),
IF(AS12&amp;AV12=AW$5,1,0),
IF(AT12=AS$5,2,0),
IF(AU12=AS$5,1,0),
IF(OR(AS12&amp;AT12&amp;AU12=AS$5&amp;AT$5&amp;AU$5,AS12&amp;AT12&amp;AU12=AS$5&amp;AU$5&amp;AT$5,AS12&amp;AT12&amp;AU12=AT$5&amp;AS$5&amp;AU$5,AS12&amp;AT12&amp;AU12=AT$5&amp;AU$5&amp;AS$5,AS12&amp;AT12&amp;AU12=AU$5&amp;AS$5&amp;AT$5,AS12&amp;AT12&amp;AU12=AU$5&amp;AT$5&amp;AS$5),2,0),IF(AND(AS12=AS$5,AT$6&gt;=$D$129),1,0),IF(AND(AT12=AS$5,AT$6&gt;=$D$129),1,0),IF(AND(AU12=AS$5,AT$6&gt;=$D$129),1,0),IF(AS12&amp;AV12=AV$5,4,0),IF(AND(AS12=AS$5,AT$6&lt;=$D$104),-0.5,0),IF(AND(AT12=AS$5,AT$6&lt;=$D$104),-0.5,0),IF(AND(AU12=AS$5,AT$6&lt;=$D$104),-0.5,0))</f>
        <v/>
      </c>
      <c r="AX12" s="416" t="n"/>
      <c r="AY12" s="416" t="n"/>
      <c r="AZ12" s="416" t="n"/>
      <c r="BA12" s="416" t="n"/>
      <c r="BB12" s="602">
        <f>SUM(IF(AX12=AX$5,4,0),IF(AX12&amp;AY12=AX$5&amp;AY$5,1,0),
IF(AND(AX12=AX$5,AY$6&gt;=$D$115),1,0),
IF(AND(AY12=AX$5,AY$6&gt;=$D$115),1,0),
IF(AND(AZ12=AX$5,AY$6&gt;=$D$115),1,0),
IF(AX12&amp;BA12=BB$5,1,0),
IF(AY12=AX$5,2,0),
IF(AZ12=AX$5,1,0),
IF(OR(AX12&amp;AY12&amp;AZ12=AX$5&amp;AY$5&amp;AZ$5,AX12&amp;AY12&amp;AZ12=AX$5&amp;AZ$5&amp;AY$5,AX12&amp;AY12&amp;AZ12=AY$5&amp;AX$5&amp;AZ$5,AX12&amp;AY12&amp;AZ12=AY$5&amp;AZ$5&amp;AX$5,AX12&amp;AY12&amp;AZ12=AZ$5&amp;AX$5&amp;AY$5,AX12&amp;AY12&amp;AZ12=AZ$5&amp;AY$5&amp;AX$5),2,0),IF(AND(AX12=AX$5,AY$6&gt;=$D$129),1,0),IF(AND(AY12=AX$5,AY$6&gt;=$D$129),1,0),IF(AND(AZ12=AX$5,AY$6&gt;=$D$129),1,0),IF(AX12&amp;BA12=BA$5,4,0),IF(AND(AX12=AX$5,AY$6&lt;=$D$104),-0.5,0),IF(AND(AY12=AX$5,AY$6&lt;=$D$104),-0.5,0),IF(AND(AZ12=AX$5,AY$6&lt;=$D$104),-0.5,0))</f>
        <v/>
      </c>
      <c r="BC12" s="416" t="n"/>
      <c r="BD12" s="416" t="n"/>
      <c r="BE12" s="416" t="n"/>
      <c r="BF12" s="416" t="n"/>
      <c r="BG12" s="602">
        <f>SUM(IF(BC12=BC$5,4,0),IF(BC12&amp;BD12=BC$5&amp;BD$5,1,0),
IF(AND(BC12=BC$5,BD$6&gt;=$D$115),1,0),
IF(AND(BD12=BC$5,BD$6&gt;=$D$115),1,0),
IF(AND(BE12=BC$5,BD$6&gt;=$D$115),1,0),
IF(BC12&amp;BF12=BG$5,1,0),
IF(BD12=BC$5,2,0),
IF(BE12=BC$5,1,0),
IF(OR(BC12&amp;BD12&amp;BE12=BC$5&amp;BD$5&amp;BE$5,BC12&amp;BD12&amp;BE12=BC$5&amp;BE$5&amp;BD$5,BC12&amp;BD12&amp;BE12=BD$5&amp;BC$5&amp;BE$5,BC12&amp;BD12&amp;BE12=BD$5&amp;BE$5&amp;BC$5,BC12&amp;BD12&amp;BE12=BE$5&amp;BC$5&amp;BD$5,BC12&amp;BD12&amp;BE12=BE$5&amp;BD$5&amp;BC$5),2,0),IF(AND(BC12=BC$5,BD$6&gt;=$D$129),1,0),IF(AND(BD12=BC$5,BD$6&gt;=$D$129),1,0),IF(AND(BE12=BC$5,BD$6&gt;=$D$129),1,0),IF(BC12&amp;BF12=BF$5,4,0),IF(AND(BC12=BC$5,BD$6&lt;=$D$104),-0.5,0),IF(AND(BD12=BC$5,BD$6&lt;=$D$104),-0.5,0),IF(AND(BE12=BC$5,BD$6&lt;=$D$104),-0.5,0))</f>
        <v/>
      </c>
      <c r="BH12" s="416" t="n"/>
      <c r="BI12" s="416" t="n"/>
      <c r="BJ12" s="416" t="n"/>
      <c r="BK12" s="416" t="n"/>
      <c r="BL12" s="602">
        <f>SUM(IF(BH12=BH$5,4,0),IF(BH12&amp;BI12=BH$5&amp;BI$5,1,0),
IF(AND(BH12=BH$5,BI$6&gt;=$D$115),1,0),
IF(AND(BI12=BH$5,BI$6&gt;=$D$115),1,0),
IF(AND(BJ12=BH$5,BI$6&gt;=$D$115),1,0),
IF(BH12&amp;BK12=BL$5,1,0),
IF(BI12=BH$5,2,0),
IF(BJ12=BH$5,1,0),
IF(OR(BH12&amp;BI12&amp;BJ12=BH$5&amp;BI$5&amp;BJ$5,BH12&amp;BI12&amp;BJ12=BH$5&amp;BJ$5&amp;BI$5,BH12&amp;BI12&amp;BJ12=BI$5&amp;BH$5&amp;BJ$5,BH12&amp;BI12&amp;BJ12=BI$5&amp;BJ$5&amp;BH$5,BH12&amp;BI12&amp;BJ12=BJ$5&amp;BH$5&amp;BI$5,BH12&amp;BI12&amp;BJ12=BJ$5&amp;BI$5&amp;BH$5),2,0),IF(AND(BH12=BH$5,BI$6&gt;=$D$129),1,0),IF(AND(BI12=BH$5,BI$6&gt;=$D$129),1,0),IF(AND(BJ12=BH$5,BI$6&gt;=$D$129),1,0),IF(BH12&amp;BK12=BK$5,4,0),IF(AND(BH12=BH$5,BI$6&lt;=$D$104),-0.5,0),IF(AND(BI12=BH$5,BI$6&lt;=$D$104),-0.5,0),IF(AND(BJ12=BH$5,BI$6&lt;=$D$104),-0.5,0))</f>
        <v/>
      </c>
      <c r="BM12" s="416" t="n"/>
      <c r="BN12" s="416" t="n"/>
      <c r="BO12" s="416" t="n"/>
      <c r="BP12" s="416" t="n"/>
      <c r="BQ12" s="602">
        <f>SUM(IF(BM12=BM$5,4,0),IF(BM12&amp;BN12=BM$5&amp;BN$5,1,0),
IF(AND(BM12=BM$5,BN$6&gt;=$D$115),1,0),
IF(AND(BN12=BM$5,BN$6&gt;=$D$115),1,0),
IF(AND(BO12=BM$5,BN$6&gt;=$D$115),1,0),
IF(BM12&amp;BP12=BQ$5,1,0),
IF(BN12=BM$5,2,0),
IF(BO12=BM$5,1,0),
IF(OR(BM12&amp;BN12&amp;BO12=BM$5&amp;BN$5&amp;BO$5,BM12&amp;BN12&amp;BO12=BM$5&amp;BO$5&amp;BN$5,BM12&amp;BN12&amp;BO12=BN$5&amp;BM$5&amp;BO$5,BM12&amp;BN12&amp;BO12=BN$5&amp;BO$5&amp;BM$5,BM12&amp;BN12&amp;BO12=BO$5&amp;BM$5&amp;BN$5,BM12&amp;BN12&amp;BO12=BO$5&amp;BN$5&amp;BM$5),2,0),IF(AND(BM12=BM$5,BN$6&gt;=$D$129),1,0),IF(AND(BN12=BM$5,BN$6&gt;=$D$129),1,0),IF(AND(BO12=BM$5,BN$6&gt;=$D$129),1,0),IF(BM12&amp;BP12=BP$5,4,0),IF(AND(BM12=BM$5,BN$6&lt;=$D$104),-0.5,0),IF(AND(BN12=BM$5,BN$6&lt;=$D$104),-0.5,0),IF(AND(BO12=BM$5,BN$6&lt;=$D$104),-0.5,0))</f>
        <v/>
      </c>
      <c r="BR12" s="416" t="n"/>
      <c r="BS12" s="416" t="n"/>
      <c r="BT12" s="416" t="n"/>
      <c r="BU12" s="416" t="n"/>
      <c r="BV12" s="602">
        <f>SUM(IF(BR12=BR$5,4,0),IF(BR12&amp;BS12=BR$5&amp;BS$5,1,0),
IF(AND(BR12=BR$5,BS$6&gt;=$D$115),1,0),
IF(AND(BS12=BR$5,BS$6&gt;=$D$115),1,0),
IF(AND(BT12=BR$5,BS$6&gt;=$D$115),1,0),
IF(BR12&amp;BU12=BV$5,1,0),
IF(BS12=BR$5,2,0),
IF(BT12=BR$5,1,0),
IF(OR(BR12&amp;BS12&amp;BT12=BR$5&amp;BS$5&amp;BT$5,BR12&amp;BS12&amp;BT12=BR$5&amp;BT$5&amp;BS$5,BR12&amp;BS12&amp;BT12=BS$5&amp;BR$5&amp;BT$5,BR12&amp;BS12&amp;BT12=BS$5&amp;BT$5&amp;BR$5,BR12&amp;BS12&amp;BT12=BT$5&amp;BR$5&amp;BS$5,BR12&amp;BS12&amp;BT12=BT$5&amp;BS$5&amp;BR$5),2,0),IF(AND(BR12=BR$5,BS$6&gt;=$D$129),1,0),IF(AND(BS12=BR$5,BS$6&gt;=$D$129),1,0),IF(AND(BT12=BR$5,BS$6&gt;=$D$129),1,0),IF(BR12&amp;BU12=BU$5,4,0),IF(AND(BR12=BR$5,BS$6&lt;=$D$104),-0.5,0),IF(AND(BS12=BR$5,BS$6&lt;=$D$104),-0.5,0),IF(AND(BT12=BR$5,BS$6&lt;=$D$104),-0.5,0))</f>
        <v/>
      </c>
      <c r="BW12" s="416" t="n"/>
      <c r="BX12" s="416" t="n"/>
      <c r="BY12" s="416" t="n"/>
      <c r="BZ12" s="416" t="n"/>
      <c r="CA12" s="602">
        <f>SUM(IF(BW12=BW$5,4,0),IF(BW12&amp;BX12=BW$5&amp;BX$5,1,0),
IF(AND(BW12=BW$5,BX$6&gt;=$D$115),1,0),
IF(AND(BX12=BW$5,BX$6&gt;=$D$115),1,0),
IF(AND(BY12=BW$5,BX$6&gt;=$D$115),1,0),
IF(BW12&amp;BZ12=CA$5,1,0),
IF(BX12=BW$5,2,0),
IF(BY12=BW$5,1,0),
IF(OR(BW12&amp;BX12&amp;BY12=BW$5&amp;BX$5&amp;BY$5,BW12&amp;BX12&amp;BY12=BW$5&amp;BY$5&amp;BX$5,BW12&amp;BX12&amp;BY12=BX$5&amp;BW$5&amp;BY$5,BW12&amp;BX12&amp;BY12=BX$5&amp;BY$5&amp;BW$5,BW12&amp;BX12&amp;BY12=BY$5&amp;BW$5&amp;BX$5,BW12&amp;BX12&amp;BY12=BY$5&amp;BX$5&amp;BW$5),2,0),IF(AND(BW12=BW$5,BX$6&gt;=$D$129),1,0),IF(AND(BX12=BW$5,BX$6&gt;=$D$129),1,0),IF(AND(BY12=BW$5,BX$6&gt;=$D$129),1,0),IF(BW12&amp;BZ12=BZ$5,4,0),IF(AND(BW12=BW$5,BX$6&lt;=$D$104),-0.5,0),IF(AND(BX12=BW$5,BX$6&lt;=$D$104),-0.5,0),IF(AND(BY12=BW$5,BX$6&lt;=$D$104),-0.5,0))</f>
        <v/>
      </c>
      <c r="CB12" s="416" t="n"/>
      <c r="CC12" s="416" t="n"/>
      <c r="CD12" s="416" t="n"/>
      <c r="CE12" s="416" t="n"/>
      <c r="CF12" s="602">
        <f>SUM(IF(CB12=CB$5,4,0),IF(CB12&amp;CC12=CB$5&amp;CC$5,1,0),
IF(AND(CB12=CB$5,CC$6&gt;=$D$115),1,0),
IF(AND(CC12=CB$5,CC$6&gt;=$D$115),1,0),
IF(AND(CD12=CB$5,CC$6&gt;=$D$115),1,0),
IF(CB12&amp;CE12=CF$5,1,0),
IF(CC12=CB$5,2,0),
IF(CD12=CB$5,1,0),
IF(OR(CB12&amp;CC12&amp;CD12=CB$5&amp;CC$5&amp;CD$5,CB12&amp;CC12&amp;CD12=CB$5&amp;CD$5&amp;CC$5,CB12&amp;CC12&amp;CD12=CC$5&amp;CB$5&amp;CD$5,CB12&amp;CC12&amp;CD12=CC$5&amp;CD$5&amp;CB$5,CB12&amp;CC12&amp;CD12=CD$5&amp;CB$5&amp;CC$5,CB12&amp;CC12&amp;CD12=CD$5&amp;CC$5&amp;CB$5),2,0),IF(AND(CB12=CB$5,CC$6&gt;=$D$129),1,0),IF(AND(CC12=CB$5,CC$6&gt;=$D$129),1,0),IF(AND(CD12=CB$5,CC$6&gt;=$D$129),1,0),IF(CB12&amp;CE12=CE$5,4,0),IF(AND(CB12=CB$5,CC$6&lt;=$D$104),-0.5,0),IF(AND(CC12=CB$5,CC$6&lt;=$D$104),-0.5,0),IF(AND(CD12=CB$5,CC$6&lt;=$D$104),-0.5,0))</f>
        <v/>
      </c>
      <c r="CG12" s="164">
        <f>IF(SEMANA29[[#This Row],[1]]="",0,$B$4)</f>
        <v/>
      </c>
      <c r="CH12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2" s="166">
        <f>IF(SEMANA29[[#This Row],[Columna14]]=0,0,(CH12/CG12))</f>
        <v/>
      </c>
      <c r="CJ12" s="165">
        <f>IF(SEMANA29[[#This Row],[1]]="",0,$B$4)</f>
        <v/>
      </c>
      <c r="CK12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2" s="166">
        <f>IF(SEMANA29[[#This Row],[Columna14]]=0,0,(CK12/CJ12))</f>
        <v/>
      </c>
      <c r="CM12" s="164">
        <f>IF(SEMANA29[[#This Row],[1]]="",0,$B$4)</f>
        <v/>
      </c>
      <c r="CN12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2" s="166">
        <f>IF(SEMANA29[[#This Row],[Columna14]]=0,0,(CN12/CM12))</f>
        <v/>
      </c>
      <c r="CP12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2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Row],[Columna25]],$AX$5,BA12,"SF")+COUNTIFS(SEMANA29[[#This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2" s="166">
        <f>IFERROR(IF(SEMANA29[[#This Row],[Columna14]]=0,0,(CQ12/CP12)),0)</f>
        <v/>
      </c>
      <c r="CS12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2" s="95">
        <f>_xlfn.XLOOKUP(SEMANA29[[#This Row],[COD]],SEMANA2[COD],SEMANA2[Columna33])</f>
        <v/>
      </c>
      <c r="CU12" s="604">
        <f>SUM(CS12,CT12)</f>
        <v/>
      </c>
      <c r="CV12" s="450">
        <f>IF(SEMANA29[[#This Row],[TIPO]]="PREMIO",$O$3,"0,00")</f>
        <v/>
      </c>
      <c r="CW12" s="576" t="n"/>
      <c r="CY12" s="393" t="n">
        <v>5</v>
      </c>
      <c r="CZ12" s="354">
        <f>Z$6</f>
        <v/>
      </c>
      <c r="DB12" s="605">
        <f>SEMANA29[[#This Row],[COD]]</f>
        <v/>
      </c>
      <c r="DC12" s="395">
        <f t="array" ref="DC12">IFERROR(IF(AND(INDEX($E$8:$CE$57, MATCH($C12, $C$8:$C$57, 0), (COLUMNS($DC12:DC12)-1)*5 + 1) = INDEX($E$5:$CE$5, 1, (COLUMNS($DC12:DC12)-1)*5 + 1), INDEX($E$8:$CE$57, MATCH($C12, $C$8:$C$57, 0), (COLUMNS($DC12:DC12)-1)*5 + 4) = "F"), INDEX($CZ$8:$CZ$23, COLUMNS($DC12:DC12)), "0"), "")</f>
        <v/>
      </c>
      <c r="DD12" s="395">
        <f t="array" ref="DD12">IFERROR(IF(AND(INDEX($E$8:$CE$57, MATCH($C12, $C$8:$C$57, 0), (COLUMNS($DC12:DD12)-1)*5 + 1) = INDEX($E$5:$CE$5, 1, (COLUMNS($DC12:DD12)-1)*5 + 1), INDEX($E$8:$CE$57, MATCH($C12, $C$8:$C$57, 0), (COLUMNS($DC12:DD12)-1)*5 + 4) = "F"), INDEX($CZ$8:$CZ$23, COLUMNS($DC12:DD12)), "0"), "")</f>
        <v/>
      </c>
      <c r="DE12" s="395">
        <f t="array" ref="DE12">IFERROR(IF(AND(INDEX($E$8:$CE$57, MATCH($C12, $C$8:$C$57, 0), (COLUMNS($DC12:DE12)-1)*5 + 1) = INDEX($E$5:$CE$5, 1, (COLUMNS($DC12:DE12)-1)*5 + 1), INDEX($E$8:$CE$57, MATCH($C12, $C$8:$C$57, 0), (COLUMNS($DC12:DE12)-1)*5 + 4) = "F"), INDEX($CZ$8:$CZ$23, COLUMNS($DC12:DE12)), "0"), "")</f>
        <v/>
      </c>
      <c r="DF12" s="395">
        <f t="array" ref="DF12">IFERROR(IF(AND(INDEX($E$8:$CE$57, MATCH($C12, $C$8:$C$57, 0), (COLUMNS($DC12:DF12)-1)*5 + 1) = INDEX($E$5:$CE$5, 1, (COLUMNS($DC12:DF12)-1)*5 + 1), INDEX($E$8:$CE$57, MATCH($C12, $C$8:$C$57, 0), (COLUMNS($DC12:DF12)-1)*5 + 4) = "F"), INDEX($CZ$8:$CZ$23, COLUMNS($DC12:DF12)), "0"), "")</f>
        <v/>
      </c>
      <c r="DG12" s="395">
        <f t="array" ref="DG12">IFERROR(IF(AND(INDEX($E$8:$CE$57, MATCH($C12, $C$8:$C$57, 0), (COLUMNS($DC12:DG12)-1)*5 + 1) = INDEX($E$5:$CE$5, 1, (COLUMNS($DC12:DG12)-1)*5 + 1), INDEX($E$8:$CE$57, MATCH($C12, $C$8:$C$57, 0), (COLUMNS($DC12:DG12)-1)*5 + 4) = "F"), INDEX($CZ$8:$CZ$23, COLUMNS($DC12:DG12)), "0"), "")</f>
        <v/>
      </c>
      <c r="DH12" s="395">
        <f t="array" ref="DH12">IFERROR(IF(AND(INDEX($E$8:$CE$57, MATCH($C12, $C$8:$C$57, 0), (COLUMNS($DC12:DH12)-1)*5 + 1) = INDEX($E$5:$CE$5, 1, (COLUMNS($DC12:DH12)-1)*5 + 1), INDEX($E$8:$CE$57, MATCH($C12, $C$8:$C$57, 0), (COLUMNS($DC12:DH12)-1)*5 + 4) = "F"), INDEX($CZ$8:$CZ$23, COLUMNS($DC12:DH12)), "0"), "")</f>
        <v/>
      </c>
      <c r="DI12" s="395">
        <f t="array" ref="DI12">IFERROR(IF(AND(INDEX($E$8:$CE$57, MATCH($C12, $C$8:$C$57, 0), (COLUMNS($DC12:DI12)-1)*5 + 1) = INDEX($E$5:$CE$5, 1, (COLUMNS($DC12:DI12)-1)*5 + 1), INDEX($E$8:$CE$57, MATCH($C12, $C$8:$C$57, 0), (COLUMNS($DC12:DI12)-1)*5 + 4) = "F"), INDEX($CZ$8:$CZ$23, COLUMNS($DC12:DI12)), "0"), "")</f>
        <v/>
      </c>
      <c r="DJ12" s="395">
        <f t="array" ref="DJ12">IFERROR(IF(AND(INDEX($E$8:$CE$57, MATCH($C12, $C$8:$C$57, 0), (COLUMNS($DC12:DJ12)-1)*5 + 1) = INDEX($E$5:$CE$5, 1, (COLUMNS($DC12:DJ12)-1)*5 + 1), INDEX($E$8:$CE$57, MATCH($C12, $C$8:$C$57, 0), (COLUMNS($DC12:DJ12)-1)*5 + 4) = "F"), INDEX($CZ$8:$CZ$23, COLUMNS($DC12:DJ12)), "0"), "")</f>
        <v/>
      </c>
      <c r="DK12" s="395">
        <f t="array" ref="DK12">IFERROR(IF(AND(INDEX($E$8:$CE$57, MATCH($C12, $C$8:$C$57, 0), (COLUMNS($DC12:DK12)-1)*5 + 1) = INDEX($E$5:$CE$5, 1, (COLUMNS($DC12:DK12)-1)*5 + 1), INDEX($E$8:$CE$57, MATCH($C12, $C$8:$C$57, 0), (COLUMNS($DC12:DK12)-1)*5 + 4) = "F"), INDEX($CZ$8:$CZ$23, COLUMNS($DC12:DK12)), "0"), "")</f>
        <v/>
      </c>
      <c r="DL12" s="395">
        <f t="array" ref="DL12">IFERROR(IF(AND(INDEX($E$8:$CE$57, MATCH($C12, $C$8:$C$57, 0), (COLUMNS($DC12:DL12)-1)*5 + 1) = INDEX($E$5:$CE$5, 1, (COLUMNS($DC12:DL12)-1)*5 + 1), INDEX($E$8:$CE$57, MATCH($C12, $C$8:$C$57, 0), (COLUMNS($DC12:DL12)-1)*5 + 4) = "F"), INDEX($CZ$8:$CZ$23, COLUMNS($DC12:DL12)), "0"), "")</f>
        <v/>
      </c>
      <c r="DM12" s="395">
        <f t="array" ref="DM12">IFERROR(IF(AND(INDEX($E$8:$CE$57, MATCH($C12, $C$8:$C$57, 0), (COLUMNS($DC12:DM12)-1)*5 + 1) = INDEX($E$5:$CE$5, 1, (COLUMNS($DC12:DM12)-1)*5 + 1), INDEX($E$8:$CE$57, MATCH($C12, $C$8:$C$57, 0), (COLUMNS($DC12:DM12)-1)*5 + 4) = "F"), INDEX($CZ$8:$CZ$23, COLUMNS($DC12:DM12)), "0"), "")</f>
        <v/>
      </c>
      <c r="DN12" s="395">
        <f t="array" ref="DN12">IFERROR(IF(AND(INDEX($E$8:$CE$57, MATCH($C12, $C$8:$C$57, 0), (COLUMNS($DC12:DN12)-1)*5 + 1) = INDEX($E$5:$CE$5, 1, (COLUMNS($DC12:DN12)-1)*5 + 1), INDEX($E$8:$CE$57, MATCH($C12, $C$8:$C$57, 0), (COLUMNS($DC12:DN12)-1)*5 + 4) = "F"), INDEX($CZ$8:$CZ$23, COLUMNS($DC12:DN12)), "0"), "")</f>
        <v/>
      </c>
      <c r="DO12" s="395">
        <f t="array" ref="DO12">IFERROR(IF(AND(INDEX($E$8:$CE$57, MATCH($C12, $C$8:$C$57, 0), (COLUMNS($DC12:DO12)-1)*5 + 1) = INDEX($E$5:$CE$5, 1, (COLUMNS($DC12:DO12)-1)*5 + 1), INDEX($E$8:$CE$57, MATCH($C12, $C$8:$C$57, 0), (COLUMNS($DC12:DO12)-1)*5 + 4) = "F"), INDEX($CZ$8:$CZ$23, COLUMNS($DC12:DO12)), "0"), "")</f>
        <v/>
      </c>
      <c r="DP12" s="395">
        <f t="array" ref="DP12">IFERROR(IF(AND(INDEX($E$8:$CE$57, MATCH($C12, $C$8:$C$57, 0), (COLUMNS($DC12:DP12)-1)*5 + 1) = INDEX($E$5:$CE$5, 1, (COLUMNS($DC12:DP12)-1)*5 + 1), INDEX($E$8:$CE$57, MATCH($C12, $C$8:$C$57, 0), (COLUMNS($DC12:DP12)-1)*5 + 4) = "F"), INDEX($CZ$8:$CZ$23, COLUMNS($DC12:DP12)), "0"), "")</f>
        <v/>
      </c>
      <c r="DQ12" s="395">
        <f t="array" ref="DQ12">IFERROR(IF(AND(INDEX($E$8:$CE$57, MATCH($C12, $C$8:$C$57, 0), (COLUMNS($DC12:DQ12)-1)*5 + 1) = INDEX($E$5:$CE$5, 1, (COLUMNS($DC12:DQ12)-1)*5 + 1), INDEX($E$8:$CE$57, MATCH($C12, $C$8:$C$57, 0), (COLUMNS($DC12:DQ12)-1)*5 + 4) = "F"), INDEX($CZ$8:$CZ$23, COLUMNS($DC12:DQ12)), "0"), "")</f>
        <v/>
      </c>
      <c r="DR12" s="395">
        <f t="array" ref="DR12">IFERROR(IF(AND(INDEX($E$8:$CE$57, MATCH($C12, $C$8:$C$57, 0), (COLUMNS($DC12:DR12)-1)*5 + 1) = INDEX($E$5:$CE$5, 1, (COLUMNS($DC12:DR12)-1)*5 + 1), INDEX($E$8:$CE$57, MATCH($C12, $C$8:$C$57, 0), (COLUMNS($DC12:DR12)-1)*5 + 4) = "F"), INDEX($CZ$8:$CZ$23, COLUMNS($DC12:DR12)), "0"), "")</f>
        <v/>
      </c>
      <c r="DT12" s="605">
        <f>SEMANA29[[#This Row],[COD]]</f>
        <v/>
      </c>
      <c r="DU12" s="395">
        <f t="array" ref="DU12">IFERROR(IF(AND(INDEX($E$8:$CE$57, MATCH($C12, $C$8:$C$57, 0), (COLUMNS($DU12:DU12)-1)*5 + 1) = INDEX($E$5:$CE$5, 1, (COLUMNS($DU12:DU12)-1)*5 + 1), INDEX($E$8:$CE$57, MATCH($C12, $C$8:$C$57, 0), (COLUMNS($DU12:DU12)-1)*5 + 4) = "SF"), INDEX($CZ$8:$CZ$23, COLUMNS($DU12:DU12)), "0"), "")</f>
        <v/>
      </c>
      <c r="DV12" s="395">
        <f t="array" ref="DV12">IFERROR(IF(AND(INDEX($E$8:$CE$57, MATCH($C12, $C$8:$C$57, 0), (COLUMNS($DU12:DV12)-1)*5 + 1) = INDEX($E$5:$CE$5, 1, (COLUMNS($DU12:DV12)-1)*5 + 1), INDEX($E$8:$CE$57, MATCH($C12, $C$8:$C$57, 0), (COLUMNS($DU12:DV12)-1)*5 + 4) = "SF"), INDEX($CZ$8:$CZ$23, COLUMNS($DU12:DV12)), "0"), "")</f>
        <v/>
      </c>
      <c r="DW12" s="395">
        <f t="array" ref="DW12">IFERROR(IF(AND(INDEX($E$8:$CE$57, MATCH($C12, $C$8:$C$57, 0), (COLUMNS($DU12:DW12)-1)*5 + 1) = INDEX($E$5:$CE$5, 1, (COLUMNS($DU12:DW12)-1)*5 + 1), INDEX($E$8:$CE$57, MATCH($C12, $C$8:$C$57, 0), (COLUMNS($DU12:DW12)-1)*5 + 4) = "SF"), INDEX($CZ$8:$CZ$23, COLUMNS($DU12:DW12)), "0"), "")</f>
        <v/>
      </c>
      <c r="DX12" s="395">
        <f t="array" ref="DX12">IFERROR(IF(AND(INDEX($E$8:$CE$57, MATCH($C12, $C$8:$C$57, 0), (COLUMNS($DU12:DX12)-1)*5 + 1) = INDEX($E$5:$CE$5, 1, (COLUMNS($DU12:DX12)-1)*5 + 1), INDEX($E$8:$CE$57, MATCH($C12, $C$8:$C$57, 0), (COLUMNS($DU12:DX12)-1)*5 + 4) = "SF"), INDEX($CZ$8:$CZ$23, COLUMNS($DU12:DX12)), "0"), "")</f>
        <v/>
      </c>
      <c r="DY12" s="395">
        <f t="array" ref="DY12">IFERROR(IF(AND(INDEX($E$8:$CE$57, MATCH($C12, $C$8:$C$57, 0), (COLUMNS($DU12:DY12)-1)*5 + 1) = INDEX($E$5:$CE$5, 1, (COLUMNS($DU12:DY12)-1)*5 + 1), INDEX($E$8:$CE$57, MATCH($C12, $C$8:$C$57, 0), (COLUMNS($DU12:DY12)-1)*5 + 4) = "SF"), INDEX($CZ$8:$CZ$23, COLUMNS($DU12:DY12)), "0"), "")</f>
        <v/>
      </c>
      <c r="DZ12" s="395">
        <f t="array" ref="DZ12">IFERROR(IF(AND(INDEX($E$8:$CE$57, MATCH($C12, $C$8:$C$57, 0), (COLUMNS($DU12:DZ12)-1)*5 + 1) = INDEX($E$5:$CE$5, 1, (COLUMNS($DU12:DZ12)-1)*5 + 1), INDEX($E$8:$CE$57, MATCH($C12, $C$8:$C$57, 0), (COLUMNS($DU12:DZ12)-1)*5 + 4) = "SF"), INDEX($CZ$8:$CZ$23, COLUMNS($DU12:DZ12)), "0"), "")</f>
        <v/>
      </c>
      <c r="EA12" s="395">
        <f t="array" ref="EA12">IFERROR(IF(AND(INDEX($E$8:$CE$57, MATCH($C12, $C$8:$C$57, 0), (COLUMNS($DU12:EA12)-1)*5 + 1) = INDEX($E$5:$CE$5, 1, (COLUMNS($DU12:EA12)-1)*5 + 1), INDEX($E$8:$CE$57, MATCH($C12, $C$8:$C$57, 0), (COLUMNS($DU12:EA12)-1)*5 + 4) = "SF"), INDEX($CZ$8:$CZ$23, COLUMNS($DU12:EA12)), "0"), "")</f>
        <v/>
      </c>
      <c r="EB12" s="395">
        <f t="array" ref="EB12">IFERROR(IF(AND(INDEX($E$8:$CE$57, MATCH($C12, $C$8:$C$57, 0), (COLUMNS($DU12:EB12)-1)*5 + 1) = INDEX($E$5:$CE$5, 1, (COLUMNS($DU12:EB12)-1)*5 + 1), INDEX($E$8:$CE$57, MATCH($C12, $C$8:$C$57, 0), (COLUMNS($DU12:EB12)-1)*5 + 4) = "SF"), INDEX($CZ$8:$CZ$23, COLUMNS($DU12:EB12)), "0"), "")</f>
        <v/>
      </c>
      <c r="EC12" s="395">
        <f t="array" ref="EC12">IFERROR(IF(AND(INDEX($E$8:$CE$57, MATCH($C12, $C$8:$C$57, 0), (COLUMNS($DU12:EC12)-1)*5 + 1) = INDEX($E$5:$CE$5, 1, (COLUMNS($DU12:EC12)-1)*5 + 1), INDEX($E$8:$CE$57, MATCH($C12, $C$8:$C$57, 0), (COLUMNS($DU12:EC12)-1)*5 + 4) = "SF"), INDEX($CZ$8:$CZ$23, COLUMNS($DU12:EC12)), "0"), "")</f>
        <v/>
      </c>
      <c r="ED12" s="395">
        <f t="array" ref="ED12">IFERROR(IF(AND(INDEX($E$8:$CE$57, MATCH($C12, $C$8:$C$57, 0), (COLUMNS($DU12:ED12)-1)*5 + 1) = INDEX($E$5:$CE$5, 1, (COLUMNS($DU12:ED12)-1)*5 + 1), INDEX($E$8:$CE$57, MATCH($C12, $C$8:$C$57, 0), (COLUMNS($DU12:ED12)-1)*5 + 4) = "SF"), INDEX($CZ$8:$CZ$23, COLUMNS($DU12:ED12)), "0"), "")</f>
        <v/>
      </c>
      <c r="EE12" s="395">
        <f t="array" ref="EE12">IFERROR(IF(AND(INDEX($E$8:$CE$57, MATCH($C12, $C$8:$C$57, 0), (COLUMNS($DU12:EE12)-1)*5 + 1) = INDEX($E$5:$CE$5, 1, (COLUMNS($DU12:EE12)-1)*5 + 1), INDEX($E$8:$CE$57, MATCH($C12, $C$8:$C$57, 0), (COLUMNS($DU12:EE12)-1)*5 + 4) = "SF"), INDEX($CZ$8:$CZ$23, COLUMNS($DU12:EE12)), "0"), "")</f>
        <v/>
      </c>
      <c r="EF12" s="395">
        <f t="array" ref="EF12">IFERROR(IF(AND(INDEX($E$8:$CE$57, MATCH($C12, $C$8:$C$57, 0), (COLUMNS($DU12:EF12)-1)*5 + 1) = INDEX($E$5:$CE$5, 1, (COLUMNS($DU12:EF12)-1)*5 + 1), INDEX($E$8:$CE$57, MATCH($C12, $C$8:$C$57, 0), (COLUMNS($DU12:EF12)-1)*5 + 4) = "SF"), INDEX($CZ$8:$CZ$23, COLUMNS($DU12:EF12)), "0"), "")</f>
        <v/>
      </c>
      <c r="EG12" s="395">
        <f t="array" ref="EG12">IFERROR(IF(AND(INDEX($E$8:$CE$57, MATCH($C12, $C$8:$C$57, 0), (COLUMNS($DU12:EG12)-1)*5 + 1) = INDEX($E$5:$CE$5, 1, (COLUMNS($DU12:EG12)-1)*5 + 1), INDEX($E$8:$CE$57, MATCH($C12, $C$8:$C$57, 0), (COLUMNS($DU12:EG12)-1)*5 + 4) = "SF"), INDEX($CZ$8:$CZ$23, COLUMNS($DU12:EG12)), "0"), "")</f>
        <v/>
      </c>
      <c r="EH12" s="395">
        <f t="array" ref="EH12">IFERROR(IF(AND(INDEX($E$8:$CE$57, MATCH($C12, $C$8:$C$57, 0), (COLUMNS($DU12:EH12)-1)*5 + 1) = INDEX($E$5:$CE$5, 1, (COLUMNS($DU12:EH12)-1)*5 + 1), INDEX($E$8:$CE$57, MATCH($C12, $C$8:$C$57, 0), (COLUMNS($DU12:EH12)-1)*5 + 4) = "SF"), INDEX($CZ$8:$CZ$23, COLUMNS($DU12:EH12)), "0"), "")</f>
        <v/>
      </c>
      <c r="EI12" s="395">
        <f t="array" ref="EI12">IFERROR(IF(AND(INDEX($E$8:$CE$57, MATCH($C12, $C$8:$C$57, 0), (COLUMNS($DU12:EI12)-1)*5 + 1) = INDEX($E$5:$CE$5, 1, (COLUMNS($DU12:EI12)-1)*5 + 1), INDEX($E$8:$CE$57, MATCH($C12, $C$8:$C$57, 0), (COLUMNS($DU12:EI12)-1)*5 + 4) = "SF"), INDEX($CZ$8:$CZ$23, COLUMNS($DU12:EI12)), "0"), "")</f>
        <v/>
      </c>
      <c r="EJ12" s="395">
        <f t="array" ref="EJ12">IFERROR(IF(AND(INDEX($E$8:$CE$57, MATCH($C12, $C$8:$C$57, 0), (COLUMNS($DU12:EJ12)-1)*5 + 1) = INDEX($E$5:$CE$5, 1, (COLUMNS($DU12:EJ12)-1)*5 + 1), INDEX($E$8:$CE$57, MATCH($C12, $C$8:$C$57, 0), (COLUMNS($DU12:EJ12)-1)*5 + 4) = "SF"), INDEX($CZ$8:$CZ$23, COLUMNS($DU12:EJ12)), "0"), "")</f>
        <v/>
      </c>
    </row>
    <row r="13" ht="19.5" customHeight="1" s="568">
      <c r="A13" s="576" t="n"/>
      <c r="B13" s="449">
        <f>IF(SEMANA29[[#This Row],[COD]]&lt;&gt;"",B12+1,"")</f>
        <v/>
      </c>
      <c r="C13" s="622" t="inlineStr">
        <is>
          <t>COD 06</t>
        </is>
      </c>
      <c r="D13" s="415">
        <f t="array" ref="D13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3" s="416" t="n"/>
      <c r="F13" s="417" t="n"/>
      <c r="G13" s="417" t="n"/>
      <c r="H13" s="417" t="n"/>
      <c r="I13" s="602">
        <f>SUM(IF(E13=E$5,4,0),IF(E13&amp;F13=E$5&amp;F$5,1,0),
IF(AND(E13=E$5,F$6&gt;=$D$115),1,0),
IF(AND(F13=E$5,F$6&gt;=$D$115),1,0),
IF(AND(G13=E$5,F$6&gt;=$D$115),1,0),
IF(E13&amp;H13=I$5,1,0),
IF(F13=E$5,2,0),
IF(G13=E$5,1,0),
IF(OR(E13&amp;F13&amp;G13=E$5&amp;F$5&amp;G$5,E13&amp;F13&amp;G13=E$5&amp;G$5&amp;F$5,E13&amp;F13&amp;G13=F$5&amp;E$5&amp;G$5,E13&amp;F13&amp;G13=F$5&amp;G$5&amp;E$5,E13&amp;F13&amp;G13=G$5&amp;E$5&amp;F$5,E13&amp;F13&amp;G13=G$5&amp;F$5&amp;E$5),2,0),IF(AND(E13=E$5,F$6&gt;=$D$129),1,0),IF(AND(F13=E$5,F$6&gt;=$D$129),1,0),IF(AND(G13=E$5,F$6&gt;=$D$129),1,0),IF(E13&amp;H13=H$5,4,0),IF(AND(E13=E$5,F$6&lt;=$D$104),-0.5,0),IF(AND(F13=E$5,F$6&lt;=$D$104),-0.5,0),IF(AND(G13=E$5,F$6&lt;=$D$104),-0.5,0))</f>
        <v/>
      </c>
      <c r="J13" s="416" t="n"/>
      <c r="K13" s="417" t="n"/>
      <c r="L13" s="417" t="n"/>
      <c r="M13" s="417" t="n"/>
      <c r="N13" s="602">
        <f>SUM(IF(J13=J$5,4,0),IF(J13&amp;K13=J$5&amp;K$5,1,0),
IF(AND(J13=J$5,K$6&gt;=$D$115),1,0),
IF(AND(K13=J$5,K$6&gt;=$D$115),1,0),
IF(AND(L13=J$5,K$6&gt;=$D$115),1,0),
IF(J13&amp;M13=N$5,1,0),
IF(K13=J$5,2,0),
IF(L13=J$5,1,0),
IF(OR(J13&amp;K13&amp;L13=J$5&amp;K$5&amp;L$5,J13&amp;K13&amp;L13=J$5&amp;L$5&amp;K$5,J13&amp;K13&amp;L13=K$5&amp;J$5&amp;L$5,J13&amp;K13&amp;L13=K$5&amp;L$5&amp;J$5,J13&amp;K13&amp;L13=L$5&amp;J$5&amp;K$5,J13&amp;K13&amp;L13=L$5&amp;K$5&amp;J$5),2,0),IF(AND(J13=J$5,K$6&gt;=$D$129),1,0),IF(AND(K13=J$5,K$6&gt;=$D$129),1,0),IF(AND(L13=J$5,K$6&gt;=$D$129),1,0),IF(J13&amp;M13=M$5,4,0),IF(AND(J13=J$5,K$6&lt;=$D$104),-0.5,0),IF(AND(K13=J$5,K$6&lt;=$D$104),-0.5,0),IF(AND(L13=J$5,K$6&lt;=$D$104),-0.5,0))</f>
        <v/>
      </c>
      <c r="O13" s="416" t="n"/>
      <c r="P13" s="417" t="n"/>
      <c r="Q13" s="417" t="n"/>
      <c r="R13" s="417" t="n"/>
      <c r="S13" s="602">
        <f>SUM(IF(O13=O$5,4,0),IF(O13&amp;P13=O$5&amp;P$5,1,0),
IF(AND(O13=O$5,P$6&gt;=$D$115),1,0),
IF(AND(P13=O$5,P$6&gt;=$D$115),1,0),
IF(AND(Q13=O$5,P$6&gt;=$D$115),1,0),
IF(O13&amp;R13=S$5,1,0),
IF(P13=O$5,2,0),
IF(Q13=O$5,1,0),
IF(OR(O13&amp;P13&amp;Q13=O$5&amp;P$5&amp;Q$5,O13&amp;P13&amp;Q13=O$5&amp;Q$5&amp;P$5,O13&amp;P13&amp;Q13=P$5&amp;O$5&amp;Q$5,O13&amp;P13&amp;Q13=P$5&amp;Q$5&amp;O$5,O13&amp;P13&amp;Q13=Q$5&amp;O$5&amp;P$5,O13&amp;P13&amp;Q13=Q$5&amp;P$5&amp;O$5),2,0),IF(AND(O13=O$5,P$6&gt;=$D$129),1,0),IF(AND(P13=O$5,P$6&gt;=$D$129),1,0),IF(AND(Q13=O$5,P$6&gt;=$D$129),1,0),IF(O13&amp;R13=R$5,4,0),IF(AND(O13=O$5,P$6&lt;=$D$104),-0.5,0),IF(AND(P13=O$5,P$6&lt;=$D$104),-0.5,0),IF(AND(Q13=O$5,P$6&lt;=$D$104),-0.5,0))</f>
        <v/>
      </c>
      <c r="T13" s="416" t="n"/>
      <c r="U13" s="417" t="n"/>
      <c r="V13" s="417" t="n"/>
      <c r="W13" s="417" t="n"/>
      <c r="X13" s="602">
        <f>SUM(IF(T13=T$5,4,0),IF(T13&amp;U13=T$5&amp;U$5,1,0),
IF(AND(T13=T$5,U$6&gt;=$D$115),1,0),
IF(AND(U13=T$5,U$6&gt;=$D$115),1,0),
IF(AND(V13=T$5,U$6&gt;=$D$115),1,0),
IF(T13&amp;W13=X$5,1,0),
IF(U13=T$5,2,0),
IF(V13=T$5,1,0),
IF(OR(T13&amp;U13&amp;V13=T$5&amp;U$5&amp;V$5,T13&amp;U13&amp;V13=T$5&amp;V$5&amp;U$5,T13&amp;U13&amp;V13=U$5&amp;T$5&amp;V$5,T13&amp;U13&amp;V13=U$5&amp;V$5&amp;T$5,T13&amp;U13&amp;V13=V$5&amp;T$5&amp;U$5,T13&amp;U13&amp;V13=V$5&amp;U$5&amp;T$5),2,0),IF(AND(T13=T$5,U$6&gt;=$D$129),1,0),IF(AND(U13=T$5,U$6&gt;=$D$129),1,0),IF(AND(V13=T$5,U$6&gt;=$D$129),1,0),IF(T13&amp;W13=W$5,4,0),IF(AND(T13=T$5,U$6&lt;=$D$104),-0.5,0),IF(AND(U13=T$5,U$6&lt;=$D$104),-0.5,0),IF(AND(V13=T$5,U$6&lt;=$D$104),-0.5,0))</f>
        <v/>
      </c>
      <c r="Y13" s="416" t="n"/>
      <c r="Z13" s="417" t="n"/>
      <c r="AA13" s="417" t="n"/>
      <c r="AB13" s="417" t="n"/>
      <c r="AC13" s="602">
        <f>SUM(IF(Y13=Y$5,4,0),IF(Y13&amp;Z13=Y$5&amp;Z$5,1,0),
IF(AND(Y13=Y$5,Z$6&gt;=$D$115),1,0),
IF(AND(Z13=Y$5,Z$6&gt;=$D$115),1,0),
IF(AND(AA13=Y$5,Z$6&gt;=$D$115),1,0),
IF(Y13&amp;AB13=AC$5,1,0),
IF(Z13=Y$5,2,0),
IF(AA13=Y$5,1,0),
IF(OR(Y13&amp;Z13&amp;AA13=Y$5&amp;Z$5&amp;AA$5,Y13&amp;Z13&amp;AA13=Y$5&amp;AA$5&amp;Z$5,Y13&amp;Z13&amp;AA13=Z$5&amp;Y$5&amp;AA$5,Y13&amp;Z13&amp;AA13=Z$5&amp;AA$5&amp;Y$5,Y13&amp;Z13&amp;AA13=AA$5&amp;Y$5&amp;Z$5,Y13&amp;Z13&amp;AA13=AA$5&amp;Z$5&amp;Y$5),2,0),IF(AND(Y13=Y$5,Z$6&gt;=$D$129),1,0),IF(AND(Z13=Y$5,Z$6&gt;=$D$129),1,0),IF(AND(AA13=Y$5,Z$6&gt;=$D$129),1,0),IF(Y13&amp;AB13=AB$5,4,0),IF(AND(Y13=Y$5,Z$6&lt;=$D$104),-0.5,0),IF(AND(Z13=Y$5,Z$6&lt;=$D$104),-0.5,0),IF(AND(AA13=Y$5,Z$6&lt;=$D$104),-0.5,0))</f>
        <v/>
      </c>
      <c r="AD13" s="416" t="n"/>
      <c r="AE13" s="417" t="n"/>
      <c r="AF13" s="417" t="n"/>
      <c r="AG13" s="417" t="n"/>
      <c r="AH13" s="602">
        <f>SUM(IF(AD13=AD$5,4,0),IF(AD13&amp;AE13=AD$5&amp;AE$5,1,0),
IF(AND(AD13=AD$5,AE$6&gt;=$D$115),1,0),
IF(AND(AE13=AD$5,AE$6&gt;=$D$115),1,0),
IF(AND(AF13=AD$5,AE$6&gt;=$D$115),1,0),
IF(AD13&amp;AG13=AH$5,1,0),
IF(AE13=AD$5,2,0),
IF(AF13=AD$5,1,0),
IF(OR(AD13&amp;AE13&amp;AF13=AD$5&amp;AE$5&amp;AF$5,AD13&amp;AE13&amp;AF13=AD$5&amp;AF$5&amp;AE$5,AD13&amp;AE13&amp;AF13=AE$5&amp;AD$5&amp;AF$5,AD13&amp;AE13&amp;AF13=AE$5&amp;AF$5&amp;AD$5,AD13&amp;AE13&amp;AF13=AF$5&amp;AD$5&amp;AE$5,AD13&amp;AE13&amp;AF13=AF$5&amp;AE$5&amp;AD$5),2,0),IF(AND(AD13=AD$5,AE$6&gt;=$D$129),1,0),IF(AND(AE13=AD$5,AE$6&gt;=$D$129),1,0),IF(AND(AF13=AD$5,AE$6&gt;=$D$129),1,0),IF(AD13&amp;AG13=AG$5,4,0),IF(AND(AD13=AD$5,AE$6&lt;=$D$104),-0.5,0),IF(AND(AE13=AD$5,AE$6&lt;=$D$104),-0.5,0),IF(AND(AF13=AD$5,AE$6&lt;=$D$104),-0.5,0))</f>
        <v/>
      </c>
      <c r="AI13" s="416" t="n"/>
      <c r="AJ13" s="417" t="n"/>
      <c r="AK13" s="417" t="n"/>
      <c r="AL13" s="417" t="n"/>
      <c r="AM13" s="602">
        <f>SUM(IF(AI13=AI$5,4,0),IF(AI13&amp;AJ13=AI$5&amp;AJ$5,1,0),
IF(AND(AI13=AI$5,AJ$6&gt;=$D$115),1,0),
IF(AND(AJ13=AI$5,AJ$6&gt;=$D$115),1,0),
IF(AND(AK13=AI$5,AJ$6&gt;=$D$115),1,0),
IF(AI13&amp;AL13=AM$5,1,0),
IF(AJ13=AI$5,2,0),
IF(AK13=AI$5,1,0),
IF(OR(AI13&amp;AJ13&amp;AK13=AI$5&amp;AJ$5&amp;AK$5,AI13&amp;AJ13&amp;AK13=AI$5&amp;AK$5&amp;AJ$5,AI13&amp;AJ13&amp;AK13=AJ$5&amp;AI$5&amp;AK$5,AI13&amp;AJ13&amp;AK13=AJ$5&amp;AK$5&amp;AI$5,AI13&amp;AJ13&amp;AK13=AK$5&amp;AI$5&amp;AJ$5,AI13&amp;AJ13&amp;AK13=AK$5&amp;AJ$5&amp;AI$5),2,0),IF(AND(AI13=AI$5,AJ$6&gt;=$D$129),1,0),IF(AND(AJ13=AI$5,AJ$6&gt;=$D$129),1,0),IF(AND(AK13=AI$5,AJ$6&gt;=$D$129),1,0),IF(AI13&amp;AL13=AL$5,4,0),IF(AND(AI13=AI$5,AJ$6&lt;=$D$104),-0.5,0),IF(AND(AJ13=AI$5,AJ$6&lt;=$D$104),-0.5,0),IF(AND(AK13=AI$5,AJ$6&lt;=$D$104),-0.5,0))</f>
        <v/>
      </c>
      <c r="AN13" s="416" t="n"/>
      <c r="AO13" s="417" t="n"/>
      <c r="AP13" s="417" t="n"/>
      <c r="AQ13" s="417" t="n"/>
      <c r="AR13" s="602">
        <f>SUM(IF(AN13=AN$5,4,0),IF(AN13&amp;AO13=AN$5&amp;AO$5,1,0),
IF(AND(AN13=AN$5,AO$6&gt;=$D$115),1,0),
IF(AND(AO13=AN$5,AO$6&gt;=$D$115),1,0),
IF(AND(AP13=AN$5,AO$6&gt;=$D$115),1,0),
IF(AN13&amp;AQ13=AR$5,1,0),
IF(AO13=AN$5,2,0),
IF(AP13=AN$5,1,0),
IF(OR(AN13&amp;AO13&amp;AP13=AN$5&amp;AO$5&amp;AP$5,AN13&amp;AO13&amp;AP13=AN$5&amp;AP$5&amp;AO$5,AN13&amp;AO13&amp;AP13=AO$5&amp;AN$5&amp;AP$5,AN13&amp;AO13&amp;AP13=AO$5&amp;AP$5&amp;AN$5,AN13&amp;AO13&amp;AP13=AP$5&amp;AN$5&amp;AO$5,AN13&amp;AO13&amp;AP13=AP$5&amp;AO$5&amp;AN$5),2,0),IF(AND(AN13=AN$5,AO$6&gt;=$D$129),1,0),IF(AND(AO13=AN$5,AO$6&gt;=$D$129),1,0),IF(AND(AP13=AN$5,AO$6&gt;=$D$129),1,0),IF(AN13&amp;AQ13=AQ$5,4,0),IF(AND(AN13=AN$5,AO$6&lt;=$D$104),-0.5,0),IF(AND(AO13=AN$5,AO$6&lt;=$D$104),-0.5,0),IF(AND(AP13=AN$5,AO$6&lt;=$D$104),-0.5,0))</f>
        <v/>
      </c>
      <c r="AS13" s="416" t="n"/>
      <c r="AT13" s="417" t="n"/>
      <c r="AU13" s="417" t="n"/>
      <c r="AV13" s="417" t="n"/>
      <c r="AW13" s="602">
        <f>SUM(IF(AS13=AS$5,4,0),IF(AS13&amp;AT13=AS$5&amp;AT$5,1,0),
IF(AND(AS13=AS$5,AT$6&gt;=$D$115),1,0),
IF(AND(AT13=AS$5,AT$6&gt;=$D$115),1,0),
IF(AND(AU13=AS$5,AT$6&gt;=$D$115),1,0),
IF(AS13&amp;AV13=AW$5,1,0),
IF(AT13=AS$5,2,0),
IF(AU13=AS$5,1,0),
IF(OR(AS13&amp;AT13&amp;AU13=AS$5&amp;AT$5&amp;AU$5,AS13&amp;AT13&amp;AU13=AS$5&amp;AU$5&amp;AT$5,AS13&amp;AT13&amp;AU13=AT$5&amp;AS$5&amp;AU$5,AS13&amp;AT13&amp;AU13=AT$5&amp;AU$5&amp;AS$5,AS13&amp;AT13&amp;AU13=AU$5&amp;AS$5&amp;AT$5,AS13&amp;AT13&amp;AU13=AU$5&amp;AT$5&amp;AS$5),2,0),IF(AND(AS13=AS$5,AT$6&gt;=$D$129),1,0),IF(AND(AT13=AS$5,AT$6&gt;=$D$129),1,0),IF(AND(AU13=AS$5,AT$6&gt;=$D$129),1,0),IF(AS13&amp;AV13=AV$5,4,0),IF(AND(AS13=AS$5,AT$6&lt;=$D$104),-0.5,0),IF(AND(AT13=AS$5,AT$6&lt;=$D$104),-0.5,0),IF(AND(AU13=AS$5,AT$6&lt;=$D$104),-0.5,0))</f>
        <v/>
      </c>
      <c r="AX13" s="416" t="n"/>
      <c r="AY13" s="417" t="n"/>
      <c r="AZ13" s="417" t="n"/>
      <c r="BA13" s="417" t="n"/>
      <c r="BB13" s="602">
        <f>SUM(IF(AX13=AX$5,4,0),IF(AX13&amp;AY13=AX$5&amp;AY$5,1,0),
IF(AND(AX13=AX$5,AY$6&gt;=$D$115),1,0),
IF(AND(AY13=AX$5,AY$6&gt;=$D$115),1,0),
IF(AND(AZ13=AX$5,AY$6&gt;=$D$115),1,0),
IF(AX13&amp;BA13=BB$5,1,0),
IF(AY13=AX$5,2,0),
IF(AZ13=AX$5,1,0),
IF(OR(AX13&amp;AY13&amp;AZ13=AX$5&amp;AY$5&amp;AZ$5,AX13&amp;AY13&amp;AZ13=AX$5&amp;AZ$5&amp;AY$5,AX13&amp;AY13&amp;AZ13=AY$5&amp;AX$5&amp;AZ$5,AX13&amp;AY13&amp;AZ13=AY$5&amp;AZ$5&amp;AX$5,AX13&amp;AY13&amp;AZ13=AZ$5&amp;AX$5&amp;AY$5,AX13&amp;AY13&amp;AZ13=AZ$5&amp;AY$5&amp;AX$5),2,0),IF(AND(AX13=AX$5,AY$6&gt;=$D$129),1,0),IF(AND(AY13=AX$5,AY$6&gt;=$D$129),1,0),IF(AND(AZ13=AX$5,AY$6&gt;=$D$129),1,0),IF(AX13&amp;BA13=BA$5,4,0),IF(AND(AX13=AX$5,AY$6&lt;=$D$104),-0.5,0),IF(AND(AY13=AX$5,AY$6&lt;=$D$104),-0.5,0),IF(AND(AZ13=AX$5,AY$6&lt;=$D$104),-0.5,0))</f>
        <v/>
      </c>
      <c r="BC13" s="416" t="n"/>
      <c r="BD13" s="417" t="n"/>
      <c r="BE13" s="417" t="n"/>
      <c r="BF13" s="417" t="n"/>
      <c r="BG13" s="602">
        <f>SUM(IF(BC13=BC$5,4,0),IF(BC13&amp;BD13=BC$5&amp;BD$5,1,0),
IF(AND(BC13=BC$5,BD$6&gt;=$D$115),1,0),
IF(AND(BD13=BC$5,BD$6&gt;=$D$115),1,0),
IF(AND(BE13=BC$5,BD$6&gt;=$D$115),1,0),
IF(BC13&amp;BF13=BG$5,1,0),
IF(BD13=BC$5,2,0),
IF(BE13=BC$5,1,0),
IF(OR(BC13&amp;BD13&amp;BE13=BC$5&amp;BD$5&amp;BE$5,BC13&amp;BD13&amp;BE13=BC$5&amp;BE$5&amp;BD$5,BC13&amp;BD13&amp;BE13=BD$5&amp;BC$5&amp;BE$5,BC13&amp;BD13&amp;BE13=BD$5&amp;BE$5&amp;BC$5,BC13&amp;BD13&amp;BE13=BE$5&amp;BC$5&amp;BD$5,BC13&amp;BD13&amp;BE13=BE$5&amp;BD$5&amp;BC$5),2,0),IF(AND(BC13=BC$5,BD$6&gt;=$D$129),1,0),IF(AND(BD13=BC$5,BD$6&gt;=$D$129),1,0),IF(AND(BE13=BC$5,BD$6&gt;=$D$129),1,0),IF(BC13&amp;BF13=BF$5,4,0),IF(AND(BC13=BC$5,BD$6&lt;=$D$104),-0.5,0),IF(AND(BD13=BC$5,BD$6&lt;=$D$104),-0.5,0),IF(AND(BE13=BC$5,BD$6&lt;=$D$104),-0.5,0))</f>
        <v/>
      </c>
      <c r="BH13" s="416" t="n"/>
      <c r="BI13" s="417" t="n"/>
      <c r="BJ13" s="417" t="n"/>
      <c r="BK13" s="417" t="n"/>
      <c r="BL13" s="602">
        <f>SUM(IF(BH13=BH$5,4,0),IF(BH13&amp;BI13=BH$5&amp;BI$5,1,0),
IF(AND(BH13=BH$5,BI$6&gt;=$D$115),1,0),
IF(AND(BI13=BH$5,BI$6&gt;=$D$115),1,0),
IF(AND(BJ13=BH$5,BI$6&gt;=$D$115),1,0),
IF(BH13&amp;BK13=BL$5,1,0),
IF(BI13=BH$5,2,0),
IF(BJ13=BH$5,1,0),
IF(OR(BH13&amp;BI13&amp;BJ13=BH$5&amp;BI$5&amp;BJ$5,BH13&amp;BI13&amp;BJ13=BH$5&amp;BJ$5&amp;BI$5,BH13&amp;BI13&amp;BJ13=BI$5&amp;BH$5&amp;BJ$5,BH13&amp;BI13&amp;BJ13=BI$5&amp;BJ$5&amp;BH$5,BH13&amp;BI13&amp;BJ13=BJ$5&amp;BH$5&amp;BI$5,BH13&amp;BI13&amp;BJ13=BJ$5&amp;BI$5&amp;BH$5),2,0),IF(AND(BH13=BH$5,BI$6&gt;=$D$129),1,0),IF(AND(BI13=BH$5,BI$6&gt;=$D$129),1,0),IF(AND(BJ13=BH$5,BI$6&gt;=$D$129),1,0),IF(BH13&amp;BK13=BK$5,4,0),IF(AND(BH13=BH$5,BI$6&lt;=$D$104),-0.5,0),IF(AND(BI13=BH$5,BI$6&lt;=$D$104),-0.5,0),IF(AND(BJ13=BH$5,BI$6&lt;=$D$104),-0.5,0))</f>
        <v/>
      </c>
      <c r="BM13" s="416" t="n"/>
      <c r="BN13" s="417" t="n"/>
      <c r="BO13" s="417" t="n"/>
      <c r="BP13" s="417" t="n"/>
      <c r="BQ13" s="602">
        <f>SUM(IF(BM13=BM$5,4,0),IF(BM13&amp;BN13=BM$5&amp;BN$5,1,0),
IF(AND(BM13=BM$5,BN$6&gt;=$D$115),1,0),
IF(AND(BN13=BM$5,BN$6&gt;=$D$115),1,0),
IF(AND(BO13=BM$5,BN$6&gt;=$D$115),1,0),
IF(BM13&amp;BP13=BQ$5,1,0),
IF(BN13=BM$5,2,0),
IF(BO13=BM$5,1,0),
IF(OR(BM13&amp;BN13&amp;BO13=BM$5&amp;BN$5&amp;BO$5,BM13&amp;BN13&amp;BO13=BM$5&amp;BO$5&amp;BN$5,BM13&amp;BN13&amp;BO13=BN$5&amp;BM$5&amp;BO$5,BM13&amp;BN13&amp;BO13=BN$5&amp;BO$5&amp;BM$5,BM13&amp;BN13&amp;BO13=BO$5&amp;BM$5&amp;BN$5,BM13&amp;BN13&amp;BO13=BO$5&amp;BN$5&amp;BM$5),2,0),IF(AND(BM13=BM$5,BN$6&gt;=$D$129),1,0),IF(AND(BN13=BM$5,BN$6&gt;=$D$129),1,0),IF(AND(BO13=BM$5,BN$6&gt;=$D$129),1,0),IF(BM13&amp;BP13=BP$5,4,0),IF(AND(BM13=BM$5,BN$6&lt;=$D$104),-0.5,0),IF(AND(BN13=BM$5,BN$6&lt;=$D$104),-0.5,0),IF(AND(BO13=BM$5,BN$6&lt;=$D$104),-0.5,0))</f>
        <v/>
      </c>
      <c r="BR13" s="416" t="n"/>
      <c r="BS13" s="417" t="n"/>
      <c r="BT13" s="417" t="n"/>
      <c r="BU13" s="417" t="n"/>
      <c r="BV13" s="602">
        <f>SUM(IF(BR13=BR$5,4,0),IF(BR13&amp;BS13=BR$5&amp;BS$5,1,0),
IF(AND(BR13=BR$5,BS$6&gt;=$D$115),1,0),
IF(AND(BS13=BR$5,BS$6&gt;=$D$115),1,0),
IF(AND(BT13=BR$5,BS$6&gt;=$D$115),1,0),
IF(BR13&amp;BU13=BV$5,1,0),
IF(BS13=BR$5,2,0),
IF(BT13=BR$5,1,0),
IF(OR(BR13&amp;BS13&amp;BT13=BR$5&amp;BS$5&amp;BT$5,BR13&amp;BS13&amp;BT13=BR$5&amp;BT$5&amp;BS$5,BR13&amp;BS13&amp;BT13=BS$5&amp;BR$5&amp;BT$5,BR13&amp;BS13&amp;BT13=BS$5&amp;BT$5&amp;BR$5,BR13&amp;BS13&amp;BT13=BT$5&amp;BR$5&amp;BS$5,BR13&amp;BS13&amp;BT13=BT$5&amp;BS$5&amp;BR$5),2,0),IF(AND(BR13=BR$5,BS$6&gt;=$D$129),1,0),IF(AND(BS13=BR$5,BS$6&gt;=$D$129),1,0),IF(AND(BT13=BR$5,BS$6&gt;=$D$129),1,0),IF(BR13&amp;BU13=BU$5,4,0),IF(AND(BR13=BR$5,BS$6&lt;=$D$104),-0.5,0),IF(AND(BS13=BR$5,BS$6&lt;=$D$104),-0.5,0),IF(AND(BT13=BR$5,BS$6&lt;=$D$104),-0.5,0))</f>
        <v/>
      </c>
      <c r="BW13" s="416" t="n"/>
      <c r="BX13" s="417" t="n"/>
      <c r="BY13" s="417" t="n"/>
      <c r="BZ13" s="417" t="n"/>
      <c r="CA13" s="602">
        <f>SUM(IF(BW13=BW$5,4,0),IF(BW13&amp;BX13=BW$5&amp;BX$5,1,0),
IF(AND(BW13=BW$5,BX$6&gt;=$D$115),1,0),
IF(AND(BX13=BW$5,BX$6&gt;=$D$115),1,0),
IF(AND(BY13=BW$5,BX$6&gt;=$D$115),1,0),
IF(BW13&amp;BZ13=CA$5,1,0),
IF(BX13=BW$5,2,0),
IF(BY13=BW$5,1,0),
IF(OR(BW13&amp;BX13&amp;BY13=BW$5&amp;BX$5&amp;BY$5,BW13&amp;BX13&amp;BY13=BW$5&amp;BY$5&amp;BX$5,BW13&amp;BX13&amp;BY13=BX$5&amp;BW$5&amp;BY$5,BW13&amp;BX13&amp;BY13=BX$5&amp;BY$5&amp;BW$5,BW13&amp;BX13&amp;BY13=BY$5&amp;BW$5&amp;BX$5,BW13&amp;BX13&amp;BY13=BY$5&amp;BX$5&amp;BW$5),2,0),IF(AND(BW13=BW$5,BX$6&gt;=$D$129),1,0),IF(AND(BX13=BW$5,BX$6&gt;=$D$129),1,0),IF(AND(BY13=BW$5,BX$6&gt;=$D$129),1,0),IF(BW13&amp;BZ13=BZ$5,4,0),IF(AND(BW13=BW$5,BX$6&lt;=$D$104),-0.5,0),IF(AND(BX13=BW$5,BX$6&lt;=$D$104),-0.5,0),IF(AND(BY13=BW$5,BX$6&lt;=$D$104),-0.5,0))</f>
        <v/>
      </c>
      <c r="CB13" s="416" t="n"/>
      <c r="CC13" s="417" t="n"/>
      <c r="CD13" s="417" t="n"/>
      <c r="CE13" s="417" t="n"/>
      <c r="CF13" s="602">
        <f>SUM(IF(CB13=CB$5,4,0),IF(CB13&amp;CC13=CB$5&amp;CC$5,1,0),
IF(AND(CB13=CB$5,CC$6&gt;=$D$115),1,0),
IF(AND(CC13=CB$5,CC$6&gt;=$D$115),1,0),
IF(AND(CD13=CB$5,CC$6&gt;=$D$115),1,0),
IF(CB13&amp;CE13=CF$5,1,0),
IF(CC13=CB$5,2,0),
IF(CD13=CB$5,1,0),
IF(OR(CB13&amp;CC13&amp;CD13=CB$5&amp;CC$5&amp;CD$5,CB13&amp;CC13&amp;CD13=CB$5&amp;CD$5&amp;CC$5,CB13&amp;CC13&amp;CD13=CC$5&amp;CB$5&amp;CD$5,CB13&amp;CC13&amp;CD13=CC$5&amp;CD$5&amp;CB$5,CB13&amp;CC13&amp;CD13=CD$5&amp;CB$5&amp;CC$5,CB13&amp;CC13&amp;CD13=CD$5&amp;CC$5&amp;CB$5),2,0),IF(AND(CB13=CB$5,CC$6&gt;=$D$129),1,0),IF(AND(CC13=CB$5,CC$6&gt;=$D$129),1,0),IF(AND(CD13=CB$5,CC$6&gt;=$D$129),1,0),IF(CB13&amp;CE13=CE$5,4,0),IF(AND(CB13=CB$5,CC$6&lt;=$D$104),-0.5,0),IF(AND(CC13=CB$5,CC$6&lt;=$D$104),-0.5,0),IF(AND(CD13=CB$5,CC$6&lt;=$D$104),-0.5,0))</f>
        <v/>
      </c>
      <c r="CG13" s="164">
        <f>IF(SEMANA29[[#This Row],[1]]="",0,$B$4)</f>
        <v/>
      </c>
      <c r="CH13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3" s="166">
        <f>IF(SEMANA29[[#This Row],[Columna14]]=0,0,(CH13/CG13))</f>
        <v/>
      </c>
      <c r="CJ13" s="165">
        <f>IF(SEMANA29[[#This Row],[1]]="",0,$B$4)</f>
        <v/>
      </c>
      <c r="CK13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3" s="166">
        <f>IF(SEMANA29[[#This Row],[Columna14]]=0,0,(CK13/CJ13))</f>
        <v/>
      </c>
      <c r="CM13" s="164">
        <f>IF(SEMANA29[[#This Row],[1]]="",0,$B$4)</f>
        <v/>
      </c>
      <c r="CN13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3" s="166">
        <f>IF(SEMANA29[[#This Row],[Columna14]]=0,0,(CN13/CM13))</f>
        <v/>
      </c>
      <c r="CP13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3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Row],[Columna25]],$AX$5,BA13,"SF")+COUNTIFS(SEMANA29[[#This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3" s="166">
        <f>IFERROR(IF(SEMANA29[[#This Row],[Columna14]]=0,0,(CQ13/CP13)),0)</f>
        <v/>
      </c>
      <c r="CS13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3" s="95">
        <f>_xlfn.XLOOKUP(SEMANA29[[#This Row],[COD]],SEMANA2[COD],SEMANA2[Columna33])</f>
        <v/>
      </c>
      <c r="CU13" s="604">
        <f>SUM(CS13,CT13)</f>
        <v/>
      </c>
      <c r="CV13" s="450">
        <f>IF(SEMANA29[[#This Row],[TIPO]]="PREMIO",$O$3,"0,00")</f>
        <v/>
      </c>
      <c r="CW13" s="576" t="n"/>
      <c r="CY13" s="393" t="n">
        <v>6</v>
      </c>
      <c r="CZ13" s="354">
        <f>AE$6</f>
        <v/>
      </c>
      <c r="DB13" s="605">
        <f>SEMANA29[[#This Row],[COD]]</f>
        <v/>
      </c>
      <c r="DC13" s="395">
        <f t="array" ref="DC13">IFERROR(IF(AND(INDEX($E$8:$CE$57, MATCH($C13, $C$8:$C$57, 0), (COLUMNS($DC13:DC13)-1)*5 + 1) = INDEX($E$5:$CE$5, 1, (COLUMNS($DC13:DC13)-1)*5 + 1), INDEX($E$8:$CE$57, MATCH($C13, $C$8:$C$57, 0), (COLUMNS($DC13:DC13)-1)*5 + 4) = "F"), INDEX($CZ$8:$CZ$23, COLUMNS($DC13:DC13)), "0"), "")</f>
        <v/>
      </c>
      <c r="DD13" s="395">
        <f t="array" ref="DD13">IFERROR(IF(AND(INDEX($E$8:$CE$57, MATCH($C13, $C$8:$C$57, 0), (COLUMNS($DC13:DD13)-1)*5 + 1) = INDEX($E$5:$CE$5, 1, (COLUMNS($DC13:DD13)-1)*5 + 1), INDEX($E$8:$CE$57, MATCH($C13, $C$8:$C$57, 0), (COLUMNS($DC13:DD13)-1)*5 + 4) = "F"), INDEX($CZ$8:$CZ$23, COLUMNS($DC13:DD13)), "0"), "")</f>
        <v/>
      </c>
      <c r="DE13" s="395">
        <f t="array" ref="DE13">IFERROR(IF(AND(INDEX($E$8:$CE$57, MATCH($C13, $C$8:$C$57, 0), (COLUMNS($DC13:DE13)-1)*5 + 1) = INDEX($E$5:$CE$5, 1, (COLUMNS($DC13:DE13)-1)*5 + 1), INDEX($E$8:$CE$57, MATCH($C13, $C$8:$C$57, 0), (COLUMNS($DC13:DE13)-1)*5 + 4) = "F"), INDEX($CZ$8:$CZ$23, COLUMNS($DC13:DE13)), "0"), "")</f>
        <v/>
      </c>
      <c r="DF13" s="395">
        <f t="array" ref="DF13">IFERROR(IF(AND(INDEX($E$8:$CE$57, MATCH($C13, $C$8:$C$57, 0), (COLUMNS($DC13:DF13)-1)*5 + 1) = INDEX($E$5:$CE$5, 1, (COLUMNS($DC13:DF13)-1)*5 + 1), INDEX($E$8:$CE$57, MATCH($C13, $C$8:$C$57, 0), (COLUMNS($DC13:DF13)-1)*5 + 4) = "F"), INDEX($CZ$8:$CZ$23, COLUMNS($DC13:DF13)), "0"), "")</f>
        <v/>
      </c>
      <c r="DG13" s="395">
        <f t="array" ref="DG13">IFERROR(IF(AND(INDEX($E$8:$CE$57, MATCH($C13, $C$8:$C$57, 0), (COLUMNS($DC13:DG13)-1)*5 + 1) = INDEX($E$5:$CE$5, 1, (COLUMNS($DC13:DG13)-1)*5 + 1), INDEX($E$8:$CE$57, MATCH($C13, $C$8:$C$57, 0), (COLUMNS($DC13:DG13)-1)*5 + 4) = "F"), INDEX($CZ$8:$CZ$23, COLUMNS($DC13:DG13)), "0"), "")</f>
        <v/>
      </c>
      <c r="DH13" s="395">
        <f t="array" ref="DH13">IFERROR(IF(AND(INDEX($E$8:$CE$57, MATCH($C13, $C$8:$C$57, 0), (COLUMNS($DC13:DH13)-1)*5 + 1) = INDEX($E$5:$CE$5, 1, (COLUMNS($DC13:DH13)-1)*5 + 1), INDEX($E$8:$CE$57, MATCH($C13, $C$8:$C$57, 0), (COLUMNS($DC13:DH13)-1)*5 + 4) = "F"), INDEX($CZ$8:$CZ$23, COLUMNS($DC13:DH13)), "0"), "")</f>
        <v/>
      </c>
      <c r="DI13" s="395">
        <f t="array" ref="DI13">IFERROR(IF(AND(INDEX($E$8:$CE$57, MATCH($C13, $C$8:$C$57, 0), (COLUMNS($DC13:DI13)-1)*5 + 1) = INDEX($E$5:$CE$5, 1, (COLUMNS($DC13:DI13)-1)*5 + 1), INDEX($E$8:$CE$57, MATCH($C13, $C$8:$C$57, 0), (COLUMNS($DC13:DI13)-1)*5 + 4) = "F"), INDEX($CZ$8:$CZ$23, COLUMNS($DC13:DI13)), "0"), "")</f>
        <v/>
      </c>
      <c r="DJ13" s="395">
        <f t="array" ref="DJ13">IFERROR(IF(AND(INDEX($E$8:$CE$57, MATCH($C13, $C$8:$C$57, 0), (COLUMNS($DC13:DJ13)-1)*5 + 1) = INDEX($E$5:$CE$5, 1, (COLUMNS($DC13:DJ13)-1)*5 + 1), INDEX($E$8:$CE$57, MATCH($C13, $C$8:$C$57, 0), (COLUMNS($DC13:DJ13)-1)*5 + 4) = "F"), INDEX($CZ$8:$CZ$23, COLUMNS($DC13:DJ13)), "0"), "")</f>
        <v/>
      </c>
      <c r="DK13" s="395">
        <f t="array" ref="DK13">IFERROR(IF(AND(INDEX($E$8:$CE$57, MATCH($C13, $C$8:$C$57, 0), (COLUMNS($DC13:DK13)-1)*5 + 1) = INDEX($E$5:$CE$5, 1, (COLUMNS($DC13:DK13)-1)*5 + 1), INDEX($E$8:$CE$57, MATCH($C13, $C$8:$C$57, 0), (COLUMNS($DC13:DK13)-1)*5 + 4) = "F"), INDEX($CZ$8:$CZ$23, COLUMNS($DC13:DK13)), "0"), "")</f>
        <v/>
      </c>
      <c r="DL13" s="395">
        <f t="array" ref="DL13">IFERROR(IF(AND(INDEX($E$8:$CE$57, MATCH($C13, $C$8:$C$57, 0), (COLUMNS($DC13:DL13)-1)*5 + 1) = INDEX($E$5:$CE$5, 1, (COLUMNS($DC13:DL13)-1)*5 + 1), INDEX($E$8:$CE$57, MATCH($C13, $C$8:$C$57, 0), (COLUMNS($DC13:DL13)-1)*5 + 4) = "F"), INDEX($CZ$8:$CZ$23, COLUMNS($DC13:DL13)), "0"), "")</f>
        <v/>
      </c>
      <c r="DM13" s="395">
        <f t="array" ref="DM13">IFERROR(IF(AND(INDEX($E$8:$CE$57, MATCH($C13, $C$8:$C$57, 0), (COLUMNS($DC13:DM13)-1)*5 + 1) = INDEX($E$5:$CE$5, 1, (COLUMNS($DC13:DM13)-1)*5 + 1), INDEX($E$8:$CE$57, MATCH($C13, $C$8:$C$57, 0), (COLUMNS($DC13:DM13)-1)*5 + 4) = "F"), INDEX($CZ$8:$CZ$23, COLUMNS($DC13:DM13)), "0"), "")</f>
        <v/>
      </c>
      <c r="DN13" s="395">
        <f t="array" ref="DN13">IFERROR(IF(AND(INDEX($E$8:$CE$57, MATCH($C13, $C$8:$C$57, 0), (COLUMNS($DC13:DN13)-1)*5 + 1) = INDEX($E$5:$CE$5, 1, (COLUMNS($DC13:DN13)-1)*5 + 1), INDEX($E$8:$CE$57, MATCH($C13, $C$8:$C$57, 0), (COLUMNS($DC13:DN13)-1)*5 + 4) = "F"), INDEX($CZ$8:$CZ$23, COLUMNS($DC13:DN13)), "0"), "")</f>
        <v/>
      </c>
      <c r="DO13" s="395">
        <f t="array" ref="DO13">IFERROR(IF(AND(INDEX($E$8:$CE$57, MATCH($C13, $C$8:$C$57, 0), (COLUMNS($DC13:DO13)-1)*5 + 1) = INDEX($E$5:$CE$5, 1, (COLUMNS($DC13:DO13)-1)*5 + 1), INDEX($E$8:$CE$57, MATCH($C13, $C$8:$C$57, 0), (COLUMNS($DC13:DO13)-1)*5 + 4) = "F"), INDEX($CZ$8:$CZ$23, COLUMNS($DC13:DO13)), "0"), "")</f>
        <v/>
      </c>
      <c r="DP13" s="395">
        <f t="array" ref="DP13">IFERROR(IF(AND(INDEX($E$8:$CE$57, MATCH($C13, $C$8:$C$57, 0), (COLUMNS($DC13:DP13)-1)*5 + 1) = INDEX($E$5:$CE$5, 1, (COLUMNS($DC13:DP13)-1)*5 + 1), INDEX($E$8:$CE$57, MATCH($C13, $C$8:$C$57, 0), (COLUMNS($DC13:DP13)-1)*5 + 4) = "F"), INDEX($CZ$8:$CZ$23, COLUMNS($DC13:DP13)), "0"), "")</f>
        <v/>
      </c>
      <c r="DQ13" s="395">
        <f t="array" ref="DQ13">IFERROR(IF(AND(INDEX($E$8:$CE$57, MATCH($C13, $C$8:$C$57, 0), (COLUMNS($DC13:DQ13)-1)*5 + 1) = INDEX($E$5:$CE$5, 1, (COLUMNS($DC13:DQ13)-1)*5 + 1), INDEX($E$8:$CE$57, MATCH($C13, $C$8:$C$57, 0), (COLUMNS($DC13:DQ13)-1)*5 + 4) = "F"), INDEX($CZ$8:$CZ$23, COLUMNS($DC13:DQ13)), "0"), "")</f>
        <v/>
      </c>
      <c r="DR13" s="395">
        <f t="array" ref="DR13">IFERROR(IF(AND(INDEX($E$8:$CE$57, MATCH($C13, $C$8:$C$57, 0), (COLUMNS($DC13:DR13)-1)*5 + 1) = INDEX($E$5:$CE$5, 1, (COLUMNS($DC13:DR13)-1)*5 + 1), INDEX($E$8:$CE$57, MATCH($C13, $C$8:$C$57, 0), (COLUMNS($DC13:DR13)-1)*5 + 4) = "F"), INDEX($CZ$8:$CZ$23, COLUMNS($DC13:DR13)), "0"), "")</f>
        <v/>
      </c>
      <c r="DT13" s="605">
        <f>SEMANA29[[#This Row],[COD]]</f>
        <v/>
      </c>
      <c r="DU13" s="395">
        <f t="array" ref="DU13">IFERROR(IF(AND(INDEX($E$8:$CE$57, MATCH($C13, $C$8:$C$57, 0), (COLUMNS($DU13:DU13)-1)*5 + 1) = INDEX($E$5:$CE$5, 1, (COLUMNS($DU13:DU13)-1)*5 + 1), INDEX($E$8:$CE$57, MATCH($C13, $C$8:$C$57, 0), (COLUMNS($DU13:DU13)-1)*5 + 4) = "SF"), INDEX($CZ$8:$CZ$23, COLUMNS($DU13:DU13)), "0"), "")</f>
        <v/>
      </c>
      <c r="DV13" s="395">
        <f t="array" ref="DV13">IFERROR(IF(AND(INDEX($E$8:$CE$57, MATCH($C13, $C$8:$C$57, 0), (COLUMNS($DU13:DV13)-1)*5 + 1) = INDEX($E$5:$CE$5, 1, (COLUMNS($DU13:DV13)-1)*5 + 1), INDEX($E$8:$CE$57, MATCH($C13, $C$8:$C$57, 0), (COLUMNS($DU13:DV13)-1)*5 + 4) = "SF"), INDEX($CZ$8:$CZ$23, COLUMNS($DU13:DV13)), "0"), "")</f>
        <v/>
      </c>
      <c r="DW13" s="395">
        <f t="array" ref="DW13">IFERROR(IF(AND(INDEX($E$8:$CE$57, MATCH($C13, $C$8:$C$57, 0), (COLUMNS($DU13:DW13)-1)*5 + 1) = INDEX($E$5:$CE$5, 1, (COLUMNS($DU13:DW13)-1)*5 + 1), INDEX($E$8:$CE$57, MATCH($C13, $C$8:$C$57, 0), (COLUMNS($DU13:DW13)-1)*5 + 4) = "SF"), INDEX($CZ$8:$CZ$23, COLUMNS($DU13:DW13)), "0"), "")</f>
        <v/>
      </c>
      <c r="DX13" s="395">
        <f t="array" ref="DX13">IFERROR(IF(AND(INDEX($E$8:$CE$57, MATCH($C13, $C$8:$C$57, 0), (COLUMNS($DU13:DX13)-1)*5 + 1) = INDEX($E$5:$CE$5, 1, (COLUMNS($DU13:DX13)-1)*5 + 1), INDEX($E$8:$CE$57, MATCH($C13, $C$8:$C$57, 0), (COLUMNS($DU13:DX13)-1)*5 + 4) = "SF"), INDEX($CZ$8:$CZ$23, COLUMNS($DU13:DX13)), "0"), "")</f>
        <v/>
      </c>
      <c r="DY13" s="395">
        <f t="array" ref="DY13">IFERROR(IF(AND(INDEX($E$8:$CE$57, MATCH($C13, $C$8:$C$57, 0), (COLUMNS($DU13:DY13)-1)*5 + 1) = INDEX($E$5:$CE$5, 1, (COLUMNS($DU13:DY13)-1)*5 + 1), INDEX($E$8:$CE$57, MATCH($C13, $C$8:$C$57, 0), (COLUMNS($DU13:DY13)-1)*5 + 4) = "SF"), INDEX($CZ$8:$CZ$23, COLUMNS($DU13:DY13)), "0"), "")</f>
        <v/>
      </c>
      <c r="DZ13" s="395">
        <f t="array" ref="DZ13">IFERROR(IF(AND(INDEX($E$8:$CE$57, MATCH($C13, $C$8:$C$57, 0), (COLUMNS($DU13:DZ13)-1)*5 + 1) = INDEX($E$5:$CE$5, 1, (COLUMNS($DU13:DZ13)-1)*5 + 1), INDEX($E$8:$CE$57, MATCH($C13, $C$8:$C$57, 0), (COLUMNS($DU13:DZ13)-1)*5 + 4) = "SF"), INDEX($CZ$8:$CZ$23, COLUMNS($DU13:DZ13)), "0"), "")</f>
        <v/>
      </c>
      <c r="EA13" s="395">
        <f t="array" ref="EA13">IFERROR(IF(AND(INDEX($E$8:$CE$57, MATCH($C13, $C$8:$C$57, 0), (COLUMNS($DU13:EA13)-1)*5 + 1) = INDEX($E$5:$CE$5, 1, (COLUMNS($DU13:EA13)-1)*5 + 1), INDEX($E$8:$CE$57, MATCH($C13, $C$8:$C$57, 0), (COLUMNS($DU13:EA13)-1)*5 + 4) = "SF"), INDEX($CZ$8:$CZ$23, COLUMNS($DU13:EA13)), "0"), "")</f>
        <v/>
      </c>
      <c r="EB13" s="395">
        <f t="array" ref="EB13">IFERROR(IF(AND(INDEX($E$8:$CE$57, MATCH($C13, $C$8:$C$57, 0), (COLUMNS($DU13:EB13)-1)*5 + 1) = INDEX($E$5:$CE$5, 1, (COLUMNS($DU13:EB13)-1)*5 + 1), INDEX($E$8:$CE$57, MATCH($C13, $C$8:$C$57, 0), (COLUMNS($DU13:EB13)-1)*5 + 4) = "SF"), INDEX($CZ$8:$CZ$23, COLUMNS($DU13:EB13)), "0"), "")</f>
        <v/>
      </c>
      <c r="EC13" s="395">
        <f t="array" ref="EC13">IFERROR(IF(AND(INDEX($E$8:$CE$57, MATCH($C13, $C$8:$C$57, 0), (COLUMNS($DU13:EC13)-1)*5 + 1) = INDEX($E$5:$CE$5, 1, (COLUMNS($DU13:EC13)-1)*5 + 1), INDEX($E$8:$CE$57, MATCH($C13, $C$8:$C$57, 0), (COLUMNS($DU13:EC13)-1)*5 + 4) = "SF"), INDEX($CZ$8:$CZ$23, COLUMNS($DU13:EC13)), "0"), "")</f>
        <v/>
      </c>
      <c r="ED13" s="395">
        <f t="array" ref="ED13">IFERROR(IF(AND(INDEX($E$8:$CE$57, MATCH($C13, $C$8:$C$57, 0), (COLUMNS($DU13:ED13)-1)*5 + 1) = INDEX($E$5:$CE$5, 1, (COLUMNS($DU13:ED13)-1)*5 + 1), INDEX($E$8:$CE$57, MATCH($C13, $C$8:$C$57, 0), (COLUMNS($DU13:ED13)-1)*5 + 4) = "SF"), INDEX($CZ$8:$CZ$23, COLUMNS($DU13:ED13)), "0"), "")</f>
        <v/>
      </c>
      <c r="EE13" s="395">
        <f t="array" ref="EE13">IFERROR(IF(AND(INDEX($E$8:$CE$57, MATCH($C13, $C$8:$C$57, 0), (COLUMNS($DU13:EE13)-1)*5 + 1) = INDEX($E$5:$CE$5, 1, (COLUMNS($DU13:EE13)-1)*5 + 1), INDEX($E$8:$CE$57, MATCH($C13, $C$8:$C$57, 0), (COLUMNS($DU13:EE13)-1)*5 + 4) = "SF"), INDEX($CZ$8:$CZ$23, COLUMNS($DU13:EE13)), "0"), "")</f>
        <v/>
      </c>
      <c r="EF13" s="395">
        <f t="array" ref="EF13">IFERROR(IF(AND(INDEX($E$8:$CE$57, MATCH($C13, $C$8:$C$57, 0), (COLUMNS($DU13:EF13)-1)*5 + 1) = INDEX($E$5:$CE$5, 1, (COLUMNS($DU13:EF13)-1)*5 + 1), INDEX($E$8:$CE$57, MATCH($C13, $C$8:$C$57, 0), (COLUMNS($DU13:EF13)-1)*5 + 4) = "SF"), INDEX($CZ$8:$CZ$23, COLUMNS($DU13:EF13)), "0"), "")</f>
        <v/>
      </c>
      <c r="EG13" s="395">
        <f t="array" ref="EG13">IFERROR(IF(AND(INDEX($E$8:$CE$57, MATCH($C13, $C$8:$C$57, 0), (COLUMNS($DU13:EG13)-1)*5 + 1) = INDEX($E$5:$CE$5, 1, (COLUMNS($DU13:EG13)-1)*5 + 1), INDEX($E$8:$CE$57, MATCH($C13, $C$8:$C$57, 0), (COLUMNS($DU13:EG13)-1)*5 + 4) = "SF"), INDEX($CZ$8:$CZ$23, COLUMNS($DU13:EG13)), "0"), "")</f>
        <v/>
      </c>
      <c r="EH13" s="395">
        <f t="array" ref="EH13">IFERROR(IF(AND(INDEX($E$8:$CE$57, MATCH($C13, $C$8:$C$57, 0), (COLUMNS($DU13:EH13)-1)*5 + 1) = INDEX($E$5:$CE$5, 1, (COLUMNS($DU13:EH13)-1)*5 + 1), INDEX($E$8:$CE$57, MATCH($C13, $C$8:$C$57, 0), (COLUMNS($DU13:EH13)-1)*5 + 4) = "SF"), INDEX($CZ$8:$CZ$23, COLUMNS($DU13:EH13)), "0"), "")</f>
        <v/>
      </c>
      <c r="EI13" s="395">
        <f t="array" ref="EI13">IFERROR(IF(AND(INDEX($E$8:$CE$57, MATCH($C13, $C$8:$C$57, 0), (COLUMNS($DU13:EI13)-1)*5 + 1) = INDEX($E$5:$CE$5, 1, (COLUMNS($DU13:EI13)-1)*5 + 1), INDEX($E$8:$CE$57, MATCH($C13, $C$8:$C$57, 0), (COLUMNS($DU13:EI13)-1)*5 + 4) = "SF"), INDEX($CZ$8:$CZ$23, COLUMNS($DU13:EI13)), "0"), "")</f>
        <v/>
      </c>
      <c r="EJ13" s="395">
        <f t="array" ref="EJ13">IFERROR(IF(AND(INDEX($E$8:$CE$57, MATCH($C13, $C$8:$C$57, 0), (COLUMNS($DU13:EJ13)-1)*5 + 1) = INDEX($E$5:$CE$5, 1, (COLUMNS($DU13:EJ13)-1)*5 + 1), INDEX($E$8:$CE$57, MATCH($C13, $C$8:$C$57, 0), (COLUMNS($DU13:EJ13)-1)*5 + 4) = "SF"), INDEX($CZ$8:$CZ$23, COLUMNS($DU13:EJ13)), "0"), "")</f>
        <v/>
      </c>
    </row>
    <row r="14" ht="20.1" customHeight="1" s="568">
      <c r="A14" s="576" t="n"/>
      <c r="B14" s="449">
        <f>IF(SEMANA29[[#This Row],[COD]]&lt;&gt;"",B13+1,"")</f>
        <v/>
      </c>
      <c r="C14" s="622" t="inlineStr">
        <is>
          <t>COD 07</t>
        </is>
      </c>
      <c r="D14" s="415">
        <f t="array" ref="D14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4" s="419" t="n"/>
      <c r="F14" s="420" t="n"/>
      <c r="G14" s="420" t="n"/>
      <c r="H14" s="420" t="n"/>
      <c r="I14" s="602">
        <f>SUM(IF(E14=E$5,4,0),IF(E14&amp;F14=E$5&amp;F$5,1,0),
IF(AND(E14=E$5,F$6&gt;=$D$115),1,0),
IF(AND(F14=E$5,F$6&gt;=$D$115),1,0),
IF(AND(G14=E$5,F$6&gt;=$D$115),1,0),
IF(E14&amp;H14=I$5,1,0),
IF(F14=E$5,2,0),
IF(G14=E$5,1,0),
IF(OR(E14&amp;F14&amp;G14=E$5&amp;F$5&amp;G$5,E14&amp;F14&amp;G14=E$5&amp;G$5&amp;F$5,E14&amp;F14&amp;G14=F$5&amp;E$5&amp;G$5,E14&amp;F14&amp;G14=F$5&amp;G$5&amp;E$5,E14&amp;F14&amp;G14=G$5&amp;E$5&amp;F$5,E14&amp;F14&amp;G14=G$5&amp;F$5&amp;E$5),2,0),IF(AND(E14=E$5,F$6&gt;=$D$129),1,0),IF(AND(F14=E$5,F$6&gt;=$D$129),1,0),IF(AND(G14=E$5,F$6&gt;=$D$129),1,0),IF(E14&amp;H14=H$5,4,0),IF(AND(E14=E$5,F$6&lt;=$D$104),-0.5,0),IF(AND(F14=E$5,F$6&lt;=$D$104),-0.5,0),IF(AND(G14=E$5,F$6&lt;=$D$104),-0.5,0))</f>
        <v/>
      </c>
      <c r="J14" s="419" t="n"/>
      <c r="K14" s="420" t="n"/>
      <c r="L14" s="420" t="n"/>
      <c r="M14" s="420" t="n"/>
      <c r="N14" s="602">
        <f>SUM(IF(J14=J$5,4,0),IF(J14&amp;K14=J$5&amp;K$5,1,0),
IF(AND(J14=J$5,K$6&gt;=$D$115),1,0),
IF(AND(K14=J$5,K$6&gt;=$D$115),1,0),
IF(AND(L14=J$5,K$6&gt;=$D$115),1,0),
IF(J14&amp;M14=N$5,1,0),
IF(K14=J$5,2,0),
IF(L14=J$5,1,0),
IF(OR(J14&amp;K14&amp;L14=J$5&amp;K$5&amp;L$5,J14&amp;K14&amp;L14=J$5&amp;L$5&amp;K$5,J14&amp;K14&amp;L14=K$5&amp;J$5&amp;L$5,J14&amp;K14&amp;L14=K$5&amp;L$5&amp;J$5,J14&amp;K14&amp;L14=L$5&amp;J$5&amp;K$5,J14&amp;K14&amp;L14=L$5&amp;K$5&amp;J$5),2,0),IF(AND(J14=J$5,K$6&gt;=$D$129),1,0),IF(AND(K14=J$5,K$6&gt;=$D$129),1,0),IF(AND(L14=J$5,K$6&gt;=$D$129),1,0),IF(J14&amp;M14=M$5,4,0),IF(AND(J14=J$5,K$6&lt;=$D$104),-0.5,0),IF(AND(K14=J$5,K$6&lt;=$D$104),-0.5,0),IF(AND(L14=J$5,K$6&lt;=$D$104),-0.5,0))</f>
        <v/>
      </c>
      <c r="O14" s="419" t="n"/>
      <c r="P14" s="420" t="n"/>
      <c r="Q14" s="420" t="n"/>
      <c r="R14" s="420" t="n"/>
      <c r="S14" s="602">
        <f>SUM(IF(O14=O$5,4,0),IF(O14&amp;P14=O$5&amp;P$5,1,0),
IF(AND(O14=O$5,P$6&gt;=$D$115),1,0),
IF(AND(P14=O$5,P$6&gt;=$D$115),1,0),
IF(AND(Q14=O$5,P$6&gt;=$D$115),1,0),
IF(O14&amp;R14=S$5,1,0),
IF(P14=O$5,2,0),
IF(Q14=O$5,1,0),
IF(OR(O14&amp;P14&amp;Q14=O$5&amp;P$5&amp;Q$5,O14&amp;P14&amp;Q14=O$5&amp;Q$5&amp;P$5,O14&amp;P14&amp;Q14=P$5&amp;O$5&amp;Q$5,O14&amp;P14&amp;Q14=P$5&amp;Q$5&amp;O$5,O14&amp;P14&amp;Q14=Q$5&amp;O$5&amp;P$5,O14&amp;P14&amp;Q14=Q$5&amp;P$5&amp;O$5),2,0),IF(AND(O14=O$5,P$6&gt;=$D$129),1,0),IF(AND(P14=O$5,P$6&gt;=$D$129),1,0),IF(AND(Q14=O$5,P$6&gt;=$D$129),1,0),IF(O14&amp;R14=R$5,4,0),IF(AND(O14=O$5,P$6&lt;=$D$104),-0.5,0),IF(AND(P14=O$5,P$6&lt;=$D$104),-0.5,0),IF(AND(Q14=O$5,P$6&lt;=$D$104),-0.5,0))</f>
        <v/>
      </c>
      <c r="T14" s="419" t="n"/>
      <c r="U14" s="420" t="n"/>
      <c r="V14" s="420" t="n"/>
      <c r="W14" s="420" t="n"/>
      <c r="X14" s="602">
        <f>SUM(IF(T14=T$5,4,0),IF(T14&amp;U14=T$5&amp;U$5,1,0),
IF(AND(T14=T$5,U$6&gt;=$D$115),1,0),
IF(AND(U14=T$5,U$6&gt;=$D$115),1,0),
IF(AND(V14=T$5,U$6&gt;=$D$115),1,0),
IF(T14&amp;W14=X$5,1,0),
IF(U14=T$5,2,0),
IF(V14=T$5,1,0),
IF(OR(T14&amp;U14&amp;V14=T$5&amp;U$5&amp;V$5,T14&amp;U14&amp;V14=T$5&amp;V$5&amp;U$5,T14&amp;U14&amp;V14=U$5&amp;T$5&amp;V$5,T14&amp;U14&amp;V14=U$5&amp;V$5&amp;T$5,T14&amp;U14&amp;V14=V$5&amp;T$5&amp;U$5,T14&amp;U14&amp;V14=V$5&amp;U$5&amp;T$5),2,0),IF(AND(T14=T$5,U$6&gt;=$D$129),1,0),IF(AND(U14=T$5,U$6&gt;=$D$129),1,0),IF(AND(V14=T$5,U$6&gt;=$D$129),1,0),IF(T14&amp;W14=W$5,4,0),IF(AND(T14=T$5,U$6&lt;=$D$104),-0.5,0),IF(AND(U14=T$5,U$6&lt;=$D$104),-0.5,0),IF(AND(V14=T$5,U$6&lt;=$D$104),-0.5,0))</f>
        <v/>
      </c>
      <c r="Y14" s="419" t="n"/>
      <c r="Z14" s="420" t="n"/>
      <c r="AA14" s="420" t="n"/>
      <c r="AB14" s="420" t="n"/>
      <c r="AC14" s="602">
        <f>SUM(IF(Y14=Y$5,4,0),IF(Y14&amp;Z14=Y$5&amp;Z$5,1,0),
IF(AND(Y14=Y$5,Z$6&gt;=$D$115),1,0),
IF(AND(Z14=Y$5,Z$6&gt;=$D$115),1,0),
IF(AND(AA14=Y$5,Z$6&gt;=$D$115),1,0),
IF(Y14&amp;AB14=AC$5,1,0),
IF(Z14=Y$5,2,0),
IF(AA14=Y$5,1,0),
IF(OR(Y14&amp;Z14&amp;AA14=Y$5&amp;Z$5&amp;AA$5,Y14&amp;Z14&amp;AA14=Y$5&amp;AA$5&amp;Z$5,Y14&amp;Z14&amp;AA14=Z$5&amp;Y$5&amp;AA$5,Y14&amp;Z14&amp;AA14=Z$5&amp;AA$5&amp;Y$5,Y14&amp;Z14&amp;AA14=AA$5&amp;Y$5&amp;Z$5,Y14&amp;Z14&amp;AA14=AA$5&amp;Z$5&amp;Y$5),2,0),IF(AND(Y14=Y$5,Z$6&gt;=$D$129),1,0),IF(AND(Z14=Y$5,Z$6&gt;=$D$129),1,0),IF(AND(AA14=Y$5,Z$6&gt;=$D$129),1,0),IF(Y14&amp;AB14=AB$5,4,0),IF(AND(Y14=Y$5,Z$6&lt;=$D$104),-0.5,0),IF(AND(Z14=Y$5,Z$6&lt;=$D$104),-0.5,0),IF(AND(AA14=Y$5,Z$6&lt;=$D$104),-0.5,0))</f>
        <v/>
      </c>
      <c r="AD14" s="419" t="n"/>
      <c r="AE14" s="420" t="n"/>
      <c r="AF14" s="420" t="n"/>
      <c r="AG14" s="420" t="n"/>
      <c r="AH14" s="602">
        <f>SUM(IF(AD14=AD$5,4,0),IF(AD14&amp;AE14=AD$5&amp;AE$5,1,0),
IF(AND(AD14=AD$5,AE$6&gt;=$D$115),1,0),
IF(AND(AE14=AD$5,AE$6&gt;=$D$115),1,0),
IF(AND(AF14=AD$5,AE$6&gt;=$D$115),1,0),
IF(AD14&amp;AG14=AH$5,1,0),
IF(AE14=AD$5,2,0),
IF(AF14=AD$5,1,0),
IF(OR(AD14&amp;AE14&amp;AF14=AD$5&amp;AE$5&amp;AF$5,AD14&amp;AE14&amp;AF14=AD$5&amp;AF$5&amp;AE$5,AD14&amp;AE14&amp;AF14=AE$5&amp;AD$5&amp;AF$5,AD14&amp;AE14&amp;AF14=AE$5&amp;AF$5&amp;AD$5,AD14&amp;AE14&amp;AF14=AF$5&amp;AD$5&amp;AE$5,AD14&amp;AE14&amp;AF14=AF$5&amp;AE$5&amp;AD$5),2,0),IF(AND(AD14=AD$5,AE$6&gt;=$D$129),1,0),IF(AND(AE14=AD$5,AE$6&gt;=$D$129),1,0),IF(AND(AF14=AD$5,AE$6&gt;=$D$129),1,0),IF(AD14&amp;AG14=AG$5,4,0),IF(AND(AD14=AD$5,AE$6&lt;=$D$104),-0.5,0),IF(AND(AE14=AD$5,AE$6&lt;=$D$104),-0.5,0),IF(AND(AF14=AD$5,AE$6&lt;=$D$104),-0.5,0))</f>
        <v/>
      </c>
      <c r="AI14" s="419" t="n"/>
      <c r="AJ14" s="420" t="n"/>
      <c r="AK14" s="420" t="n"/>
      <c r="AL14" s="420" t="n"/>
      <c r="AM14" s="602">
        <f>SUM(IF(AI14=AI$5,4,0),IF(AI14&amp;AJ14=AI$5&amp;AJ$5,1,0),
IF(AND(AI14=AI$5,AJ$6&gt;=$D$115),1,0),
IF(AND(AJ14=AI$5,AJ$6&gt;=$D$115),1,0),
IF(AND(AK14=AI$5,AJ$6&gt;=$D$115),1,0),
IF(AI14&amp;AL14=AM$5,1,0),
IF(AJ14=AI$5,2,0),
IF(AK14=AI$5,1,0),
IF(OR(AI14&amp;AJ14&amp;AK14=AI$5&amp;AJ$5&amp;AK$5,AI14&amp;AJ14&amp;AK14=AI$5&amp;AK$5&amp;AJ$5,AI14&amp;AJ14&amp;AK14=AJ$5&amp;AI$5&amp;AK$5,AI14&amp;AJ14&amp;AK14=AJ$5&amp;AK$5&amp;AI$5,AI14&amp;AJ14&amp;AK14=AK$5&amp;AI$5&amp;AJ$5,AI14&amp;AJ14&amp;AK14=AK$5&amp;AJ$5&amp;AI$5),2,0),IF(AND(AI14=AI$5,AJ$6&gt;=$D$129),1,0),IF(AND(AJ14=AI$5,AJ$6&gt;=$D$129),1,0),IF(AND(AK14=AI$5,AJ$6&gt;=$D$129),1,0),IF(AI14&amp;AL14=AL$5,4,0),IF(AND(AI14=AI$5,AJ$6&lt;=$D$104),-0.5,0),IF(AND(AJ14=AI$5,AJ$6&lt;=$D$104),-0.5,0),IF(AND(AK14=AI$5,AJ$6&lt;=$D$104),-0.5,0))</f>
        <v/>
      </c>
      <c r="AN14" s="419" t="n"/>
      <c r="AO14" s="420" t="n"/>
      <c r="AP14" s="420" t="n"/>
      <c r="AQ14" s="420" t="n"/>
      <c r="AR14" s="602">
        <f>SUM(IF(AN14=AN$5,4,0),IF(AN14&amp;AO14=AN$5&amp;AO$5,1,0),
IF(AND(AN14=AN$5,AO$6&gt;=$D$115),1,0),
IF(AND(AO14=AN$5,AO$6&gt;=$D$115),1,0),
IF(AND(AP14=AN$5,AO$6&gt;=$D$115),1,0),
IF(AN14&amp;AQ14=AR$5,1,0),
IF(AO14=AN$5,2,0),
IF(AP14=AN$5,1,0),
IF(OR(AN14&amp;AO14&amp;AP14=AN$5&amp;AO$5&amp;AP$5,AN14&amp;AO14&amp;AP14=AN$5&amp;AP$5&amp;AO$5,AN14&amp;AO14&amp;AP14=AO$5&amp;AN$5&amp;AP$5,AN14&amp;AO14&amp;AP14=AO$5&amp;AP$5&amp;AN$5,AN14&amp;AO14&amp;AP14=AP$5&amp;AN$5&amp;AO$5,AN14&amp;AO14&amp;AP14=AP$5&amp;AO$5&amp;AN$5),2,0),IF(AND(AN14=AN$5,AO$6&gt;=$D$129),1,0),IF(AND(AO14=AN$5,AO$6&gt;=$D$129),1,0),IF(AND(AP14=AN$5,AO$6&gt;=$D$129),1,0),IF(AN14&amp;AQ14=AQ$5,4,0),IF(AND(AN14=AN$5,AO$6&lt;=$D$104),-0.5,0),IF(AND(AO14=AN$5,AO$6&lt;=$D$104),-0.5,0),IF(AND(AP14=AN$5,AO$6&lt;=$D$104),-0.5,0))</f>
        <v/>
      </c>
      <c r="AS14" s="419" t="n"/>
      <c r="AT14" s="420" t="n"/>
      <c r="AU14" s="420" t="n"/>
      <c r="AV14" s="420" t="n"/>
      <c r="AW14" s="602">
        <f>SUM(IF(AS14=AS$5,4,0),IF(AS14&amp;AT14=AS$5&amp;AT$5,1,0),
IF(AND(AS14=AS$5,AT$6&gt;=$D$115),1,0),
IF(AND(AT14=AS$5,AT$6&gt;=$D$115),1,0),
IF(AND(AU14=AS$5,AT$6&gt;=$D$115),1,0),
IF(AS14&amp;AV14=AW$5,1,0),
IF(AT14=AS$5,2,0),
IF(AU14=AS$5,1,0),
IF(OR(AS14&amp;AT14&amp;AU14=AS$5&amp;AT$5&amp;AU$5,AS14&amp;AT14&amp;AU14=AS$5&amp;AU$5&amp;AT$5,AS14&amp;AT14&amp;AU14=AT$5&amp;AS$5&amp;AU$5,AS14&amp;AT14&amp;AU14=AT$5&amp;AU$5&amp;AS$5,AS14&amp;AT14&amp;AU14=AU$5&amp;AS$5&amp;AT$5,AS14&amp;AT14&amp;AU14=AU$5&amp;AT$5&amp;AS$5),2,0),IF(AND(AS14=AS$5,AT$6&gt;=$D$129),1,0),IF(AND(AT14=AS$5,AT$6&gt;=$D$129),1,0),IF(AND(AU14=AS$5,AT$6&gt;=$D$129),1,0),IF(AS14&amp;AV14=AV$5,4,0),IF(AND(AS14=AS$5,AT$6&lt;=$D$104),-0.5,0),IF(AND(AT14=AS$5,AT$6&lt;=$D$104),-0.5,0),IF(AND(AU14=AS$5,AT$6&lt;=$D$104),-0.5,0))</f>
        <v/>
      </c>
      <c r="AX14" s="419" t="n"/>
      <c r="AY14" s="420" t="n"/>
      <c r="AZ14" s="420" t="n"/>
      <c r="BA14" s="420" t="n"/>
      <c r="BB14" s="602">
        <f>SUM(IF(AX14=AX$5,4,0),IF(AX14&amp;AY14=AX$5&amp;AY$5,1,0),
IF(AND(AX14=AX$5,AY$6&gt;=$D$115),1,0),
IF(AND(AY14=AX$5,AY$6&gt;=$D$115),1,0),
IF(AND(AZ14=AX$5,AY$6&gt;=$D$115),1,0),
IF(AX14&amp;BA14=BB$5,1,0),
IF(AY14=AX$5,2,0),
IF(AZ14=AX$5,1,0),
IF(OR(AX14&amp;AY14&amp;AZ14=AX$5&amp;AY$5&amp;AZ$5,AX14&amp;AY14&amp;AZ14=AX$5&amp;AZ$5&amp;AY$5,AX14&amp;AY14&amp;AZ14=AY$5&amp;AX$5&amp;AZ$5,AX14&amp;AY14&amp;AZ14=AY$5&amp;AZ$5&amp;AX$5,AX14&amp;AY14&amp;AZ14=AZ$5&amp;AX$5&amp;AY$5,AX14&amp;AY14&amp;AZ14=AZ$5&amp;AY$5&amp;AX$5),2,0),IF(AND(AX14=AX$5,AY$6&gt;=$D$129),1,0),IF(AND(AY14=AX$5,AY$6&gt;=$D$129),1,0),IF(AND(AZ14=AX$5,AY$6&gt;=$D$129),1,0),IF(AX14&amp;BA14=BA$5,4,0),IF(AND(AX14=AX$5,AY$6&lt;=$D$104),-0.5,0),IF(AND(AY14=AX$5,AY$6&lt;=$D$104),-0.5,0),IF(AND(AZ14=AX$5,AY$6&lt;=$D$104),-0.5,0))</f>
        <v/>
      </c>
      <c r="BC14" s="419" t="n"/>
      <c r="BD14" s="420" t="n"/>
      <c r="BE14" s="420" t="n"/>
      <c r="BF14" s="420" t="n"/>
      <c r="BG14" s="602">
        <f>SUM(IF(BC14=BC$5,4,0),IF(BC14&amp;BD14=BC$5&amp;BD$5,1,0),
IF(AND(BC14=BC$5,BD$6&gt;=$D$115),1,0),
IF(AND(BD14=BC$5,BD$6&gt;=$D$115),1,0),
IF(AND(BE14=BC$5,BD$6&gt;=$D$115),1,0),
IF(BC14&amp;BF14=BG$5,1,0),
IF(BD14=BC$5,2,0),
IF(BE14=BC$5,1,0),
IF(OR(BC14&amp;BD14&amp;BE14=BC$5&amp;BD$5&amp;BE$5,BC14&amp;BD14&amp;BE14=BC$5&amp;BE$5&amp;BD$5,BC14&amp;BD14&amp;BE14=BD$5&amp;BC$5&amp;BE$5,BC14&amp;BD14&amp;BE14=BD$5&amp;BE$5&amp;BC$5,BC14&amp;BD14&amp;BE14=BE$5&amp;BC$5&amp;BD$5,BC14&amp;BD14&amp;BE14=BE$5&amp;BD$5&amp;BC$5),2,0),IF(AND(BC14=BC$5,BD$6&gt;=$D$129),1,0),IF(AND(BD14=BC$5,BD$6&gt;=$D$129),1,0),IF(AND(BE14=BC$5,BD$6&gt;=$D$129),1,0),IF(BC14&amp;BF14=BF$5,4,0),IF(AND(BC14=BC$5,BD$6&lt;=$D$104),-0.5,0),IF(AND(BD14=BC$5,BD$6&lt;=$D$104),-0.5,0),IF(AND(BE14=BC$5,BD$6&lt;=$D$104),-0.5,0))</f>
        <v/>
      </c>
      <c r="BH14" s="419" t="n"/>
      <c r="BI14" s="420" t="n"/>
      <c r="BJ14" s="420" t="n"/>
      <c r="BK14" s="420" t="n"/>
      <c r="BL14" s="602">
        <f>SUM(IF(BH14=BH$5,4,0),IF(BH14&amp;BI14=BH$5&amp;BI$5,1,0),
IF(AND(BH14=BH$5,BI$6&gt;=$D$115),1,0),
IF(AND(BI14=BH$5,BI$6&gt;=$D$115),1,0),
IF(AND(BJ14=BH$5,BI$6&gt;=$D$115),1,0),
IF(BH14&amp;BK14=BL$5,1,0),
IF(BI14=BH$5,2,0),
IF(BJ14=BH$5,1,0),
IF(OR(BH14&amp;BI14&amp;BJ14=BH$5&amp;BI$5&amp;BJ$5,BH14&amp;BI14&amp;BJ14=BH$5&amp;BJ$5&amp;BI$5,BH14&amp;BI14&amp;BJ14=BI$5&amp;BH$5&amp;BJ$5,BH14&amp;BI14&amp;BJ14=BI$5&amp;BJ$5&amp;BH$5,BH14&amp;BI14&amp;BJ14=BJ$5&amp;BH$5&amp;BI$5,BH14&amp;BI14&amp;BJ14=BJ$5&amp;BI$5&amp;BH$5),2,0),IF(AND(BH14=BH$5,BI$6&gt;=$D$129),1,0),IF(AND(BI14=BH$5,BI$6&gt;=$D$129),1,0),IF(AND(BJ14=BH$5,BI$6&gt;=$D$129),1,0),IF(BH14&amp;BK14=BK$5,4,0),IF(AND(BH14=BH$5,BI$6&lt;=$D$104),-0.5,0),IF(AND(BI14=BH$5,BI$6&lt;=$D$104),-0.5,0),IF(AND(BJ14=BH$5,BI$6&lt;=$D$104),-0.5,0))</f>
        <v/>
      </c>
      <c r="BM14" s="419" t="n"/>
      <c r="BN14" s="420" t="n"/>
      <c r="BO14" s="420" t="n"/>
      <c r="BP14" s="420" t="n"/>
      <c r="BQ14" s="602">
        <f>SUM(IF(BM14=BM$5,4,0),IF(BM14&amp;BN14=BM$5&amp;BN$5,1,0),
IF(AND(BM14=BM$5,BN$6&gt;=$D$115),1,0),
IF(AND(BN14=BM$5,BN$6&gt;=$D$115),1,0),
IF(AND(BO14=BM$5,BN$6&gt;=$D$115),1,0),
IF(BM14&amp;BP14=BQ$5,1,0),
IF(BN14=BM$5,2,0),
IF(BO14=BM$5,1,0),
IF(OR(BM14&amp;BN14&amp;BO14=BM$5&amp;BN$5&amp;BO$5,BM14&amp;BN14&amp;BO14=BM$5&amp;BO$5&amp;BN$5,BM14&amp;BN14&amp;BO14=BN$5&amp;BM$5&amp;BO$5,BM14&amp;BN14&amp;BO14=BN$5&amp;BO$5&amp;BM$5,BM14&amp;BN14&amp;BO14=BO$5&amp;BM$5&amp;BN$5,BM14&amp;BN14&amp;BO14=BO$5&amp;BN$5&amp;BM$5),2,0),IF(AND(BM14=BM$5,BN$6&gt;=$D$129),1,0),IF(AND(BN14=BM$5,BN$6&gt;=$D$129),1,0),IF(AND(BO14=BM$5,BN$6&gt;=$D$129),1,0),IF(BM14&amp;BP14=BP$5,4,0),IF(AND(BM14=BM$5,BN$6&lt;=$D$104),-0.5,0),IF(AND(BN14=BM$5,BN$6&lt;=$D$104),-0.5,0),IF(AND(BO14=BM$5,BN$6&lt;=$D$104),-0.5,0))</f>
        <v/>
      </c>
      <c r="BR14" s="419" t="n"/>
      <c r="BS14" s="420" t="n"/>
      <c r="BT14" s="420" t="n"/>
      <c r="BU14" s="420" t="n"/>
      <c r="BV14" s="602">
        <f>SUM(IF(BR14=BR$5,4,0),IF(BR14&amp;BS14=BR$5&amp;BS$5,1,0),
IF(AND(BR14=BR$5,BS$6&gt;=$D$115),1,0),
IF(AND(BS14=BR$5,BS$6&gt;=$D$115),1,0),
IF(AND(BT14=BR$5,BS$6&gt;=$D$115),1,0),
IF(BR14&amp;BU14=BV$5,1,0),
IF(BS14=BR$5,2,0),
IF(BT14=BR$5,1,0),
IF(OR(BR14&amp;BS14&amp;BT14=BR$5&amp;BS$5&amp;BT$5,BR14&amp;BS14&amp;BT14=BR$5&amp;BT$5&amp;BS$5,BR14&amp;BS14&amp;BT14=BS$5&amp;BR$5&amp;BT$5,BR14&amp;BS14&amp;BT14=BS$5&amp;BT$5&amp;BR$5,BR14&amp;BS14&amp;BT14=BT$5&amp;BR$5&amp;BS$5,BR14&amp;BS14&amp;BT14=BT$5&amp;BS$5&amp;BR$5),2,0),IF(AND(BR14=BR$5,BS$6&gt;=$D$129),1,0),IF(AND(BS14=BR$5,BS$6&gt;=$D$129),1,0),IF(AND(BT14=BR$5,BS$6&gt;=$D$129),1,0),IF(BR14&amp;BU14=BU$5,4,0),IF(AND(BR14=BR$5,BS$6&lt;=$D$104),-0.5,0),IF(AND(BS14=BR$5,BS$6&lt;=$D$104),-0.5,0),IF(AND(BT14=BR$5,BS$6&lt;=$D$104),-0.5,0))</f>
        <v/>
      </c>
      <c r="BW14" s="419" t="n"/>
      <c r="BX14" s="420" t="n"/>
      <c r="BY14" s="420" t="n"/>
      <c r="BZ14" s="420" t="n"/>
      <c r="CA14" s="602">
        <f>SUM(IF(BW14=BW$5,4,0),IF(BW14&amp;BX14=BW$5&amp;BX$5,1,0),
IF(AND(BW14=BW$5,BX$6&gt;=$D$115),1,0),
IF(AND(BX14=BW$5,BX$6&gt;=$D$115),1,0),
IF(AND(BY14=BW$5,BX$6&gt;=$D$115),1,0),
IF(BW14&amp;BZ14=CA$5,1,0),
IF(BX14=BW$5,2,0),
IF(BY14=BW$5,1,0),
IF(OR(BW14&amp;BX14&amp;BY14=BW$5&amp;BX$5&amp;BY$5,BW14&amp;BX14&amp;BY14=BW$5&amp;BY$5&amp;BX$5,BW14&amp;BX14&amp;BY14=BX$5&amp;BW$5&amp;BY$5,BW14&amp;BX14&amp;BY14=BX$5&amp;BY$5&amp;BW$5,BW14&amp;BX14&amp;BY14=BY$5&amp;BW$5&amp;BX$5,BW14&amp;BX14&amp;BY14=BY$5&amp;BX$5&amp;BW$5),2,0),IF(AND(BW14=BW$5,BX$6&gt;=$D$129),1,0),IF(AND(BX14=BW$5,BX$6&gt;=$D$129),1,0),IF(AND(BY14=BW$5,BX$6&gt;=$D$129),1,0),IF(BW14&amp;BZ14=BZ$5,4,0),IF(AND(BW14=BW$5,BX$6&lt;=$D$104),-0.5,0),IF(AND(BX14=BW$5,BX$6&lt;=$D$104),-0.5,0),IF(AND(BY14=BW$5,BX$6&lt;=$D$104),-0.5,0))</f>
        <v/>
      </c>
      <c r="CB14" s="419" t="n"/>
      <c r="CC14" s="420" t="n"/>
      <c r="CD14" s="420" t="n"/>
      <c r="CE14" s="420" t="n"/>
      <c r="CF14" s="602">
        <f>SUM(IF(CB14=CB$5,4,0),IF(CB14&amp;CC14=CB$5&amp;CC$5,1,0),
IF(AND(CB14=CB$5,CC$6&gt;=$D$115),1,0),
IF(AND(CC14=CB$5,CC$6&gt;=$D$115),1,0),
IF(AND(CD14=CB$5,CC$6&gt;=$D$115),1,0),
IF(CB14&amp;CE14=CF$5,1,0),
IF(CC14=CB$5,2,0),
IF(CD14=CB$5,1,0),
IF(OR(CB14&amp;CC14&amp;CD14=CB$5&amp;CC$5&amp;CD$5,CB14&amp;CC14&amp;CD14=CB$5&amp;CD$5&amp;CC$5,CB14&amp;CC14&amp;CD14=CC$5&amp;CB$5&amp;CD$5,CB14&amp;CC14&amp;CD14=CC$5&amp;CD$5&amp;CB$5,CB14&amp;CC14&amp;CD14=CD$5&amp;CB$5&amp;CC$5,CB14&amp;CC14&amp;CD14=CD$5&amp;CC$5&amp;CB$5),2,0),IF(AND(CB14=CB$5,CC$6&gt;=$D$129),1,0),IF(AND(CC14=CB$5,CC$6&gt;=$D$129),1,0),IF(AND(CD14=CB$5,CC$6&gt;=$D$129),1,0),IF(CB14&amp;CE14=CE$5,4,0),IF(AND(CB14=CB$5,CC$6&lt;=$D$104),-0.5,0),IF(AND(CC14=CB$5,CC$6&lt;=$D$104),-0.5,0),IF(AND(CD14=CB$5,CC$6&lt;=$D$104),-0.5,0))</f>
        <v/>
      </c>
      <c r="CG14" s="164">
        <f>IF(SEMANA29[[#This Row],[1]]="",0,$B$4)</f>
        <v/>
      </c>
      <c r="CH14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4" s="166">
        <f>IF(SEMANA29[[#This Row],[Columna14]]=0,0,(CH14/CG14))</f>
        <v/>
      </c>
      <c r="CJ14" s="165">
        <f>IF(SEMANA29[[#This Row],[1]]="",0,$B$4)</f>
        <v/>
      </c>
      <c r="CK14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4" s="166">
        <f>IF(SEMANA29[[#This Row],[Columna14]]=0,0,(CK14/CJ14))</f>
        <v/>
      </c>
      <c r="CM14" s="164">
        <f>IF(SEMANA29[[#This Row],[1]]="",0,$B$4)</f>
        <v/>
      </c>
      <c r="CN14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4" s="166">
        <f>IF(SEMANA29[[#This Row],[Columna14]]=0,0,(CN14/CM14))</f>
        <v/>
      </c>
      <c r="CP14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4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Row],[Columna25]],$AX$5,BA14,"SF")+COUNTIFS(SEMANA29[[#This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4" s="166">
        <f>IFERROR(IF(SEMANA29[[#This Row],[Columna14]]=0,0,(CQ14/CP14)),0)</f>
        <v/>
      </c>
      <c r="CS14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4" s="95">
        <f>_xlfn.XLOOKUP(SEMANA29[[#This Row],[COD]],SEMANA2[COD],SEMANA2[Columna33])</f>
        <v/>
      </c>
      <c r="CU14" s="604">
        <f>SUM(CS14,CT14)</f>
        <v/>
      </c>
      <c r="CV14" s="450">
        <f>IF(SEMANA29[[#This Row],[TIPO]]="PREMIO",$O$3,"0,00")</f>
        <v/>
      </c>
      <c r="CW14" s="576" t="n"/>
      <c r="CY14" s="393" t="n">
        <v>7</v>
      </c>
      <c r="CZ14" s="354">
        <f>AJ$6</f>
        <v/>
      </c>
      <c r="DB14" s="605">
        <f>SEMANA29[[#This Row],[COD]]</f>
        <v/>
      </c>
      <c r="DC14" s="395">
        <f t="array" ref="DC14">IFERROR(IF(AND(INDEX($E$8:$CE$57, MATCH($C14, $C$8:$C$57, 0), (COLUMNS($DC14:DC14)-1)*5 + 1) = INDEX($E$5:$CE$5, 1, (COLUMNS($DC14:DC14)-1)*5 + 1), INDEX($E$8:$CE$57, MATCH($C14, $C$8:$C$57, 0), (COLUMNS($DC14:DC14)-1)*5 + 4) = "F"), INDEX($CZ$8:$CZ$23, COLUMNS($DC14:DC14)), "0"), "")</f>
        <v/>
      </c>
      <c r="DD14" s="395">
        <f t="array" ref="DD14">IFERROR(IF(AND(INDEX($E$8:$CE$57, MATCH($C14, $C$8:$C$57, 0), (COLUMNS($DC14:DD14)-1)*5 + 1) = INDEX($E$5:$CE$5, 1, (COLUMNS($DC14:DD14)-1)*5 + 1), INDEX($E$8:$CE$57, MATCH($C14, $C$8:$C$57, 0), (COLUMNS($DC14:DD14)-1)*5 + 4) = "F"), INDEX($CZ$8:$CZ$23, COLUMNS($DC14:DD14)), "0"), "")</f>
        <v/>
      </c>
      <c r="DE14" s="395">
        <f t="array" ref="DE14">IFERROR(IF(AND(INDEX($E$8:$CE$57, MATCH($C14, $C$8:$C$57, 0), (COLUMNS($DC14:DE14)-1)*5 + 1) = INDEX($E$5:$CE$5, 1, (COLUMNS($DC14:DE14)-1)*5 + 1), INDEX($E$8:$CE$57, MATCH($C14, $C$8:$C$57, 0), (COLUMNS($DC14:DE14)-1)*5 + 4) = "F"), INDEX($CZ$8:$CZ$23, COLUMNS($DC14:DE14)), "0"), "")</f>
        <v/>
      </c>
      <c r="DF14" s="395">
        <f t="array" ref="DF14">IFERROR(IF(AND(INDEX($E$8:$CE$57, MATCH($C14, $C$8:$C$57, 0), (COLUMNS($DC14:DF14)-1)*5 + 1) = INDEX($E$5:$CE$5, 1, (COLUMNS($DC14:DF14)-1)*5 + 1), INDEX($E$8:$CE$57, MATCH($C14, $C$8:$C$57, 0), (COLUMNS($DC14:DF14)-1)*5 + 4) = "F"), INDEX($CZ$8:$CZ$23, COLUMNS($DC14:DF14)), "0"), "")</f>
        <v/>
      </c>
      <c r="DG14" s="395">
        <f t="array" ref="DG14">IFERROR(IF(AND(INDEX($E$8:$CE$57, MATCH($C14, $C$8:$C$57, 0), (COLUMNS($DC14:DG14)-1)*5 + 1) = INDEX($E$5:$CE$5, 1, (COLUMNS($DC14:DG14)-1)*5 + 1), INDEX($E$8:$CE$57, MATCH($C14, $C$8:$C$57, 0), (COLUMNS($DC14:DG14)-1)*5 + 4) = "F"), INDEX($CZ$8:$CZ$23, COLUMNS($DC14:DG14)), "0"), "")</f>
        <v/>
      </c>
      <c r="DH14" s="395">
        <f t="array" ref="DH14">IFERROR(IF(AND(INDEX($E$8:$CE$57, MATCH($C14, $C$8:$C$57, 0), (COLUMNS($DC14:DH14)-1)*5 + 1) = INDEX($E$5:$CE$5, 1, (COLUMNS($DC14:DH14)-1)*5 + 1), INDEX($E$8:$CE$57, MATCH($C14, $C$8:$C$57, 0), (COLUMNS($DC14:DH14)-1)*5 + 4) = "F"), INDEX($CZ$8:$CZ$23, COLUMNS($DC14:DH14)), "0"), "")</f>
        <v/>
      </c>
      <c r="DI14" s="395">
        <f t="array" ref="DI14">IFERROR(IF(AND(INDEX($E$8:$CE$57, MATCH($C14, $C$8:$C$57, 0), (COLUMNS($DC14:DI14)-1)*5 + 1) = INDEX($E$5:$CE$5, 1, (COLUMNS($DC14:DI14)-1)*5 + 1), INDEX($E$8:$CE$57, MATCH($C14, $C$8:$C$57, 0), (COLUMNS($DC14:DI14)-1)*5 + 4) = "F"), INDEX($CZ$8:$CZ$23, COLUMNS($DC14:DI14)), "0"), "")</f>
        <v/>
      </c>
      <c r="DJ14" s="395">
        <f t="array" ref="DJ14">IFERROR(IF(AND(INDEX($E$8:$CE$57, MATCH($C14, $C$8:$C$57, 0), (COLUMNS($DC14:DJ14)-1)*5 + 1) = INDEX($E$5:$CE$5, 1, (COLUMNS($DC14:DJ14)-1)*5 + 1), INDEX($E$8:$CE$57, MATCH($C14, $C$8:$C$57, 0), (COLUMNS($DC14:DJ14)-1)*5 + 4) = "F"), INDEX($CZ$8:$CZ$23, COLUMNS($DC14:DJ14)), "0"), "")</f>
        <v/>
      </c>
      <c r="DK14" s="395">
        <f t="array" ref="DK14">IFERROR(IF(AND(INDEX($E$8:$CE$57, MATCH($C14, $C$8:$C$57, 0), (COLUMNS($DC14:DK14)-1)*5 + 1) = INDEX($E$5:$CE$5, 1, (COLUMNS($DC14:DK14)-1)*5 + 1), INDEX($E$8:$CE$57, MATCH($C14, $C$8:$C$57, 0), (COLUMNS($DC14:DK14)-1)*5 + 4) = "F"), INDEX($CZ$8:$CZ$23, COLUMNS($DC14:DK14)), "0"), "")</f>
        <v/>
      </c>
      <c r="DL14" s="395">
        <f t="array" ref="DL14">IFERROR(IF(AND(INDEX($E$8:$CE$57, MATCH($C14, $C$8:$C$57, 0), (COLUMNS($DC14:DL14)-1)*5 + 1) = INDEX($E$5:$CE$5, 1, (COLUMNS($DC14:DL14)-1)*5 + 1), INDEX($E$8:$CE$57, MATCH($C14, $C$8:$C$57, 0), (COLUMNS($DC14:DL14)-1)*5 + 4) = "F"), INDEX($CZ$8:$CZ$23, COLUMNS($DC14:DL14)), "0"), "")</f>
        <v/>
      </c>
      <c r="DM14" s="395">
        <f t="array" ref="DM14">IFERROR(IF(AND(INDEX($E$8:$CE$57, MATCH($C14, $C$8:$C$57, 0), (COLUMNS($DC14:DM14)-1)*5 + 1) = INDEX($E$5:$CE$5, 1, (COLUMNS($DC14:DM14)-1)*5 + 1), INDEX($E$8:$CE$57, MATCH($C14, $C$8:$C$57, 0), (COLUMNS($DC14:DM14)-1)*5 + 4) = "F"), INDEX($CZ$8:$CZ$23, COLUMNS($DC14:DM14)), "0"), "")</f>
        <v/>
      </c>
      <c r="DN14" s="395">
        <f t="array" ref="DN14">IFERROR(IF(AND(INDEX($E$8:$CE$57, MATCH($C14, $C$8:$C$57, 0), (COLUMNS($DC14:DN14)-1)*5 + 1) = INDEX($E$5:$CE$5, 1, (COLUMNS($DC14:DN14)-1)*5 + 1), INDEX($E$8:$CE$57, MATCH($C14, $C$8:$C$57, 0), (COLUMNS($DC14:DN14)-1)*5 + 4) = "F"), INDEX($CZ$8:$CZ$23, COLUMNS($DC14:DN14)), "0"), "")</f>
        <v/>
      </c>
      <c r="DO14" s="395">
        <f t="array" ref="DO14">IFERROR(IF(AND(INDEX($E$8:$CE$57, MATCH($C14, $C$8:$C$57, 0), (COLUMNS($DC14:DO14)-1)*5 + 1) = INDEX($E$5:$CE$5, 1, (COLUMNS($DC14:DO14)-1)*5 + 1), INDEX($E$8:$CE$57, MATCH($C14, $C$8:$C$57, 0), (COLUMNS($DC14:DO14)-1)*5 + 4) = "F"), INDEX($CZ$8:$CZ$23, COLUMNS($DC14:DO14)), "0"), "")</f>
        <v/>
      </c>
      <c r="DP14" s="395">
        <f t="array" ref="DP14">IFERROR(IF(AND(INDEX($E$8:$CE$57, MATCH($C14, $C$8:$C$57, 0), (COLUMNS($DC14:DP14)-1)*5 + 1) = INDEX($E$5:$CE$5, 1, (COLUMNS($DC14:DP14)-1)*5 + 1), INDEX($E$8:$CE$57, MATCH($C14, $C$8:$C$57, 0), (COLUMNS($DC14:DP14)-1)*5 + 4) = "F"), INDEX($CZ$8:$CZ$23, COLUMNS($DC14:DP14)), "0"), "")</f>
        <v/>
      </c>
      <c r="DQ14" s="395">
        <f t="array" ref="DQ14">IFERROR(IF(AND(INDEX($E$8:$CE$57, MATCH($C14, $C$8:$C$57, 0), (COLUMNS($DC14:DQ14)-1)*5 + 1) = INDEX($E$5:$CE$5, 1, (COLUMNS($DC14:DQ14)-1)*5 + 1), INDEX($E$8:$CE$57, MATCH($C14, $C$8:$C$57, 0), (COLUMNS($DC14:DQ14)-1)*5 + 4) = "F"), INDEX($CZ$8:$CZ$23, COLUMNS($DC14:DQ14)), "0"), "")</f>
        <v/>
      </c>
      <c r="DR14" s="395">
        <f t="array" ref="DR14">IFERROR(IF(AND(INDEX($E$8:$CE$57, MATCH($C14, $C$8:$C$57, 0), (COLUMNS($DC14:DR14)-1)*5 + 1) = INDEX($E$5:$CE$5, 1, (COLUMNS($DC14:DR14)-1)*5 + 1), INDEX($E$8:$CE$57, MATCH($C14, $C$8:$C$57, 0), (COLUMNS($DC14:DR14)-1)*5 + 4) = "F"), INDEX($CZ$8:$CZ$23, COLUMNS($DC14:DR14)), "0"), "")</f>
        <v/>
      </c>
      <c r="DT14" s="605">
        <f>SEMANA29[[#This Row],[COD]]</f>
        <v/>
      </c>
      <c r="DU14" s="395">
        <f t="array" ref="DU14">IFERROR(IF(AND(INDEX($E$8:$CE$57, MATCH($C14, $C$8:$C$57, 0), (COLUMNS($DU14:DU14)-1)*5 + 1) = INDEX($E$5:$CE$5, 1, (COLUMNS($DU14:DU14)-1)*5 + 1), INDEX($E$8:$CE$57, MATCH($C14, $C$8:$C$57, 0), (COLUMNS($DU14:DU14)-1)*5 + 4) = "SF"), INDEX($CZ$8:$CZ$23, COLUMNS($DU14:DU14)), "0"), "")</f>
        <v/>
      </c>
      <c r="DV14" s="395">
        <f t="array" ref="DV14">IFERROR(IF(AND(INDEX($E$8:$CE$57, MATCH($C14, $C$8:$C$57, 0), (COLUMNS($DU14:DV14)-1)*5 + 1) = INDEX($E$5:$CE$5, 1, (COLUMNS($DU14:DV14)-1)*5 + 1), INDEX($E$8:$CE$57, MATCH($C14, $C$8:$C$57, 0), (COLUMNS($DU14:DV14)-1)*5 + 4) = "SF"), INDEX($CZ$8:$CZ$23, COLUMNS($DU14:DV14)), "0"), "")</f>
        <v/>
      </c>
      <c r="DW14" s="395">
        <f t="array" ref="DW14">IFERROR(IF(AND(INDEX($E$8:$CE$57, MATCH($C14, $C$8:$C$57, 0), (COLUMNS($DU14:DW14)-1)*5 + 1) = INDEX($E$5:$CE$5, 1, (COLUMNS($DU14:DW14)-1)*5 + 1), INDEX($E$8:$CE$57, MATCH($C14, $C$8:$C$57, 0), (COLUMNS($DU14:DW14)-1)*5 + 4) = "SF"), INDEX($CZ$8:$CZ$23, COLUMNS($DU14:DW14)), "0"), "")</f>
        <v/>
      </c>
      <c r="DX14" s="395">
        <f t="array" ref="DX14">IFERROR(IF(AND(INDEX($E$8:$CE$57, MATCH($C14, $C$8:$C$57, 0), (COLUMNS($DU14:DX14)-1)*5 + 1) = INDEX($E$5:$CE$5, 1, (COLUMNS($DU14:DX14)-1)*5 + 1), INDEX($E$8:$CE$57, MATCH($C14, $C$8:$C$57, 0), (COLUMNS($DU14:DX14)-1)*5 + 4) = "SF"), INDEX($CZ$8:$CZ$23, COLUMNS($DU14:DX14)), "0"), "")</f>
        <v/>
      </c>
      <c r="DY14" s="395">
        <f t="array" ref="DY14">IFERROR(IF(AND(INDEX($E$8:$CE$57, MATCH($C14, $C$8:$C$57, 0), (COLUMNS($DU14:DY14)-1)*5 + 1) = INDEX($E$5:$CE$5, 1, (COLUMNS($DU14:DY14)-1)*5 + 1), INDEX($E$8:$CE$57, MATCH($C14, $C$8:$C$57, 0), (COLUMNS($DU14:DY14)-1)*5 + 4) = "SF"), INDEX($CZ$8:$CZ$23, COLUMNS($DU14:DY14)), "0"), "")</f>
        <v/>
      </c>
      <c r="DZ14" s="395">
        <f t="array" ref="DZ14">IFERROR(IF(AND(INDEX($E$8:$CE$57, MATCH($C14, $C$8:$C$57, 0), (COLUMNS($DU14:DZ14)-1)*5 + 1) = INDEX($E$5:$CE$5, 1, (COLUMNS($DU14:DZ14)-1)*5 + 1), INDEX($E$8:$CE$57, MATCH($C14, $C$8:$C$57, 0), (COLUMNS($DU14:DZ14)-1)*5 + 4) = "SF"), INDEX($CZ$8:$CZ$23, COLUMNS($DU14:DZ14)), "0"), "")</f>
        <v/>
      </c>
      <c r="EA14" s="395">
        <f t="array" ref="EA14">IFERROR(IF(AND(INDEX($E$8:$CE$57, MATCH($C14, $C$8:$C$57, 0), (COLUMNS($DU14:EA14)-1)*5 + 1) = INDEX($E$5:$CE$5, 1, (COLUMNS($DU14:EA14)-1)*5 + 1), INDEX($E$8:$CE$57, MATCH($C14, $C$8:$C$57, 0), (COLUMNS($DU14:EA14)-1)*5 + 4) = "SF"), INDEX($CZ$8:$CZ$23, COLUMNS($DU14:EA14)), "0"), "")</f>
        <v/>
      </c>
      <c r="EB14" s="395">
        <f t="array" ref="EB14">IFERROR(IF(AND(INDEX($E$8:$CE$57, MATCH($C14, $C$8:$C$57, 0), (COLUMNS($DU14:EB14)-1)*5 + 1) = INDEX($E$5:$CE$5, 1, (COLUMNS($DU14:EB14)-1)*5 + 1), INDEX($E$8:$CE$57, MATCH($C14, $C$8:$C$57, 0), (COLUMNS($DU14:EB14)-1)*5 + 4) = "SF"), INDEX($CZ$8:$CZ$23, COLUMNS($DU14:EB14)), "0"), "")</f>
        <v/>
      </c>
      <c r="EC14" s="395">
        <f t="array" ref="EC14">IFERROR(IF(AND(INDEX($E$8:$CE$57, MATCH($C14, $C$8:$C$57, 0), (COLUMNS($DU14:EC14)-1)*5 + 1) = INDEX($E$5:$CE$5, 1, (COLUMNS($DU14:EC14)-1)*5 + 1), INDEX($E$8:$CE$57, MATCH($C14, $C$8:$C$57, 0), (COLUMNS($DU14:EC14)-1)*5 + 4) = "SF"), INDEX($CZ$8:$CZ$23, COLUMNS($DU14:EC14)), "0"), "")</f>
        <v/>
      </c>
      <c r="ED14" s="395">
        <f t="array" ref="ED14">IFERROR(IF(AND(INDEX($E$8:$CE$57, MATCH($C14, $C$8:$C$57, 0), (COLUMNS($DU14:ED14)-1)*5 + 1) = INDEX($E$5:$CE$5, 1, (COLUMNS($DU14:ED14)-1)*5 + 1), INDEX($E$8:$CE$57, MATCH($C14, $C$8:$C$57, 0), (COLUMNS($DU14:ED14)-1)*5 + 4) = "SF"), INDEX($CZ$8:$CZ$23, COLUMNS($DU14:ED14)), "0"), "")</f>
        <v/>
      </c>
      <c r="EE14" s="395">
        <f t="array" ref="EE14">IFERROR(IF(AND(INDEX($E$8:$CE$57, MATCH($C14, $C$8:$C$57, 0), (COLUMNS($DU14:EE14)-1)*5 + 1) = INDEX($E$5:$CE$5, 1, (COLUMNS($DU14:EE14)-1)*5 + 1), INDEX($E$8:$CE$57, MATCH($C14, $C$8:$C$57, 0), (COLUMNS($DU14:EE14)-1)*5 + 4) = "SF"), INDEX($CZ$8:$CZ$23, COLUMNS($DU14:EE14)), "0"), "")</f>
        <v/>
      </c>
      <c r="EF14" s="395">
        <f t="array" ref="EF14">IFERROR(IF(AND(INDEX($E$8:$CE$57, MATCH($C14, $C$8:$C$57, 0), (COLUMNS($DU14:EF14)-1)*5 + 1) = INDEX($E$5:$CE$5, 1, (COLUMNS($DU14:EF14)-1)*5 + 1), INDEX($E$8:$CE$57, MATCH($C14, $C$8:$C$57, 0), (COLUMNS($DU14:EF14)-1)*5 + 4) = "SF"), INDEX($CZ$8:$CZ$23, COLUMNS($DU14:EF14)), "0"), "")</f>
        <v/>
      </c>
      <c r="EG14" s="395">
        <f t="array" ref="EG14">IFERROR(IF(AND(INDEX($E$8:$CE$57, MATCH($C14, $C$8:$C$57, 0), (COLUMNS($DU14:EG14)-1)*5 + 1) = INDEX($E$5:$CE$5, 1, (COLUMNS($DU14:EG14)-1)*5 + 1), INDEX($E$8:$CE$57, MATCH($C14, $C$8:$C$57, 0), (COLUMNS($DU14:EG14)-1)*5 + 4) = "SF"), INDEX($CZ$8:$CZ$23, COLUMNS($DU14:EG14)), "0"), "")</f>
        <v/>
      </c>
      <c r="EH14" s="395">
        <f t="array" ref="EH14">IFERROR(IF(AND(INDEX($E$8:$CE$57, MATCH($C14, $C$8:$C$57, 0), (COLUMNS($DU14:EH14)-1)*5 + 1) = INDEX($E$5:$CE$5, 1, (COLUMNS($DU14:EH14)-1)*5 + 1), INDEX($E$8:$CE$57, MATCH($C14, $C$8:$C$57, 0), (COLUMNS($DU14:EH14)-1)*5 + 4) = "SF"), INDEX($CZ$8:$CZ$23, COLUMNS($DU14:EH14)), "0"), "")</f>
        <v/>
      </c>
      <c r="EI14" s="395">
        <f t="array" ref="EI14">IFERROR(IF(AND(INDEX($E$8:$CE$57, MATCH($C14, $C$8:$C$57, 0), (COLUMNS($DU14:EI14)-1)*5 + 1) = INDEX($E$5:$CE$5, 1, (COLUMNS($DU14:EI14)-1)*5 + 1), INDEX($E$8:$CE$57, MATCH($C14, $C$8:$C$57, 0), (COLUMNS($DU14:EI14)-1)*5 + 4) = "SF"), INDEX($CZ$8:$CZ$23, COLUMNS($DU14:EI14)), "0"), "")</f>
        <v/>
      </c>
      <c r="EJ14" s="395">
        <f t="array" ref="EJ14">IFERROR(IF(AND(INDEX($E$8:$CE$57, MATCH($C14, $C$8:$C$57, 0), (COLUMNS($DU14:EJ14)-1)*5 + 1) = INDEX($E$5:$CE$5, 1, (COLUMNS($DU14:EJ14)-1)*5 + 1), INDEX($E$8:$CE$57, MATCH($C14, $C$8:$C$57, 0), (COLUMNS($DU14:EJ14)-1)*5 + 4) = "SF"), INDEX($CZ$8:$CZ$23, COLUMNS($DU14:EJ14)), "0"), "")</f>
        <v/>
      </c>
    </row>
    <row r="15" ht="20.1" customHeight="1" s="568">
      <c r="A15" s="576" t="n"/>
      <c r="B15" s="449">
        <f>IF(SEMANA29[[#This Row],[COD]]&lt;&gt;"",B14+1,"")</f>
        <v/>
      </c>
      <c r="C15" s="622" t="inlineStr">
        <is>
          <t>COD 08</t>
        </is>
      </c>
      <c r="D15" s="415">
        <f t="array" ref="D15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5" s="416" t="n"/>
      <c r="F15" s="417" t="n"/>
      <c r="G15" s="417" t="n"/>
      <c r="H15" s="417" t="n"/>
      <c r="I15" s="602">
        <f>SUM(IF(E15=E$5,4,0),IF(E15&amp;F15=E$5&amp;F$5,1,0),
IF(AND(E15=E$5,F$6&gt;=$D$115),1,0),
IF(AND(F15=E$5,F$6&gt;=$D$115),1,0),
IF(AND(G15=E$5,F$6&gt;=$D$115),1,0),
IF(E15&amp;H15=I$5,1,0),
IF(F15=E$5,2,0),
IF(G15=E$5,1,0),
IF(OR(E15&amp;F15&amp;G15=E$5&amp;F$5&amp;G$5,E15&amp;F15&amp;G15=E$5&amp;G$5&amp;F$5,E15&amp;F15&amp;G15=F$5&amp;E$5&amp;G$5,E15&amp;F15&amp;G15=F$5&amp;G$5&amp;E$5,E15&amp;F15&amp;G15=G$5&amp;E$5&amp;F$5,E15&amp;F15&amp;G15=G$5&amp;F$5&amp;E$5),2,0),IF(AND(E15=E$5,F$6&gt;=$D$129),1,0),IF(AND(F15=E$5,F$6&gt;=$D$129),1,0),IF(AND(G15=E$5,F$6&gt;=$D$129),1,0),IF(E15&amp;H15=H$5,4,0),IF(AND(E15=E$5,F$6&lt;=$D$104),-0.5,0),IF(AND(F15=E$5,F$6&lt;=$D$104),-0.5,0),IF(AND(G15=E$5,F$6&lt;=$D$104),-0.5,0))</f>
        <v/>
      </c>
      <c r="J15" s="416" t="n"/>
      <c r="K15" s="417" t="n"/>
      <c r="L15" s="417" t="n"/>
      <c r="M15" s="417" t="n"/>
      <c r="N15" s="602">
        <f>SUM(IF(J15=J$5,4,0),IF(J15&amp;K15=J$5&amp;K$5,1,0),
IF(AND(J15=J$5,K$6&gt;=$D$115),1,0),
IF(AND(K15=J$5,K$6&gt;=$D$115),1,0),
IF(AND(L15=J$5,K$6&gt;=$D$115),1,0),
IF(J15&amp;M15=N$5,1,0),
IF(K15=J$5,2,0),
IF(L15=J$5,1,0),
IF(OR(J15&amp;K15&amp;L15=J$5&amp;K$5&amp;L$5,J15&amp;K15&amp;L15=J$5&amp;L$5&amp;K$5,J15&amp;K15&amp;L15=K$5&amp;J$5&amp;L$5,J15&amp;K15&amp;L15=K$5&amp;L$5&amp;J$5,J15&amp;K15&amp;L15=L$5&amp;J$5&amp;K$5,J15&amp;K15&amp;L15=L$5&amp;K$5&amp;J$5),2,0),IF(AND(J15=J$5,K$6&gt;=$D$129),1,0),IF(AND(K15=J$5,K$6&gt;=$D$129),1,0),IF(AND(L15=J$5,K$6&gt;=$D$129),1,0),IF(J15&amp;M15=M$5,4,0),IF(AND(J15=J$5,K$6&lt;=$D$104),-0.5,0),IF(AND(K15=J$5,K$6&lt;=$D$104),-0.5,0),IF(AND(L15=J$5,K$6&lt;=$D$104),-0.5,0))</f>
        <v/>
      </c>
      <c r="O15" s="416" t="n"/>
      <c r="P15" s="417" t="n"/>
      <c r="Q15" s="417" t="n"/>
      <c r="R15" s="417" t="n"/>
      <c r="S15" s="602">
        <f>SUM(IF(O15=O$5,4,0),IF(O15&amp;P15=O$5&amp;P$5,1,0),
IF(AND(O15=O$5,P$6&gt;=$D$115),1,0),
IF(AND(P15=O$5,P$6&gt;=$D$115),1,0),
IF(AND(Q15=O$5,P$6&gt;=$D$115),1,0),
IF(O15&amp;R15=S$5,1,0),
IF(P15=O$5,2,0),
IF(Q15=O$5,1,0),
IF(OR(O15&amp;P15&amp;Q15=O$5&amp;P$5&amp;Q$5,O15&amp;P15&amp;Q15=O$5&amp;Q$5&amp;P$5,O15&amp;P15&amp;Q15=P$5&amp;O$5&amp;Q$5,O15&amp;P15&amp;Q15=P$5&amp;Q$5&amp;O$5,O15&amp;P15&amp;Q15=Q$5&amp;O$5&amp;P$5,O15&amp;P15&amp;Q15=Q$5&amp;P$5&amp;O$5),2,0),IF(AND(O15=O$5,P$6&gt;=$D$129),1,0),IF(AND(P15=O$5,P$6&gt;=$D$129),1,0),IF(AND(Q15=O$5,P$6&gt;=$D$129),1,0),IF(O15&amp;R15=R$5,4,0),IF(AND(O15=O$5,P$6&lt;=$D$104),-0.5,0),IF(AND(P15=O$5,P$6&lt;=$D$104),-0.5,0),IF(AND(Q15=O$5,P$6&lt;=$D$104),-0.5,0))</f>
        <v/>
      </c>
      <c r="T15" s="416" t="n"/>
      <c r="U15" s="417" t="n"/>
      <c r="V15" s="417" t="n"/>
      <c r="W15" s="417" t="n"/>
      <c r="X15" s="602">
        <f>SUM(IF(T15=T$5,4,0),IF(T15&amp;U15=T$5&amp;U$5,1,0),
IF(AND(T15=T$5,U$6&gt;=$D$115),1,0),
IF(AND(U15=T$5,U$6&gt;=$D$115),1,0),
IF(AND(V15=T$5,U$6&gt;=$D$115),1,0),
IF(T15&amp;W15=X$5,1,0),
IF(U15=T$5,2,0),
IF(V15=T$5,1,0),
IF(OR(T15&amp;U15&amp;V15=T$5&amp;U$5&amp;V$5,T15&amp;U15&amp;V15=T$5&amp;V$5&amp;U$5,T15&amp;U15&amp;V15=U$5&amp;T$5&amp;V$5,T15&amp;U15&amp;V15=U$5&amp;V$5&amp;T$5,T15&amp;U15&amp;V15=V$5&amp;T$5&amp;U$5,T15&amp;U15&amp;V15=V$5&amp;U$5&amp;T$5),2,0),IF(AND(T15=T$5,U$6&gt;=$D$129),1,0),IF(AND(U15=T$5,U$6&gt;=$D$129),1,0),IF(AND(V15=T$5,U$6&gt;=$D$129),1,0),IF(T15&amp;W15=W$5,4,0),IF(AND(T15=T$5,U$6&lt;=$D$104),-0.5,0),IF(AND(U15=T$5,U$6&lt;=$D$104),-0.5,0),IF(AND(V15=T$5,U$6&lt;=$D$104),-0.5,0))</f>
        <v/>
      </c>
      <c r="Y15" s="416" t="n"/>
      <c r="Z15" s="417" t="n"/>
      <c r="AA15" s="417" t="n"/>
      <c r="AB15" s="417" t="n"/>
      <c r="AC15" s="602">
        <f>SUM(IF(Y15=Y$5,4,0),IF(Y15&amp;Z15=Y$5&amp;Z$5,1,0),
IF(AND(Y15=Y$5,Z$6&gt;=$D$115),1,0),
IF(AND(Z15=Y$5,Z$6&gt;=$D$115),1,0),
IF(AND(AA15=Y$5,Z$6&gt;=$D$115),1,0),
IF(Y15&amp;AB15=AC$5,1,0),
IF(Z15=Y$5,2,0),
IF(AA15=Y$5,1,0),
IF(OR(Y15&amp;Z15&amp;AA15=Y$5&amp;Z$5&amp;AA$5,Y15&amp;Z15&amp;AA15=Y$5&amp;AA$5&amp;Z$5,Y15&amp;Z15&amp;AA15=Z$5&amp;Y$5&amp;AA$5,Y15&amp;Z15&amp;AA15=Z$5&amp;AA$5&amp;Y$5,Y15&amp;Z15&amp;AA15=AA$5&amp;Y$5&amp;Z$5,Y15&amp;Z15&amp;AA15=AA$5&amp;Z$5&amp;Y$5),2,0),IF(AND(Y15=Y$5,Z$6&gt;=$D$129),1,0),IF(AND(Z15=Y$5,Z$6&gt;=$D$129),1,0),IF(AND(AA15=Y$5,Z$6&gt;=$D$129),1,0),IF(Y15&amp;AB15=AB$5,4,0),IF(AND(Y15=Y$5,Z$6&lt;=$D$104),-0.5,0),IF(AND(Z15=Y$5,Z$6&lt;=$D$104),-0.5,0),IF(AND(AA15=Y$5,Z$6&lt;=$D$104),-0.5,0))</f>
        <v/>
      </c>
      <c r="AD15" s="416" t="n"/>
      <c r="AE15" s="417" t="n"/>
      <c r="AF15" s="417" t="n"/>
      <c r="AG15" s="417" t="n"/>
      <c r="AH15" s="602">
        <f>SUM(IF(AD15=AD$5,4,0),IF(AD15&amp;AE15=AD$5&amp;AE$5,1,0),
IF(AND(AD15=AD$5,AE$6&gt;=$D$115),1,0),
IF(AND(AE15=AD$5,AE$6&gt;=$D$115),1,0),
IF(AND(AF15=AD$5,AE$6&gt;=$D$115),1,0),
IF(AD15&amp;AG15=AH$5,1,0),
IF(AE15=AD$5,2,0),
IF(AF15=AD$5,1,0),
IF(OR(AD15&amp;AE15&amp;AF15=AD$5&amp;AE$5&amp;AF$5,AD15&amp;AE15&amp;AF15=AD$5&amp;AF$5&amp;AE$5,AD15&amp;AE15&amp;AF15=AE$5&amp;AD$5&amp;AF$5,AD15&amp;AE15&amp;AF15=AE$5&amp;AF$5&amp;AD$5,AD15&amp;AE15&amp;AF15=AF$5&amp;AD$5&amp;AE$5,AD15&amp;AE15&amp;AF15=AF$5&amp;AE$5&amp;AD$5),2,0),IF(AND(AD15=AD$5,AE$6&gt;=$D$129),1,0),IF(AND(AE15=AD$5,AE$6&gt;=$D$129),1,0),IF(AND(AF15=AD$5,AE$6&gt;=$D$129),1,0),IF(AD15&amp;AG15=AG$5,4,0),IF(AND(AD15=AD$5,AE$6&lt;=$D$104),-0.5,0),IF(AND(AE15=AD$5,AE$6&lt;=$D$104),-0.5,0),IF(AND(AF15=AD$5,AE$6&lt;=$D$104),-0.5,0))</f>
        <v/>
      </c>
      <c r="AI15" s="416" t="n"/>
      <c r="AJ15" s="417" t="n"/>
      <c r="AK15" s="417" t="n"/>
      <c r="AL15" s="417" t="n"/>
      <c r="AM15" s="602">
        <f>SUM(IF(AI15=AI$5,4,0),IF(AI15&amp;AJ15=AI$5&amp;AJ$5,1,0),
IF(AND(AI15=AI$5,AJ$6&gt;=$D$115),1,0),
IF(AND(AJ15=AI$5,AJ$6&gt;=$D$115),1,0),
IF(AND(AK15=AI$5,AJ$6&gt;=$D$115),1,0),
IF(AI15&amp;AL15=AM$5,1,0),
IF(AJ15=AI$5,2,0),
IF(AK15=AI$5,1,0),
IF(OR(AI15&amp;AJ15&amp;AK15=AI$5&amp;AJ$5&amp;AK$5,AI15&amp;AJ15&amp;AK15=AI$5&amp;AK$5&amp;AJ$5,AI15&amp;AJ15&amp;AK15=AJ$5&amp;AI$5&amp;AK$5,AI15&amp;AJ15&amp;AK15=AJ$5&amp;AK$5&amp;AI$5,AI15&amp;AJ15&amp;AK15=AK$5&amp;AI$5&amp;AJ$5,AI15&amp;AJ15&amp;AK15=AK$5&amp;AJ$5&amp;AI$5),2,0),IF(AND(AI15=AI$5,AJ$6&gt;=$D$129),1,0),IF(AND(AJ15=AI$5,AJ$6&gt;=$D$129),1,0),IF(AND(AK15=AI$5,AJ$6&gt;=$D$129),1,0),IF(AI15&amp;AL15=AL$5,4,0),IF(AND(AI15=AI$5,AJ$6&lt;=$D$104),-0.5,0),IF(AND(AJ15=AI$5,AJ$6&lt;=$D$104),-0.5,0),IF(AND(AK15=AI$5,AJ$6&lt;=$D$104),-0.5,0))</f>
        <v/>
      </c>
      <c r="AN15" s="416" t="n"/>
      <c r="AO15" s="417" t="n"/>
      <c r="AP15" s="417" t="n"/>
      <c r="AQ15" s="417" t="n"/>
      <c r="AR15" s="602">
        <f>SUM(IF(AN15=AN$5,4,0),IF(AN15&amp;AO15=AN$5&amp;AO$5,1,0),
IF(AND(AN15=AN$5,AO$6&gt;=$D$115),1,0),
IF(AND(AO15=AN$5,AO$6&gt;=$D$115),1,0),
IF(AND(AP15=AN$5,AO$6&gt;=$D$115),1,0),
IF(AN15&amp;AQ15=AR$5,1,0),
IF(AO15=AN$5,2,0),
IF(AP15=AN$5,1,0),
IF(OR(AN15&amp;AO15&amp;AP15=AN$5&amp;AO$5&amp;AP$5,AN15&amp;AO15&amp;AP15=AN$5&amp;AP$5&amp;AO$5,AN15&amp;AO15&amp;AP15=AO$5&amp;AN$5&amp;AP$5,AN15&amp;AO15&amp;AP15=AO$5&amp;AP$5&amp;AN$5,AN15&amp;AO15&amp;AP15=AP$5&amp;AN$5&amp;AO$5,AN15&amp;AO15&amp;AP15=AP$5&amp;AO$5&amp;AN$5),2,0),IF(AND(AN15=AN$5,AO$6&gt;=$D$129),1,0),IF(AND(AO15=AN$5,AO$6&gt;=$D$129),1,0),IF(AND(AP15=AN$5,AO$6&gt;=$D$129),1,0),IF(AN15&amp;AQ15=AQ$5,4,0),IF(AND(AN15=AN$5,AO$6&lt;=$D$104),-0.5,0),IF(AND(AO15=AN$5,AO$6&lt;=$D$104),-0.5,0),IF(AND(AP15=AN$5,AO$6&lt;=$D$104),-0.5,0))</f>
        <v/>
      </c>
      <c r="AS15" s="416" t="n"/>
      <c r="AT15" s="417" t="n"/>
      <c r="AU15" s="417" t="n"/>
      <c r="AV15" s="417" t="n"/>
      <c r="AW15" s="602">
        <f>SUM(IF(AS15=AS$5,4,0),IF(AS15&amp;AT15=AS$5&amp;AT$5,1,0),
IF(AND(AS15=AS$5,AT$6&gt;=$D$115),1,0),
IF(AND(AT15=AS$5,AT$6&gt;=$D$115),1,0),
IF(AND(AU15=AS$5,AT$6&gt;=$D$115),1,0),
IF(AS15&amp;AV15=AW$5,1,0),
IF(AT15=AS$5,2,0),
IF(AU15=AS$5,1,0),
IF(OR(AS15&amp;AT15&amp;AU15=AS$5&amp;AT$5&amp;AU$5,AS15&amp;AT15&amp;AU15=AS$5&amp;AU$5&amp;AT$5,AS15&amp;AT15&amp;AU15=AT$5&amp;AS$5&amp;AU$5,AS15&amp;AT15&amp;AU15=AT$5&amp;AU$5&amp;AS$5,AS15&amp;AT15&amp;AU15=AU$5&amp;AS$5&amp;AT$5,AS15&amp;AT15&amp;AU15=AU$5&amp;AT$5&amp;AS$5),2,0),IF(AND(AS15=AS$5,AT$6&gt;=$D$129),1,0),IF(AND(AT15=AS$5,AT$6&gt;=$D$129),1,0),IF(AND(AU15=AS$5,AT$6&gt;=$D$129),1,0),IF(AS15&amp;AV15=AV$5,4,0),IF(AND(AS15=AS$5,AT$6&lt;=$D$104),-0.5,0),IF(AND(AT15=AS$5,AT$6&lt;=$D$104),-0.5,0),IF(AND(AU15=AS$5,AT$6&lt;=$D$104),-0.5,0))</f>
        <v/>
      </c>
      <c r="AX15" s="416" t="n"/>
      <c r="AY15" s="417" t="n"/>
      <c r="AZ15" s="417" t="n"/>
      <c r="BA15" s="417" t="n"/>
      <c r="BB15" s="602">
        <f>SUM(IF(AX15=AX$5,4,0),IF(AX15&amp;AY15=AX$5&amp;AY$5,1,0),
IF(AND(AX15=AX$5,AY$6&gt;=$D$115),1,0),
IF(AND(AY15=AX$5,AY$6&gt;=$D$115),1,0),
IF(AND(AZ15=AX$5,AY$6&gt;=$D$115),1,0),
IF(AX15&amp;BA15=BB$5,1,0),
IF(AY15=AX$5,2,0),
IF(AZ15=AX$5,1,0),
IF(OR(AX15&amp;AY15&amp;AZ15=AX$5&amp;AY$5&amp;AZ$5,AX15&amp;AY15&amp;AZ15=AX$5&amp;AZ$5&amp;AY$5,AX15&amp;AY15&amp;AZ15=AY$5&amp;AX$5&amp;AZ$5,AX15&amp;AY15&amp;AZ15=AY$5&amp;AZ$5&amp;AX$5,AX15&amp;AY15&amp;AZ15=AZ$5&amp;AX$5&amp;AY$5,AX15&amp;AY15&amp;AZ15=AZ$5&amp;AY$5&amp;AX$5),2,0),IF(AND(AX15=AX$5,AY$6&gt;=$D$129),1,0),IF(AND(AY15=AX$5,AY$6&gt;=$D$129),1,0),IF(AND(AZ15=AX$5,AY$6&gt;=$D$129),1,0),IF(AX15&amp;BA15=BA$5,4,0),IF(AND(AX15=AX$5,AY$6&lt;=$D$104),-0.5,0),IF(AND(AY15=AX$5,AY$6&lt;=$D$104),-0.5,0),IF(AND(AZ15=AX$5,AY$6&lt;=$D$104),-0.5,0))</f>
        <v/>
      </c>
      <c r="BC15" s="416" t="n"/>
      <c r="BD15" s="417" t="n"/>
      <c r="BE15" s="417" t="n"/>
      <c r="BF15" s="417" t="n"/>
      <c r="BG15" s="602">
        <f>SUM(IF(BC15=BC$5,4,0),IF(BC15&amp;BD15=BC$5&amp;BD$5,1,0),
IF(AND(BC15=BC$5,BD$6&gt;=$D$115),1,0),
IF(AND(BD15=BC$5,BD$6&gt;=$D$115),1,0),
IF(AND(BE15=BC$5,BD$6&gt;=$D$115),1,0),
IF(BC15&amp;BF15=BG$5,1,0),
IF(BD15=BC$5,2,0),
IF(BE15=BC$5,1,0),
IF(OR(BC15&amp;BD15&amp;BE15=BC$5&amp;BD$5&amp;BE$5,BC15&amp;BD15&amp;BE15=BC$5&amp;BE$5&amp;BD$5,BC15&amp;BD15&amp;BE15=BD$5&amp;BC$5&amp;BE$5,BC15&amp;BD15&amp;BE15=BD$5&amp;BE$5&amp;BC$5,BC15&amp;BD15&amp;BE15=BE$5&amp;BC$5&amp;BD$5,BC15&amp;BD15&amp;BE15=BE$5&amp;BD$5&amp;BC$5),2,0),IF(AND(BC15=BC$5,BD$6&gt;=$D$129),1,0),IF(AND(BD15=BC$5,BD$6&gt;=$D$129),1,0),IF(AND(BE15=BC$5,BD$6&gt;=$D$129),1,0),IF(BC15&amp;BF15=BF$5,4,0),IF(AND(BC15=BC$5,BD$6&lt;=$D$104),-0.5,0),IF(AND(BD15=BC$5,BD$6&lt;=$D$104),-0.5,0),IF(AND(BE15=BC$5,BD$6&lt;=$D$104),-0.5,0))</f>
        <v/>
      </c>
      <c r="BH15" s="416" t="n"/>
      <c r="BI15" s="417" t="n"/>
      <c r="BJ15" s="417" t="n"/>
      <c r="BK15" s="417" t="n"/>
      <c r="BL15" s="602">
        <f>SUM(IF(BH15=BH$5,4,0),IF(BH15&amp;BI15=BH$5&amp;BI$5,1,0),
IF(AND(BH15=BH$5,BI$6&gt;=$D$115),1,0),
IF(AND(BI15=BH$5,BI$6&gt;=$D$115),1,0),
IF(AND(BJ15=BH$5,BI$6&gt;=$D$115),1,0),
IF(BH15&amp;BK15=BL$5,1,0),
IF(BI15=BH$5,2,0),
IF(BJ15=BH$5,1,0),
IF(OR(BH15&amp;BI15&amp;BJ15=BH$5&amp;BI$5&amp;BJ$5,BH15&amp;BI15&amp;BJ15=BH$5&amp;BJ$5&amp;BI$5,BH15&amp;BI15&amp;BJ15=BI$5&amp;BH$5&amp;BJ$5,BH15&amp;BI15&amp;BJ15=BI$5&amp;BJ$5&amp;BH$5,BH15&amp;BI15&amp;BJ15=BJ$5&amp;BH$5&amp;BI$5,BH15&amp;BI15&amp;BJ15=BJ$5&amp;BI$5&amp;BH$5),2,0),IF(AND(BH15=BH$5,BI$6&gt;=$D$129),1,0),IF(AND(BI15=BH$5,BI$6&gt;=$D$129),1,0),IF(AND(BJ15=BH$5,BI$6&gt;=$D$129),1,0),IF(BH15&amp;BK15=BK$5,4,0),IF(AND(BH15=BH$5,BI$6&lt;=$D$104),-0.5,0),IF(AND(BI15=BH$5,BI$6&lt;=$D$104),-0.5,0),IF(AND(BJ15=BH$5,BI$6&lt;=$D$104),-0.5,0))</f>
        <v/>
      </c>
      <c r="BM15" s="416" t="n"/>
      <c r="BN15" s="417" t="n"/>
      <c r="BO15" s="417" t="n"/>
      <c r="BP15" s="417" t="n"/>
      <c r="BQ15" s="602">
        <f>SUM(IF(BM15=BM$5,4,0),IF(BM15&amp;BN15=BM$5&amp;BN$5,1,0),
IF(AND(BM15=BM$5,BN$6&gt;=$D$115),1,0),
IF(AND(BN15=BM$5,BN$6&gt;=$D$115),1,0),
IF(AND(BO15=BM$5,BN$6&gt;=$D$115),1,0),
IF(BM15&amp;BP15=BQ$5,1,0),
IF(BN15=BM$5,2,0),
IF(BO15=BM$5,1,0),
IF(OR(BM15&amp;BN15&amp;BO15=BM$5&amp;BN$5&amp;BO$5,BM15&amp;BN15&amp;BO15=BM$5&amp;BO$5&amp;BN$5,BM15&amp;BN15&amp;BO15=BN$5&amp;BM$5&amp;BO$5,BM15&amp;BN15&amp;BO15=BN$5&amp;BO$5&amp;BM$5,BM15&amp;BN15&amp;BO15=BO$5&amp;BM$5&amp;BN$5,BM15&amp;BN15&amp;BO15=BO$5&amp;BN$5&amp;BM$5),2,0),IF(AND(BM15=BM$5,BN$6&gt;=$D$129),1,0),IF(AND(BN15=BM$5,BN$6&gt;=$D$129),1,0),IF(AND(BO15=BM$5,BN$6&gt;=$D$129),1,0),IF(BM15&amp;BP15=BP$5,4,0),IF(AND(BM15=BM$5,BN$6&lt;=$D$104),-0.5,0),IF(AND(BN15=BM$5,BN$6&lt;=$D$104),-0.5,0),IF(AND(BO15=BM$5,BN$6&lt;=$D$104),-0.5,0))</f>
        <v/>
      </c>
      <c r="BR15" s="416" t="n"/>
      <c r="BS15" s="417" t="n"/>
      <c r="BT15" s="417" t="n"/>
      <c r="BU15" s="417" t="n"/>
      <c r="BV15" s="602">
        <f>SUM(IF(BR15=BR$5,4,0),IF(BR15&amp;BS15=BR$5&amp;BS$5,1,0),
IF(AND(BR15=BR$5,BS$6&gt;=$D$115),1,0),
IF(AND(BS15=BR$5,BS$6&gt;=$D$115),1,0),
IF(AND(BT15=BR$5,BS$6&gt;=$D$115),1,0),
IF(BR15&amp;BU15=BV$5,1,0),
IF(BS15=BR$5,2,0),
IF(BT15=BR$5,1,0),
IF(OR(BR15&amp;BS15&amp;BT15=BR$5&amp;BS$5&amp;BT$5,BR15&amp;BS15&amp;BT15=BR$5&amp;BT$5&amp;BS$5,BR15&amp;BS15&amp;BT15=BS$5&amp;BR$5&amp;BT$5,BR15&amp;BS15&amp;BT15=BS$5&amp;BT$5&amp;BR$5,BR15&amp;BS15&amp;BT15=BT$5&amp;BR$5&amp;BS$5,BR15&amp;BS15&amp;BT15=BT$5&amp;BS$5&amp;BR$5),2,0),IF(AND(BR15=BR$5,BS$6&gt;=$D$129),1,0),IF(AND(BS15=BR$5,BS$6&gt;=$D$129),1,0),IF(AND(BT15=BR$5,BS$6&gt;=$D$129),1,0),IF(BR15&amp;BU15=BU$5,4,0),IF(AND(BR15=BR$5,BS$6&lt;=$D$104),-0.5,0),IF(AND(BS15=BR$5,BS$6&lt;=$D$104),-0.5,0),IF(AND(BT15=BR$5,BS$6&lt;=$D$104),-0.5,0))</f>
        <v/>
      </c>
      <c r="BW15" s="416" t="n"/>
      <c r="BX15" s="417" t="n"/>
      <c r="BY15" s="417" t="n"/>
      <c r="BZ15" s="417" t="n"/>
      <c r="CA15" s="602">
        <f>SUM(IF(BW15=BW$5,4,0),IF(BW15&amp;BX15=BW$5&amp;BX$5,1,0),
IF(AND(BW15=BW$5,BX$6&gt;=$D$115),1,0),
IF(AND(BX15=BW$5,BX$6&gt;=$D$115),1,0),
IF(AND(BY15=BW$5,BX$6&gt;=$D$115),1,0),
IF(BW15&amp;BZ15=CA$5,1,0),
IF(BX15=BW$5,2,0),
IF(BY15=BW$5,1,0),
IF(OR(BW15&amp;BX15&amp;BY15=BW$5&amp;BX$5&amp;BY$5,BW15&amp;BX15&amp;BY15=BW$5&amp;BY$5&amp;BX$5,BW15&amp;BX15&amp;BY15=BX$5&amp;BW$5&amp;BY$5,BW15&amp;BX15&amp;BY15=BX$5&amp;BY$5&amp;BW$5,BW15&amp;BX15&amp;BY15=BY$5&amp;BW$5&amp;BX$5,BW15&amp;BX15&amp;BY15=BY$5&amp;BX$5&amp;BW$5),2,0),IF(AND(BW15=BW$5,BX$6&gt;=$D$129),1,0),IF(AND(BX15=BW$5,BX$6&gt;=$D$129),1,0),IF(AND(BY15=BW$5,BX$6&gt;=$D$129),1,0),IF(BW15&amp;BZ15=BZ$5,4,0),IF(AND(BW15=BW$5,BX$6&lt;=$D$104),-0.5,0),IF(AND(BX15=BW$5,BX$6&lt;=$D$104),-0.5,0),IF(AND(BY15=BW$5,BX$6&lt;=$D$104),-0.5,0))</f>
        <v/>
      </c>
      <c r="CB15" s="416" t="n"/>
      <c r="CC15" s="417" t="n"/>
      <c r="CD15" s="417" t="n"/>
      <c r="CE15" s="417" t="n"/>
      <c r="CF15" s="602">
        <f>SUM(IF(CB15=CB$5,4,0),IF(CB15&amp;CC15=CB$5&amp;CC$5,1,0),
IF(AND(CB15=CB$5,CC$6&gt;=$D$115),1,0),
IF(AND(CC15=CB$5,CC$6&gt;=$D$115),1,0),
IF(AND(CD15=CB$5,CC$6&gt;=$D$115),1,0),
IF(CB15&amp;CE15=CF$5,1,0),
IF(CC15=CB$5,2,0),
IF(CD15=CB$5,1,0),
IF(OR(CB15&amp;CC15&amp;CD15=CB$5&amp;CC$5&amp;CD$5,CB15&amp;CC15&amp;CD15=CB$5&amp;CD$5&amp;CC$5,CB15&amp;CC15&amp;CD15=CC$5&amp;CB$5&amp;CD$5,CB15&amp;CC15&amp;CD15=CC$5&amp;CD$5&amp;CB$5,CB15&amp;CC15&amp;CD15=CD$5&amp;CB$5&amp;CC$5,CB15&amp;CC15&amp;CD15=CD$5&amp;CC$5&amp;CB$5),2,0),IF(AND(CB15=CB$5,CC$6&gt;=$D$129),1,0),IF(AND(CC15=CB$5,CC$6&gt;=$D$129),1,0),IF(AND(CD15=CB$5,CC$6&gt;=$D$129),1,0),IF(CB15&amp;CE15=CE$5,4,0),IF(AND(CB15=CB$5,CC$6&lt;=$D$104),-0.5,0),IF(AND(CC15=CB$5,CC$6&lt;=$D$104),-0.5,0),IF(AND(CD15=CB$5,CC$6&lt;=$D$104),-0.5,0))</f>
        <v/>
      </c>
      <c r="CG15" s="164">
        <f>IF(SEMANA29[[#This Row],[1]]="",0,$B$4)</f>
        <v/>
      </c>
      <c r="CH15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5" s="166">
        <f>IF(SEMANA29[[#This Row],[Columna14]]=0,0,(CH15/CG15))</f>
        <v/>
      </c>
      <c r="CJ15" s="165">
        <f>IF(SEMANA29[[#This Row],[1]]="",0,$B$4)</f>
        <v/>
      </c>
      <c r="CK15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5" s="166">
        <f>IF(SEMANA29[[#This Row],[Columna14]]=0,0,(CK15/CJ15))</f>
        <v/>
      </c>
      <c r="CM15" s="164">
        <f>IF(SEMANA29[[#This Row],[1]]="",0,$B$4)</f>
        <v/>
      </c>
      <c r="CN15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5" s="166">
        <f>IF(SEMANA29[[#This Row],[Columna14]]=0,0,(CN15/CM15))</f>
        <v/>
      </c>
      <c r="CP15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5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Row],[Columna25]],$AX$5,BA15,"SF")+COUNTIFS(SEMANA29[[#This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5" s="166">
        <f>IFERROR(IF(SEMANA29[[#This Row],[Columna14]]=0,0,(CQ15/CP15)),0)</f>
        <v/>
      </c>
      <c r="CS15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5" s="95">
        <f>_xlfn.XLOOKUP(SEMANA29[[#This Row],[COD]],SEMANA2[COD],SEMANA2[Columna33])</f>
        <v/>
      </c>
      <c r="CU15" s="604">
        <f>SUM(CS15,CT15)</f>
        <v/>
      </c>
      <c r="CV15" s="450">
        <f>IF(SEMANA29[[#This Row],[TIPO]]="PREMIO",$O$3,"0,00")</f>
        <v/>
      </c>
      <c r="CW15" s="576" t="n"/>
      <c r="CY15" s="393" t="n">
        <v>8</v>
      </c>
      <c r="CZ15" s="354">
        <f>AO$6</f>
        <v/>
      </c>
      <c r="DB15" s="605">
        <f>SEMANA29[[#This Row],[COD]]</f>
        <v/>
      </c>
      <c r="DC15" s="395">
        <f t="array" ref="DC15">IFERROR(IF(AND(INDEX($E$8:$CE$57, MATCH($C15, $C$8:$C$57, 0), (COLUMNS($DC15:DC15)-1)*5 + 1) = INDEX($E$5:$CE$5, 1, (COLUMNS($DC15:DC15)-1)*5 + 1), INDEX($E$8:$CE$57, MATCH($C15, $C$8:$C$57, 0), (COLUMNS($DC15:DC15)-1)*5 + 4) = "F"), INDEX($CZ$8:$CZ$23, COLUMNS($DC15:DC15)), "0"), "")</f>
        <v/>
      </c>
      <c r="DD15" s="395">
        <f t="array" ref="DD15">IFERROR(IF(AND(INDEX($E$8:$CE$57, MATCH($C15, $C$8:$C$57, 0), (COLUMNS($DC15:DD15)-1)*5 + 1) = INDEX($E$5:$CE$5, 1, (COLUMNS($DC15:DD15)-1)*5 + 1), INDEX($E$8:$CE$57, MATCH($C15, $C$8:$C$57, 0), (COLUMNS($DC15:DD15)-1)*5 + 4) = "F"), INDEX($CZ$8:$CZ$23, COLUMNS($DC15:DD15)), "0"), "")</f>
        <v/>
      </c>
      <c r="DE15" s="395">
        <f t="array" ref="DE15">IFERROR(IF(AND(INDEX($E$8:$CE$57, MATCH($C15, $C$8:$C$57, 0), (COLUMNS($DC15:DE15)-1)*5 + 1) = INDEX($E$5:$CE$5, 1, (COLUMNS($DC15:DE15)-1)*5 + 1), INDEX($E$8:$CE$57, MATCH($C15, $C$8:$C$57, 0), (COLUMNS($DC15:DE15)-1)*5 + 4) = "F"), INDEX($CZ$8:$CZ$23, COLUMNS($DC15:DE15)), "0"), "")</f>
        <v/>
      </c>
      <c r="DF15" s="395">
        <f t="array" ref="DF15">IFERROR(IF(AND(INDEX($E$8:$CE$57, MATCH($C15, $C$8:$C$57, 0), (COLUMNS($DC15:DF15)-1)*5 + 1) = INDEX($E$5:$CE$5, 1, (COLUMNS($DC15:DF15)-1)*5 + 1), INDEX($E$8:$CE$57, MATCH($C15, $C$8:$C$57, 0), (COLUMNS($DC15:DF15)-1)*5 + 4) = "F"), INDEX($CZ$8:$CZ$23, COLUMNS($DC15:DF15)), "0"), "")</f>
        <v/>
      </c>
      <c r="DG15" s="395">
        <f t="array" ref="DG15">IFERROR(IF(AND(INDEX($E$8:$CE$57, MATCH($C15, $C$8:$C$57, 0), (COLUMNS($DC15:DG15)-1)*5 + 1) = INDEX($E$5:$CE$5, 1, (COLUMNS($DC15:DG15)-1)*5 + 1), INDEX($E$8:$CE$57, MATCH($C15, $C$8:$C$57, 0), (COLUMNS($DC15:DG15)-1)*5 + 4) = "F"), INDEX($CZ$8:$CZ$23, COLUMNS($DC15:DG15)), "0"), "")</f>
        <v/>
      </c>
      <c r="DH15" s="395">
        <f t="array" ref="DH15">IFERROR(IF(AND(INDEX($E$8:$CE$57, MATCH($C15, $C$8:$C$57, 0), (COLUMNS($DC15:DH15)-1)*5 + 1) = INDEX($E$5:$CE$5, 1, (COLUMNS($DC15:DH15)-1)*5 + 1), INDEX($E$8:$CE$57, MATCH($C15, $C$8:$C$57, 0), (COLUMNS($DC15:DH15)-1)*5 + 4) = "F"), INDEX($CZ$8:$CZ$23, COLUMNS($DC15:DH15)), "0"), "")</f>
        <v/>
      </c>
      <c r="DI15" s="395">
        <f t="array" ref="DI15">IFERROR(IF(AND(INDEX($E$8:$CE$57, MATCH($C15, $C$8:$C$57, 0), (COLUMNS($DC15:DI15)-1)*5 + 1) = INDEX($E$5:$CE$5, 1, (COLUMNS($DC15:DI15)-1)*5 + 1), INDEX($E$8:$CE$57, MATCH($C15, $C$8:$C$57, 0), (COLUMNS($DC15:DI15)-1)*5 + 4) = "F"), INDEX($CZ$8:$CZ$23, COLUMNS($DC15:DI15)), "0"), "")</f>
        <v/>
      </c>
      <c r="DJ15" s="395">
        <f t="array" ref="DJ15">IFERROR(IF(AND(INDEX($E$8:$CE$57, MATCH($C15, $C$8:$C$57, 0), (COLUMNS($DC15:DJ15)-1)*5 + 1) = INDEX($E$5:$CE$5, 1, (COLUMNS($DC15:DJ15)-1)*5 + 1), INDEX($E$8:$CE$57, MATCH($C15, $C$8:$C$57, 0), (COLUMNS($DC15:DJ15)-1)*5 + 4) = "F"), INDEX($CZ$8:$CZ$23, COLUMNS($DC15:DJ15)), "0"), "")</f>
        <v/>
      </c>
      <c r="DK15" s="395">
        <f t="array" ref="DK15">IFERROR(IF(AND(INDEX($E$8:$CE$57, MATCH($C15, $C$8:$C$57, 0), (COLUMNS($DC15:DK15)-1)*5 + 1) = INDEX($E$5:$CE$5, 1, (COLUMNS($DC15:DK15)-1)*5 + 1), INDEX($E$8:$CE$57, MATCH($C15, $C$8:$C$57, 0), (COLUMNS($DC15:DK15)-1)*5 + 4) = "F"), INDEX($CZ$8:$CZ$23, COLUMNS($DC15:DK15)), "0"), "")</f>
        <v/>
      </c>
      <c r="DL15" s="395">
        <f t="array" ref="DL15">IFERROR(IF(AND(INDEX($E$8:$CE$57, MATCH($C15, $C$8:$C$57, 0), (COLUMNS($DC15:DL15)-1)*5 + 1) = INDEX($E$5:$CE$5, 1, (COLUMNS($DC15:DL15)-1)*5 + 1), INDEX($E$8:$CE$57, MATCH($C15, $C$8:$C$57, 0), (COLUMNS($DC15:DL15)-1)*5 + 4) = "F"), INDEX($CZ$8:$CZ$23, COLUMNS($DC15:DL15)), "0"), "")</f>
        <v/>
      </c>
      <c r="DM15" s="395">
        <f t="array" ref="DM15">IFERROR(IF(AND(INDEX($E$8:$CE$57, MATCH($C15, $C$8:$C$57, 0), (COLUMNS($DC15:DM15)-1)*5 + 1) = INDEX($E$5:$CE$5, 1, (COLUMNS($DC15:DM15)-1)*5 + 1), INDEX($E$8:$CE$57, MATCH($C15, $C$8:$C$57, 0), (COLUMNS($DC15:DM15)-1)*5 + 4) = "F"), INDEX($CZ$8:$CZ$23, COLUMNS($DC15:DM15)), "0"), "")</f>
        <v/>
      </c>
      <c r="DN15" s="395">
        <f t="array" ref="DN15">IFERROR(IF(AND(INDEX($E$8:$CE$57, MATCH($C15, $C$8:$C$57, 0), (COLUMNS($DC15:DN15)-1)*5 + 1) = INDEX($E$5:$CE$5, 1, (COLUMNS($DC15:DN15)-1)*5 + 1), INDEX($E$8:$CE$57, MATCH($C15, $C$8:$C$57, 0), (COLUMNS($DC15:DN15)-1)*5 + 4) = "F"), INDEX($CZ$8:$CZ$23, COLUMNS($DC15:DN15)), "0"), "")</f>
        <v/>
      </c>
      <c r="DO15" s="395">
        <f t="array" ref="DO15">IFERROR(IF(AND(INDEX($E$8:$CE$57, MATCH($C15, $C$8:$C$57, 0), (COLUMNS($DC15:DO15)-1)*5 + 1) = INDEX($E$5:$CE$5, 1, (COLUMNS($DC15:DO15)-1)*5 + 1), INDEX($E$8:$CE$57, MATCH($C15, $C$8:$C$57, 0), (COLUMNS($DC15:DO15)-1)*5 + 4) = "F"), INDEX($CZ$8:$CZ$23, COLUMNS($DC15:DO15)), "0"), "")</f>
        <v/>
      </c>
      <c r="DP15" s="395">
        <f t="array" ref="DP15">IFERROR(IF(AND(INDEX($E$8:$CE$57, MATCH($C15, $C$8:$C$57, 0), (COLUMNS($DC15:DP15)-1)*5 + 1) = INDEX($E$5:$CE$5, 1, (COLUMNS($DC15:DP15)-1)*5 + 1), INDEX($E$8:$CE$57, MATCH($C15, $C$8:$C$57, 0), (COLUMNS($DC15:DP15)-1)*5 + 4) = "F"), INDEX($CZ$8:$CZ$23, COLUMNS($DC15:DP15)), "0"), "")</f>
        <v/>
      </c>
      <c r="DQ15" s="395">
        <f t="array" ref="DQ15">IFERROR(IF(AND(INDEX($E$8:$CE$57, MATCH($C15, $C$8:$C$57, 0), (COLUMNS($DC15:DQ15)-1)*5 + 1) = INDEX($E$5:$CE$5, 1, (COLUMNS($DC15:DQ15)-1)*5 + 1), INDEX($E$8:$CE$57, MATCH($C15, $C$8:$C$57, 0), (COLUMNS($DC15:DQ15)-1)*5 + 4) = "F"), INDEX($CZ$8:$CZ$23, COLUMNS($DC15:DQ15)), "0"), "")</f>
        <v/>
      </c>
      <c r="DR15" s="395">
        <f t="array" ref="DR15">IFERROR(IF(AND(INDEX($E$8:$CE$57, MATCH($C15, $C$8:$C$57, 0), (COLUMNS($DC15:DR15)-1)*5 + 1) = INDEX($E$5:$CE$5, 1, (COLUMNS($DC15:DR15)-1)*5 + 1), INDEX($E$8:$CE$57, MATCH($C15, $C$8:$C$57, 0), (COLUMNS($DC15:DR15)-1)*5 + 4) = "F"), INDEX($CZ$8:$CZ$23, COLUMNS($DC15:DR15)), "0"), "")</f>
        <v/>
      </c>
      <c r="DT15" s="605">
        <f>SEMANA29[[#This Row],[COD]]</f>
        <v/>
      </c>
      <c r="DU15" s="395">
        <f t="array" ref="DU15">IFERROR(IF(AND(INDEX($E$8:$CE$57, MATCH($C15, $C$8:$C$57, 0), (COLUMNS($DU15:DU15)-1)*5 + 1) = INDEX($E$5:$CE$5, 1, (COLUMNS($DU15:DU15)-1)*5 + 1), INDEX($E$8:$CE$57, MATCH($C15, $C$8:$C$57, 0), (COLUMNS($DU15:DU15)-1)*5 + 4) = "SF"), INDEX($CZ$8:$CZ$23, COLUMNS($DU15:DU15)), "0"), "")</f>
        <v/>
      </c>
      <c r="DV15" s="395">
        <f t="array" ref="DV15">IFERROR(IF(AND(INDEX($E$8:$CE$57, MATCH($C15, $C$8:$C$57, 0), (COLUMNS($DU15:DV15)-1)*5 + 1) = INDEX($E$5:$CE$5, 1, (COLUMNS($DU15:DV15)-1)*5 + 1), INDEX($E$8:$CE$57, MATCH($C15, $C$8:$C$57, 0), (COLUMNS($DU15:DV15)-1)*5 + 4) = "SF"), INDEX($CZ$8:$CZ$23, COLUMNS($DU15:DV15)), "0"), "")</f>
        <v/>
      </c>
      <c r="DW15" s="395">
        <f t="array" ref="DW15">IFERROR(IF(AND(INDEX($E$8:$CE$57, MATCH($C15, $C$8:$C$57, 0), (COLUMNS($DU15:DW15)-1)*5 + 1) = INDEX($E$5:$CE$5, 1, (COLUMNS($DU15:DW15)-1)*5 + 1), INDEX($E$8:$CE$57, MATCH($C15, $C$8:$C$57, 0), (COLUMNS($DU15:DW15)-1)*5 + 4) = "SF"), INDEX($CZ$8:$CZ$23, COLUMNS($DU15:DW15)), "0"), "")</f>
        <v/>
      </c>
      <c r="DX15" s="395">
        <f t="array" ref="DX15">IFERROR(IF(AND(INDEX($E$8:$CE$57, MATCH($C15, $C$8:$C$57, 0), (COLUMNS($DU15:DX15)-1)*5 + 1) = INDEX($E$5:$CE$5, 1, (COLUMNS($DU15:DX15)-1)*5 + 1), INDEX($E$8:$CE$57, MATCH($C15, $C$8:$C$57, 0), (COLUMNS($DU15:DX15)-1)*5 + 4) = "SF"), INDEX($CZ$8:$CZ$23, COLUMNS($DU15:DX15)), "0"), "")</f>
        <v/>
      </c>
      <c r="DY15" s="395">
        <f t="array" ref="DY15">IFERROR(IF(AND(INDEX($E$8:$CE$57, MATCH($C15, $C$8:$C$57, 0), (COLUMNS($DU15:DY15)-1)*5 + 1) = INDEX($E$5:$CE$5, 1, (COLUMNS($DU15:DY15)-1)*5 + 1), INDEX($E$8:$CE$57, MATCH($C15, $C$8:$C$57, 0), (COLUMNS($DU15:DY15)-1)*5 + 4) = "SF"), INDEX($CZ$8:$CZ$23, COLUMNS($DU15:DY15)), "0"), "")</f>
        <v/>
      </c>
      <c r="DZ15" s="395">
        <f t="array" ref="DZ15">IFERROR(IF(AND(INDEX($E$8:$CE$57, MATCH($C15, $C$8:$C$57, 0), (COLUMNS($DU15:DZ15)-1)*5 + 1) = INDEX($E$5:$CE$5, 1, (COLUMNS($DU15:DZ15)-1)*5 + 1), INDEX($E$8:$CE$57, MATCH($C15, $C$8:$C$57, 0), (COLUMNS($DU15:DZ15)-1)*5 + 4) = "SF"), INDEX($CZ$8:$CZ$23, COLUMNS($DU15:DZ15)), "0"), "")</f>
        <v/>
      </c>
      <c r="EA15" s="395">
        <f t="array" ref="EA15">IFERROR(IF(AND(INDEX($E$8:$CE$57, MATCH($C15, $C$8:$C$57, 0), (COLUMNS($DU15:EA15)-1)*5 + 1) = INDEX($E$5:$CE$5, 1, (COLUMNS($DU15:EA15)-1)*5 + 1), INDEX($E$8:$CE$57, MATCH($C15, $C$8:$C$57, 0), (COLUMNS($DU15:EA15)-1)*5 + 4) = "SF"), INDEX($CZ$8:$CZ$23, COLUMNS($DU15:EA15)), "0"), "")</f>
        <v/>
      </c>
      <c r="EB15" s="395">
        <f t="array" ref="EB15">IFERROR(IF(AND(INDEX($E$8:$CE$57, MATCH($C15, $C$8:$C$57, 0), (COLUMNS($DU15:EB15)-1)*5 + 1) = INDEX($E$5:$CE$5, 1, (COLUMNS($DU15:EB15)-1)*5 + 1), INDEX($E$8:$CE$57, MATCH($C15, $C$8:$C$57, 0), (COLUMNS($DU15:EB15)-1)*5 + 4) = "SF"), INDEX($CZ$8:$CZ$23, COLUMNS($DU15:EB15)), "0"), "")</f>
        <v/>
      </c>
      <c r="EC15" s="395">
        <f t="array" ref="EC15">IFERROR(IF(AND(INDEX($E$8:$CE$57, MATCH($C15, $C$8:$C$57, 0), (COLUMNS($DU15:EC15)-1)*5 + 1) = INDEX($E$5:$CE$5, 1, (COLUMNS($DU15:EC15)-1)*5 + 1), INDEX($E$8:$CE$57, MATCH($C15, $C$8:$C$57, 0), (COLUMNS($DU15:EC15)-1)*5 + 4) = "SF"), INDEX($CZ$8:$CZ$23, COLUMNS($DU15:EC15)), "0"), "")</f>
        <v/>
      </c>
      <c r="ED15" s="395">
        <f t="array" ref="ED15">IFERROR(IF(AND(INDEX($E$8:$CE$57, MATCH($C15, $C$8:$C$57, 0), (COLUMNS($DU15:ED15)-1)*5 + 1) = INDEX($E$5:$CE$5, 1, (COLUMNS($DU15:ED15)-1)*5 + 1), INDEX($E$8:$CE$57, MATCH($C15, $C$8:$C$57, 0), (COLUMNS($DU15:ED15)-1)*5 + 4) = "SF"), INDEX($CZ$8:$CZ$23, COLUMNS($DU15:ED15)), "0"), "")</f>
        <v/>
      </c>
      <c r="EE15" s="395">
        <f t="array" ref="EE15">IFERROR(IF(AND(INDEX($E$8:$CE$57, MATCH($C15, $C$8:$C$57, 0), (COLUMNS($DU15:EE15)-1)*5 + 1) = INDEX($E$5:$CE$5, 1, (COLUMNS($DU15:EE15)-1)*5 + 1), INDEX($E$8:$CE$57, MATCH($C15, $C$8:$C$57, 0), (COLUMNS($DU15:EE15)-1)*5 + 4) = "SF"), INDEX($CZ$8:$CZ$23, COLUMNS($DU15:EE15)), "0"), "")</f>
        <v/>
      </c>
      <c r="EF15" s="395">
        <f t="array" ref="EF15">IFERROR(IF(AND(INDEX($E$8:$CE$57, MATCH($C15, $C$8:$C$57, 0), (COLUMNS($DU15:EF15)-1)*5 + 1) = INDEX($E$5:$CE$5, 1, (COLUMNS($DU15:EF15)-1)*5 + 1), INDEX($E$8:$CE$57, MATCH($C15, $C$8:$C$57, 0), (COLUMNS($DU15:EF15)-1)*5 + 4) = "SF"), INDEX($CZ$8:$CZ$23, COLUMNS($DU15:EF15)), "0"), "")</f>
        <v/>
      </c>
      <c r="EG15" s="395">
        <f t="array" ref="EG15">IFERROR(IF(AND(INDEX($E$8:$CE$57, MATCH($C15, $C$8:$C$57, 0), (COLUMNS($DU15:EG15)-1)*5 + 1) = INDEX($E$5:$CE$5, 1, (COLUMNS($DU15:EG15)-1)*5 + 1), INDEX($E$8:$CE$57, MATCH($C15, $C$8:$C$57, 0), (COLUMNS($DU15:EG15)-1)*5 + 4) = "SF"), INDEX($CZ$8:$CZ$23, COLUMNS($DU15:EG15)), "0"), "")</f>
        <v/>
      </c>
      <c r="EH15" s="395">
        <f t="array" ref="EH15">IFERROR(IF(AND(INDEX($E$8:$CE$57, MATCH($C15, $C$8:$C$57, 0), (COLUMNS($DU15:EH15)-1)*5 + 1) = INDEX($E$5:$CE$5, 1, (COLUMNS($DU15:EH15)-1)*5 + 1), INDEX($E$8:$CE$57, MATCH($C15, $C$8:$C$57, 0), (COLUMNS($DU15:EH15)-1)*5 + 4) = "SF"), INDEX($CZ$8:$CZ$23, COLUMNS($DU15:EH15)), "0"), "")</f>
        <v/>
      </c>
      <c r="EI15" s="395">
        <f t="array" ref="EI15">IFERROR(IF(AND(INDEX($E$8:$CE$57, MATCH($C15, $C$8:$C$57, 0), (COLUMNS($DU15:EI15)-1)*5 + 1) = INDEX($E$5:$CE$5, 1, (COLUMNS($DU15:EI15)-1)*5 + 1), INDEX($E$8:$CE$57, MATCH($C15, $C$8:$C$57, 0), (COLUMNS($DU15:EI15)-1)*5 + 4) = "SF"), INDEX($CZ$8:$CZ$23, COLUMNS($DU15:EI15)), "0"), "")</f>
        <v/>
      </c>
      <c r="EJ15" s="395">
        <f t="array" ref="EJ15">IFERROR(IF(AND(INDEX($E$8:$CE$57, MATCH($C15, $C$8:$C$57, 0), (COLUMNS($DU15:EJ15)-1)*5 + 1) = INDEX($E$5:$CE$5, 1, (COLUMNS($DU15:EJ15)-1)*5 + 1), INDEX($E$8:$CE$57, MATCH($C15, $C$8:$C$57, 0), (COLUMNS($DU15:EJ15)-1)*5 + 4) = "SF"), INDEX($CZ$8:$CZ$23, COLUMNS($DU15:EJ15)), "0"), "")</f>
        <v/>
      </c>
    </row>
    <row r="16" ht="20.1" customHeight="1" s="568">
      <c r="A16" s="576" t="n"/>
      <c r="B16" s="449">
        <f>IF(SEMANA29[[#This Row],[COD]]&lt;&gt;"",B15+1,"")</f>
        <v/>
      </c>
      <c r="C16" s="622" t="inlineStr">
        <is>
          <t>COD 09</t>
        </is>
      </c>
      <c r="D16" s="415">
        <f t="array" ref="D16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6" s="419" t="n"/>
      <c r="F16" s="421" t="n"/>
      <c r="G16" s="420" t="n"/>
      <c r="H16" s="421" t="n"/>
      <c r="I16" s="602">
        <f>SUM(IF(E16=E$5,4,0),IF(E16&amp;F16=E$5&amp;F$5,1,0),
IF(AND(E16=E$5,F$6&gt;=$D$115),1,0),
IF(AND(F16=E$5,F$6&gt;=$D$115),1,0),
IF(AND(G16=E$5,F$6&gt;=$D$115),1,0),
IF(E16&amp;H16=I$5,1,0),
IF(F16=E$5,2,0),
IF(G16=E$5,1,0),
IF(OR(E16&amp;F16&amp;G16=E$5&amp;F$5&amp;G$5,E16&amp;F16&amp;G16=E$5&amp;G$5&amp;F$5,E16&amp;F16&amp;G16=F$5&amp;E$5&amp;G$5,E16&amp;F16&amp;G16=F$5&amp;G$5&amp;E$5,E16&amp;F16&amp;G16=G$5&amp;E$5&amp;F$5,E16&amp;F16&amp;G16=G$5&amp;F$5&amp;E$5),2,0),IF(AND(E16=E$5,F$6&gt;=$D$129),1,0),IF(AND(F16=E$5,F$6&gt;=$D$129),1,0),IF(AND(G16=E$5,F$6&gt;=$D$129),1,0),IF(E16&amp;H16=H$5,4,0),IF(AND(E16=E$5,F$6&lt;=$D$104),-0.5,0),IF(AND(F16=E$5,F$6&lt;=$D$104),-0.5,0),IF(AND(G16=E$5,F$6&lt;=$D$104),-0.5,0))</f>
        <v/>
      </c>
      <c r="J16" s="419" t="n"/>
      <c r="K16" s="421" t="n"/>
      <c r="L16" s="420" t="n"/>
      <c r="M16" s="421" t="n"/>
      <c r="N16" s="602">
        <f>SUM(IF(J16=J$5,4,0),IF(J16&amp;K16=J$5&amp;K$5,1,0),
IF(AND(J16=J$5,K$6&gt;=$D$115),1,0),
IF(AND(K16=J$5,K$6&gt;=$D$115),1,0),
IF(AND(L16=J$5,K$6&gt;=$D$115),1,0),
IF(J16&amp;M16=N$5,1,0),
IF(K16=J$5,2,0),
IF(L16=J$5,1,0),
IF(OR(J16&amp;K16&amp;L16=J$5&amp;K$5&amp;L$5,J16&amp;K16&amp;L16=J$5&amp;L$5&amp;K$5,J16&amp;K16&amp;L16=K$5&amp;J$5&amp;L$5,J16&amp;K16&amp;L16=K$5&amp;L$5&amp;J$5,J16&amp;K16&amp;L16=L$5&amp;J$5&amp;K$5,J16&amp;K16&amp;L16=L$5&amp;K$5&amp;J$5),2,0),IF(AND(J16=J$5,K$6&gt;=$D$129),1,0),IF(AND(K16=J$5,K$6&gt;=$D$129),1,0),IF(AND(L16=J$5,K$6&gt;=$D$129),1,0),IF(J16&amp;M16=M$5,4,0),IF(AND(J16=J$5,K$6&lt;=$D$104),-0.5,0),IF(AND(K16=J$5,K$6&lt;=$D$104),-0.5,0),IF(AND(L16=J$5,K$6&lt;=$D$104),-0.5,0))</f>
        <v/>
      </c>
      <c r="O16" s="419" t="n"/>
      <c r="P16" s="421" t="n"/>
      <c r="Q16" s="420" t="n"/>
      <c r="R16" s="421" t="n"/>
      <c r="S16" s="602">
        <f>SUM(IF(O16=O$5,4,0),IF(O16&amp;P16=O$5&amp;P$5,1,0),
IF(AND(O16=O$5,P$6&gt;=$D$115),1,0),
IF(AND(P16=O$5,P$6&gt;=$D$115),1,0),
IF(AND(Q16=O$5,P$6&gt;=$D$115),1,0),
IF(O16&amp;R16=S$5,1,0),
IF(P16=O$5,2,0),
IF(Q16=O$5,1,0),
IF(OR(O16&amp;P16&amp;Q16=O$5&amp;P$5&amp;Q$5,O16&amp;P16&amp;Q16=O$5&amp;Q$5&amp;P$5,O16&amp;P16&amp;Q16=P$5&amp;O$5&amp;Q$5,O16&amp;P16&amp;Q16=P$5&amp;Q$5&amp;O$5,O16&amp;P16&amp;Q16=Q$5&amp;O$5&amp;P$5,O16&amp;P16&amp;Q16=Q$5&amp;P$5&amp;O$5),2,0),IF(AND(O16=O$5,P$6&gt;=$D$129),1,0),IF(AND(P16=O$5,P$6&gt;=$D$129),1,0),IF(AND(Q16=O$5,P$6&gt;=$D$129),1,0),IF(O16&amp;R16=R$5,4,0),IF(AND(O16=O$5,P$6&lt;=$D$104),-0.5,0),IF(AND(P16=O$5,P$6&lt;=$D$104),-0.5,0),IF(AND(Q16=O$5,P$6&lt;=$D$104),-0.5,0))</f>
        <v/>
      </c>
      <c r="T16" s="419" t="n"/>
      <c r="U16" s="421" t="n"/>
      <c r="V16" s="420" t="n"/>
      <c r="W16" s="421" t="n"/>
      <c r="X16" s="602">
        <f>SUM(IF(T16=T$5,4,0),IF(T16&amp;U16=T$5&amp;U$5,1,0),
IF(AND(T16=T$5,U$6&gt;=$D$115),1,0),
IF(AND(U16=T$5,U$6&gt;=$D$115),1,0),
IF(AND(V16=T$5,U$6&gt;=$D$115),1,0),
IF(T16&amp;W16=X$5,1,0),
IF(U16=T$5,2,0),
IF(V16=T$5,1,0),
IF(OR(T16&amp;U16&amp;V16=T$5&amp;U$5&amp;V$5,T16&amp;U16&amp;V16=T$5&amp;V$5&amp;U$5,T16&amp;U16&amp;V16=U$5&amp;T$5&amp;V$5,T16&amp;U16&amp;V16=U$5&amp;V$5&amp;T$5,T16&amp;U16&amp;V16=V$5&amp;T$5&amp;U$5,T16&amp;U16&amp;V16=V$5&amp;U$5&amp;T$5),2,0),IF(AND(T16=T$5,U$6&gt;=$D$129),1,0),IF(AND(U16=T$5,U$6&gt;=$D$129),1,0),IF(AND(V16=T$5,U$6&gt;=$D$129),1,0),IF(T16&amp;W16=W$5,4,0),IF(AND(T16=T$5,U$6&lt;=$D$104),-0.5,0),IF(AND(U16=T$5,U$6&lt;=$D$104),-0.5,0),IF(AND(V16=T$5,U$6&lt;=$D$104),-0.5,0))</f>
        <v/>
      </c>
      <c r="Y16" s="419" t="n"/>
      <c r="Z16" s="421" t="n"/>
      <c r="AA16" s="420" t="n"/>
      <c r="AB16" s="421" t="n"/>
      <c r="AC16" s="602">
        <f>SUM(IF(Y16=Y$5,4,0),IF(Y16&amp;Z16=Y$5&amp;Z$5,1,0),
IF(AND(Y16=Y$5,Z$6&gt;=$D$115),1,0),
IF(AND(Z16=Y$5,Z$6&gt;=$D$115),1,0),
IF(AND(AA16=Y$5,Z$6&gt;=$D$115),1,0),
IF(Y16&amp;AB16=AC$5,1,0),
IF(Z16=Y$5,2,0),
IF(AA16=Y$5,1,0),
IF(OR(Y16&amp;Z16&amp;AA16=Y$5&amp;Z$5&amp;AA$5,Y16&amp;Z16&amp;AA16=Y$5&amp;AA$5&amp;Z$5,Y16&amp;Z16&amp;AA16=Z$5&amp;Y$5&amp;AA$5,Y16&amp;Z16&amp;AA16=Z$5&amp;AA$5&amp;Y$5,Y16&amp;Z16&amp;AA16=AA$5&amp;Y$5&amp;Z$5,Y16&amp;Z16&amp;AA16=AA$5&amp;Z$5&amp;Y$5),2,0),IF(AND(Y16=Y$5,Z$6&gt;=$D$129),1,0),IF(AND(Z16=Y$5,Z$6&gt;=$D$129),1,0),IF(AND(AA16=Y$5,Z$6&gt;=$D$129),1,0),IF(Y16&amp;AB16=AB$5,4,0),IF(AND(Y16=Y$5,Z$6&lt;=$D$104),-0.5,0),IF(AND(Z16=Y$5,Z$6&lt;=$D$104),-0.5,0),IF(AND(AA16=Y$5,Z$6&lt;=$D$104),-0.5,0))</f>
        <v/>
      </c>
      <c r="AD16" s="419" t="n"/>
      <c r="AE16" s="421" t="n"/>
      <c r="AF16" s="420" t="n"/>
      <c r="AG16" s="421" t="n"/>
      <c r="AH16" s="602">
        <f>SUM(IF(AD16=AD$5,4,0),IF(AD16&amp;AE16=AD$5&amp;AE$5,1,0),
IF(AND(AD16=AD$5,AE$6&gt;=$D$115),1,0),
IF(AND(AE16=AD$5,AE$6&gt;=$D$115),1,0),
IF(AND(AF16=AD$5,AE$6&gt;=$D$115),1,0),
IF(AD16&amp;AG16=AH$5,1,0),
IF(AE16=AD$5,2,0),
IF(AF16=AD$5,1,0),
IF(OR(AD16&amp;AE16&amp;AF16=AD$5&amp;AE$5&amp;AF$5,AD16&amp;AE16&amp;AF16=AD$5&amp;AF$5&amp;AE$5,AD16&amp;AE16&amp;AF16=AE$5&amp;AD$5&amp;AF$5,AD16&amp;AE16&amp;AF16=AE$5&amp;AF$5&amp;AD$5,AD16&amp;AE16&amp;AF16=AF$5&amp;AD$5&amp;AE$5,AD16&amp;AE16&amp;AF16=AF$5&amp;AE$5&amp;AD$5),2,0),IF(AND(AD16=AD$5,AE$6&gt;=$D$129),1,0),IF(AND(AE16=AD$5,AE$6&gt;=$D$129),1,0),IF(AND(AF16=AD$5,AE$6&gt;=$D$129),1,0),IF(AD16&amp;AG16=AG$5,4,0),IF(AND(AD16=AD$5,AE$6&lt;=$D$104),-0.5,0),IF(AND(AE16=AD$5,AE$6&lt;=$D$104),-0.5,0),IF(AND(AF16=AD$5,AE$6&lt;=$D$104),-0.5,0))</f>
        <v/>
      </c>
      <c r="AI16" s="419" t="n"/>
      <c r="AJ16" s="421" t="n"/>
      <c r="AK16" s="420" t="n"/>
      <c r="AL16" s="421" t="n"/>
      <c r="AM16" s="602">
        <f>SUM(IF(AI16=AI$5,4,0),IF(AI16&amp;AJ16=AI$5&amp;AJ$5,1,0),
IF(AND(AI16=AI$5,AJ$6&gt;=$D$115),1,0),
IF(AND(AJ16=AI$5,AJ$6&gt;=$D$115),1,0),
IF(AND(AK16=AI$5,AJ$6&gt;=$D$115),1,0),
IF(AI16&amp;AL16=AM$5,1,0),
IF(AJ16=AI$5,2,0),
IF(AK16=AI$5,1,0),
IF(OR(AI16&amp;AJ16&amp;AK16=AI$5&amp;AJ$5&amp;AK$5,AI16&amp;AJ16&amp;AK16=AI$5&amp;AK$5&amp;AJ$5,AI16&amp;AJ16&amp;AK16=AJ$5&amp;AI$5&amp;AK$5,AI16&amp;AJ16&amp;AK16=AJ$5&amp;AK$5&amp;AI$5,AI16&amp;AJ16&amp;AK16=AK$5&amp;AI$5&amp;AJ$5,AI16&amp;AJ16&amp;AK16=AK$5&amp;AJ$5&amp;AI$5),2,0),IF(AND(AI16=AI$5,AJ$6&gt;=$D$129),1,0),IF(AND(AJ16=AI$5,AJ$6&gt;=$D$129),1,0),IF(AND(AK16=AI$5,AJ$6&gt;=$D$129),1,0),IF(AI16&amp;AL16=AL$5,4,0),IF(AND(AI16=AI$5,AJ$6&lt;=$D$104),-0.5,0),IF(AND(AJ16=AI$5,AJ$6&lt;=$D$104),-0.5,0),IF(AND(AK16=AI$5,AJ$6&lt;=$D$104),-0.5,0))</f>
        <v/>
      </c>
      <c r="AN16" s="419" t="n"/>
      <c r="AO16" s="421" t="n"/>
      <c r="AP16" s="420" t="n"/>
      <c r="AQ16" s="421" t="n"/>
      <c r="AR16" s="602">
        <f>SUM(IF(AN16=AN$5,4,0),IF(AN16&amp;AO16=AN$5&amp;AO$5,1,0),
IF(AND(AN16=AN$5,AO$6&gt;=$D$115),1,0),
IF(AND(AO16=AN$5,AO$6&gt;=$D$115),1,0),
IF(AND(AP16=AN$5,AO$6&gt;=$D$115),1,0),
IF(AN16&amp;AQ16=AR$5,1,0),
IF(AO16=AN$5,2,0),
IF(AP16=AN$5,1,0),
IF(OR(AN16&amp;AO16&amp;AP16=AN$5&amp;AO$5&amp;AP$5,AN16&amp;AO16&amp;AP16=AN$5&amp;AP$5&amp;AO$5,AN16&amp;AO16&amp;AP16=AO$5&amp;AN$5&amp;AP$5,AN16&amp;AO16&amp;AP16=AO$5&amp;AP$5&amp;AN$5,AN16&amp;AO16&amp;AP16=AP$5&amp;AN$5&amp;AO$5,AN16&amp;AO16&amp;AP16=AP$5&amp;AO$5&amp;AN$5),2,0),IF(AND(AN16=AN$5,AO$6&gt;=$D$129),1,0),IF(AND(AO16=AN$5,AO$6&gt;=$D$129),1,0),IF(AND(AP16=AN$5,AO$6&gt;=$D$129),1,0),IF(AN16&amp;AQ16=AQ$5,4,0),IF(AND(AN16=AN$5,AO$6&lt;=$D$104),-0.5,0),IF(AND(AO16=AN$5,AO$6&lt;=$D$104),-0.5,0),IF(AND(AP16=AN$5,AO$6&lt;=$D$104),-0.5,0))</f>
        <v/>
      </c>
      <c r="AS16" s="419" t="n"/>
      <c r="AT16" s="421" t="n"/>
      <c r="AU16" s="420" t="n"/>
      <c r="AV16" s="421" t="n"/>
      <c r="AW16" s="602">
        <f>SUM(IF(AS16=AS$5,4,0),IF(AS16&amp;AT16=AS$5&amp;AT$5,1,0),
IF(AND(AS16=AS$5,AT$6&gt;=$D$115),1,0),
IF(AND(AT16=AS$5,AT$6&gt;=$D$115),1,0),
IF(AND(AU16=AS$5,AT$6&gt;=$D$115),1,0),
IF(AS16&amp;AV16=AW$5,1,0),
IF(AT16=AS$5,2,0),
IF(AU16=AS$5,1,0),
IF(OR(AS16&amp;AT16&amp;AU16=AS$5&amp;AT$5&amp;AU$5,AS16&amp;AT16&amp;AU16=AS$5&amp;AU$5&amp;AT$5,AS16&amp;AT16&amp;AU16=AT$5&amp;AS$5&amp;AU$5,AS16&amp;AT16&amp;AU16=AT$5&amp;AU$5&amp;AS$5,AS16&amp;AT16&amp;AU16=AU$5&amp;AS$5&amp;AT$5,AS16&amp;AT16&amp;AU16=AU$5&amp;AT$5&amp;AS$5),2,0),IF(AND(AS16=AS$5,AT$6&gt;=$D$129),1,0),IF(AND(AT16=AS$5,AT$6&gt;=$D$129),1,0),IF(AND(AU16=AS$5,AT$6&gt;=$D$129),1,0),IF(AS16&amp;AV16=AV$5,4,0),IF(AND(AS16=AS$5,AT$6&lt;=$D$104),-0.5,0),IF(AND(AT16=AS$5,AT$6&lt;=$D$104),-0.5,0),IF(AND(AU16=AS$5,AT$6&lt;=$D$104),-0.5,0))</f>
        <v/>
      </c>
      <c r="AX16" s="419" t="n"/>
      <c r="AY16" s="421" t="n"/>
      <c r="AZ16" s="420" t="n"/>
      <c r="BA16" s="421" t="n"/>
      <c r="BB16" s="602">
        <f>SUM(IF(AX16=AX$5,4,0),IF(AX16&amp;AY16=AX$5&amp;AY$5,1,0),
IF(AND(AX16=AX$5,AY$6&gt;=$D$115),1,0),
IF(AND(AY16=AX$5,AY$6&gt;=$D$115),1,0),
IF(AND(AZ16=AX$5,AY$6&gt;=$D$115),1,0),
IF(AX16&amp;BA16=BB$5,1,0),
IF(AY16=AX$5,2,0),
IF(AZ16=AX$5,1,0),
IF(OR(AX16&amp;AY16&amp;AZ16=AX$5&amp;AY$5&amp;AZ$5,AX16&amp;AY16&amp;AZ16=AX$5&amp;AZ$5&amp;AY$5,AX16&amp;AY16&amp;AZ16=AY$5&amp;AX$5&amp;AZ$5,AX16&amp;AY16&amp;AZ16=AY$5&amp;AZ$5&amp;AX$5,AX16&amp;AY16&amp;AZ16=AZ$5&amp;AX$5&amp;AY$5,AX16&amp;AY16&amp;AZ16=AZ$5&amp;AY$5&amp;AX$5),2,0),IF(AND(AX16=AX$5,AY$6&gt;=$D$129),1,0),IF(AND(AY16=AX$5,AY$6&gt;=$D$129),1,0),IF(AND(AZ16=AX$5,AY$6&gt;=$D$129),1,0),IF(AX16&amp;BA16=BA$5,4,0),IF(AND(AX16=AX$5,AY$6&lt;=$D$104),-0.5,0),IF(AND(AY16=AX$5,AY$6&lt;=$D$104),-0.5,0),IF(AND(AZ16=AX$5,AY$6&lt;=$D$104),-0.5,0))</f>
        <v/>
      </c>
      <c r="BC16" s="419" t="n"/>
      <c r="BD16" s="421" t="n"/>
      <c r="BE16" s="420" t="n"/>
      <c r="BF16" s="421" t="n"/>
      <c r="BG16" s="602">
        <f>SUM(IF(BC16=BC$5,4,0),IF(BC16&amp;BD16=BC$5&amp;BD$5,1,0),
IF(AND(BC16=BC$5,BD$6&gt;=$D$115),1,0),
IF(AND(BD16=BC$5,BD$6&gt;=$D$115),1,0),
IF(AND(BE16=BC$5,BD$6&gt;=$D$115),1,0),
IF(BC16&amp;BF16=BG$5,1,0),
IF(BD16=BC$5,2,0),
IF(BE16=BC$5,1,0),
IF(OR(BC16&amp;BD16&amp;BE16=BC$5&amp;BD$5&amp;BE$5,BC16&amp;BD16&amp;BE16=BC$5&amp;BE$5&amp;BD$5,BC16&amp;BD16&amp;BE16=BD$5&amp;BC$5&amp;BE$5,BC16&amp;BD16&amp;BE16=BD$5&amp;BE$5&amp;BC$5,BC16&amp;BD16&amp;BE16=BE$5&amp;BC$5&amp;BD$5,BC16&amp;BD16&amp;BE16=BE$5&amp;BD$5&amp;BC$5),2,0),IF(AND(BC16=BC$5,BD$6&gt;=$D$129),1,0),IF(AND(BD16=BC$5,BD$6&gt;=$D$129),1,0),IF(AND(BE16=BC$5,BD$6&gt;=$D$129),1,0),IF(BC16&amp;BF16=BF$5,4,0),IF(AND(BC16=BC$5,BD$6&lt;=$D$104),-0.5,0),IF(AND(BD16=BC$5,BD$6&lt;=$D$104),-0.5,0),IF(AND(BE16=BC$5,BD$6&lt;=$D$104),-0.5,0))</f>
        <v/>
      </c>
      <c r="BH16" s="419" t="n"/>
      <c r="BI16" s="421" t="n"/>
      <c r="BJ16" s="420" t="n"/>
      <c r="BK16" s="421" t="n"/>
      <c r="BL16" s="602">
        <f>SUM(IF(BH16=BH$5,4,0),IF(BH16&amp;BI16=BH$5&amp;BI$5,1,0),
IF(AND(BH16=BH$5,BI$6&gt;=$D$115),1,0),
IF(AND(BI16=BH$5,BI$6&gt;=$D$115),1,0),
IF(AND(BJ16=BH$5,BI$6&gt;=$D$115),1,0),
IF(BH16&amp;BK16=BL$5,1,0),
IF(BI16=BH$5,2,0),
IF(BJ16=BH$5,1,0),
IF(OR(BH16&amp;BI16&amp;BJ16=BH$5&amp;BI$5&amp;BJ$5,BH16&amp;BI16&amp;BJ16=BH$5&amp;BJ$5&amp;BI$5,BH16&amp;BI16&amp;BJ16=BI$5&amp;BH$5&amp;BJ$5,BH16&amp;BI16&amp;BJ16=BI$5&amp;BJ$5&amp;BH$5,BH16&amp;BI16&amp;BJ16=BJ$5&amp;BH$5&amp;BI$5,BH16&amp;BI16&amp;BJ16=BJ$5&amp;BI$5&amp;BH$5),2,0),IF(AND(BH16=BH$5,BI$6&gt;=$D$129),1,0),IF(AND(BI16=BH$5,BI$6&gt;=$D$129),1,0),IF(AND(BJ16=BH$5,BI$6&gt;=$D$129),1,0),IF(BH16&amp;BK16=BK$5,4,0),IF(AND(BH16=BH$5,BI$6&lt;=$D$104),-0.5,0),IF(AND(BI16=BH$5,BI$6&lt;=$D$104),-0.5,0),IF(AND(BJ16=BH$5,BI$6&lt;=$D$104),-0.5,0))</f>
        <v/>
      </c>
      <c r="BM16" s="419" t="n"/>
      <c r="BN16" s="421" t="n"/>
      <c r="BO16" s="420" t="n"/>
      <c r="BP16" s="421" t="n"/>
      <c r="BQ16" s="602">
        <f>SUM(IF(BM16=BM$5,4,0),IF(BM16&amp;BN16=BM$5&amp;BN$5,1,0),
IF(AND(BM16=BM$5,BN$6&gt;=$D$115),1,0),
IF(AND(BN16=BM$5,BN$6&gt;=$D$115),1,0),
IF(AND(BO16=BM$5,BN$6&gt;=$D$115),1,0),
IF(BM16&amp;BP16=BQ$5,1,0),
IF(BN16=BM$5,2,0),
IF(BO16=BM$5,1,0),
IF(OR(BM16&amp;BN16&amp;BO16=BM$5&amp;BN$5&amp;BO$5,BM16&amp;BN16&amp;BO16=BM$5&amp;BO$5&amp;BN$5,BM16&amp;BN16&amp;BO16=BN$5&amp;BM$5&amp;BO$5,BM16&amp;BN16&amp;BO16=BN$5&amp;BO$5&amp;BM$5,BM16&amp;BN16&amp;BO16=BO$5&amp;BM$5&amp;BN$5,BM16&amp;BN16&amp;BO16=BO$5&amp;BN$5&amp;BM$5),2,0),IF(AND(BM16=BM$5,BN$6&gt;=$D$129),1,0),IF(AND(BN16=BM$5,BN$6&gt;=$D$129),1,0),IF(AND(BO16=BM$5,BN$6&gt;=$D$129),1,0),IF(BM16&amp;BP16=BP$5,4,0),IF(AND(BM16=BM$5,BN$6&lt;=$D$104),-0.5,0),IF(AND(BN16=BM$5,BN$6&lt;=$D$104),-0.5,0),IF(AND(BO16=BM$5,BN$6&lt;=$D$104),-0.5,0))</f>
        <v/>
      </c>
      <c r="BR16" s="419" t="n"/>
      <c r="BS16" s="421" t="n"/>
      <c r="BT16" s="420" t="n"/>
      <c r="BU16" s="421" t="n"/>
      <c r="BV16" s="602">
        <f>SUM(IF(BR16=BR$5,4,0),IF(BR16&amp;BS16=BR$5&amp;BS$5,1,0),
IF(AND(BR16=BR$5,BS$6&gt;=$D$115),1,0),
IF(AND(BS16=BR$5,BS$6&gt;=$D$115),1,0),
IF(AND(BT16=BR$5,BS$6&gt;=$D$115),1,0),
IF(BR16&amp;BU16=BV$5,1,0),
IF(BS16=BR$5,2,0),
IF(BT16=BR$5,1,0),
IF(OR(BR16&amp;BS16&amp;BT16=BR$5&amp;BS$5&amp;BT$5,BR16&amp;BS16&amp;BT16=BR$5&amp;BT$5&amp;BS$5,BR16&amp;BS16&amp;BT16=BS$5&amp;BR$5&amp;BT$5,BR16&amp;BS16&amp;BT16=BS$5&amp;BT$5&amp;BR$5,BR16&amp;BS16&amp;BT16=BT$5&amp;BR$5&amp;BS$5,BR16&amp;BS16&amp;BT16=BT$5&amp;BS$5&amp;BR$5),2,0),IF(AND(BR16=BR$5,BS$6&gt;=$D$129),1,0),IF(AND(BS16=BR$5,BS$6&gt;=$D$129),1,0),IF(AND(BT16=BR$5,BS$6&gt;=$D$129),1,0),IF(BR16&amp;BU16=BU$5,4,0),IF(AND(BR16=BR$5,BS$6&lt;=$D$104),-0.5,0),IF(AND(BS16=BR$5,BS$6&lt;=$D$104),-0.5,0),IF(AND(BT16=BR$5,BS$6&lt;=$D$104),-0.5,0))</f>
        <v/>
      </c>
      <c r="BW16" s="419" t="n"/>
      <c r="BX16" s="421" t="n"/>
      <c r="BY16" s="420" t="n"/>
      <c r="BZ16" s="421" t="n"/>
      <c r="CA16" s="602">
        <f>SUM(IF(BW16=BW$5,4,0),IF(BW16&amp;BX16=BW$5&amp;BX$5,1,0),
IF(AND(BW16=BW$5,BX$6&gt;=$D$115),1,0),
IF(AND(BX16=BW$5,BX$6&gt;=$D$115),1,0),
IF(AND(BY16=BW$5,BX$6&gt;=$D$115),1,0),
IF(BW16&amp;BZ16=CA$5,1,0),
IF(BX16=BW$5,2,0),
IF(BY16=BW$5,1,0),
IF(OR(BW16&amp;BX16&amp;BY16=BW$5&amp;BX$5&amp;BY$5,BW16&amp;BX16&amp;BY16=BW$5&amp;BY$5&amp;BX$5,BW16&amp;BX16&amp;BY16=BX$5&amp;BW$5&amp;BY$5,BW16&amp;BX16&amp;BY16=BX$5&amp;BY$5&amp;BW$5,BW16&amp;BX16&amp;BY16=BY$5&amp;BW$5&amp;BX$5,BW16&amp;BX16&amp;BY16=BY$5&amp;BX$5&amp;BW$5),2,0),IF(AND(BW16=BW$5,BX$6&gt;=$D$129),1,0),IF(AND(BX16=BW$5,BX$6&gt;=$D$129),1,0),IF(AND(BY16=BW$5,BX$6&gt;=$D$129),1,0),IF(BW16&amp;BZ16=BZ$5,4,0),IF(AND(BW16=BW$5,BX$6&lt;=$D$104),-0.5,0),IF(AND(BX16=BW$5,BX$6&lt;=$D$104),-0.5,0),IF(AND(BY16=BW$5,BX$6&lt;=$D$104),-0.5,0))</f>
        <v/>
      </c>
      <c r="CB16" s="419" t="n"/>
      <c r="CC16" s="421" t="n"/>
      <c r="CD16" s="420" t="n"/>
      <c r="CE16" s="421" t="n"/>
      <c r="CF16" s="602">
        <f>SUM(IF(CB16=CB$5,4,0),IF(CB16&amp;CC16=CB$5&amp;CC$5,1,0),
IF(AND(CB16=CB$5,CC$6&gt;=$D$115),1,0),
IF(AND(CC16=CB$5,CC$6&gt;=$D$115),1,0),
IF(AND(CD16=CB$5,CC$6&gt;=$D$115),1,0),
IF(CB16&amp;CE16=CF$5,1,0),
IF(CC16=CB$5,2,0),
IF(CD16=CB$5,1,0),
IF(OR(CB16&amp;CC16&amp;CD16=CB$5&amp;CC$5&amp;CD$5,CB16&amp;CC16&amp;CD16=CB$5&amp;CD$5&amp;CC$5,CB16&amp;CC16&amp;CD16=CC$5&amp;CB$5&amp;CD$5,CB16&amp;CC16&amp;CD16=CC$5&amp;CD$5&amp;CB$5,CB16&amp;CC16&amp;CD16=CD$5&amp;CB$5&amp;CC$5,CB16&amp;CC16&amp;CD16=CD$5&amp;CC$5&amp;CB$5),2,0),IF(AND(CB16=CB$5,CC$6&gt;=$D$129),1,0),IF(AND(CC16=CB$5,CC$6&gt;=$D$129),1,0),IF(AND(CD16=CB$5,CC$6&gt;=$D$129),1,0),IF(CB16&amp;CE16=CE$5,4,0),IF(AND(CB16=CB$5,CC$6&lt;=$D$104),-0.5,0),IF(AND(CC16=CB$5,CC$6&lt;=$D$104),-0.5,0),IF(AND(CD16=CB$5,CC$6&lt;=$D$104),-0.5,0))</f>
        <v/>
      </c>
      <c r="CG16" s="164">
        <f>IF(SEMANA29[[#This Row],[1]]="",0,$B$4)</f>
        <v/>
      </c>
      <c r="CH16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6" s="166">
        <f>IF(SEMANA29[[#This Row],[Columna14]]=0,0,(CH16/CG16))</f>
        <v/>
      </c>
      <c r="CJ16" s="165">
        <f>IF(SEMANA29[[#This Row],[1]]="",0,$B$4)</f>
        <v/>
      </c>
      <c r="CK16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6" s="166">
        <f>IF(SEMANA29[[#This Row],[Columna14]]=0,0,(CK16/CJ16))</f>
        <v/>
      </c>
      <c r="CM16" s="164">
        <f>IF(SEMANA29[[#This Row],[1]]="",0,$B$4)</f>
        <v/>
      </c>
      <c r="CN16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6" s="166">
        <f>IF(SEMANA29[[#This Row],[Columna14]]=0,0,(CN16/CM16))</f>
        <v/>
      </c>
      <c r="CP16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6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Row],[Columna25]],$AX$5,BA16,"SF")+COUNTIFS(SEMANA29[[#This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6" s="166">
        <f>IFERROR(IF(SEMANA29[[#This Row],[Columna14]]=0,0,(CQ16/CP16)),0)</f>
        <v/>
      </c>
      <c r="CS16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6" s="95">
        <f>_xlfn.XLOOKUP(SEMANA29[[#This Row],[COD]],SEMANA2[COD],SEMANA2[Columna33])</f>
        <v/>
      </c>
      <c r="CU16" s="604">
        <f>SUM(CS16,CT16)</f>
        <v/>
      </c>
      <c r="CV16" s="450">
        <f>IF(SEMANA29[[#This Row],[TIPO]]="PREMIO",$O$3,"0,00")</f>
        <v/>
      </c>
      <c r="CW16" s="576" t="n"/>
      <c r="CY16" s="393" t="n">
        <v>9</v>
      </c>
      <c r="CZ16" s="354">
        <f>AT$6</f>
        <v/>
      </c>
      <c r="DB16" s="605">
        <f>SEMANA29[[#This Row],[COD]]</f>
        <v/>
      </c>
      <c r="DC16" s="395">
        <f t="array" ref="DC16">IFERROR(IF(AND(INDEX($E$8:$CE$57, MATCH($C16, $C$8:$C$57, 0), (COLUMNS($DC16:DC16)-1)*5 + 1) = INDEX($E$5:$CE$5, 1, (COLUMNS($DC16:DC16)-1)*5 + 1), INDEX($E$8:$CE$57, MATCH($C16, $C$8:$C$57, 0), (COLUMNS($DC16:DC16)-1)*5 + 4) = "F"), INDEX($CZ$8:$CZ$23, COLUMNS($DC16:DC16)), "0"), "")</f>
        <v/>
      </c>
      <c r="DD16" s="395">
        <f t="array" ref="DD16">IFERROR(IF(AND(INDEX($E$8:$CE$57, MATCH($C16, $C$8:$C$57, 0), (COLUMNS($DC16:DD16)-1)*5 + 1) = INDEX($E$5:$CE$5, 1, (COLUMNS($DC16:DD16)-1)*5 + 1), INDEX($E$8:$CE$57, MATCH($C16, $C$8:$C$57, 0), (COLUMNS($DC16:DD16)-1)*5 + 4) = "F"), INDEX($CZ$8:$CZ$23, COLUMNS($DC16:DD16)), "0"), "")</f>
        <v/>
      </c>
      <c r="DE16" s="395">
        <f t="array" ref="DE16">IFERROR(IF(AND(INDEX($E$8:$CE$57, MATCH($C16, $C$8:$C$57, 0), (COLUMNS($DC16:DE16)-1)*5 + 1) = INDEX($E$5:$CE$5, 1, (COLUMNS($DC16:DE16)-1)*5 + 1), INDEX($E$8:$CE$57, MATCH($C16, $C$8:$C$57, 0), (COLUMNS($DC16:DE16)-1)*5 + 4) = "F"), INDEX($CZ$8:$CZ$23, COLUMNS($DC16:DE16)), "0"), "")</f>
        <v/>
      </c>
      <c r="DF16" s="395">
        <f t="array" ref="DF16">IFERROR(IF(AND(INDEX($E$8:$CE$57, MATCH($C16, $C$8:$C$57, 0), (COLUMNS($DC16:DF16)-1)*5 + 1) = INDEX($E$5:$CE$5, 1, (COLUMNS($DC16:DF16)-1)*5 + 1), INDEX($E$8:$CE$57, MATCH($C16, $C$8:$C$57, 0), (COLUMNS($DC16:DF16)-1)*5 + 4) = "F"), INDEX($CZ$8:$CZ$23, COLUMNS($DC16:DF16)), "0"), "")</f>
        <v/>
      </c>
      <c r="DG16" s="395">
        <f t="array" ref="DG16">IFERROR(IF(AND(INDEX($E$8:$CE$57, MATCH($C16, $C$8:$C$57, 0), (COLUMNS($DC16:DG16)-1)*5 + 1) = INDEX($E$5:$CE$5, 1, (COLUMNS($DC16:DG16)-1)*5 + 1), INDEX($E$8:$CE$57, MATCH($C16, $C$8:$C$57, 0), (COLUMNS($DC16:DG16)-1)*5 + 4) = "F"), INDEX($CZ$8:$CZ$23, COLUMNS($DC16:DG16)), "0"), "")</f>
        <v/>
      </c>
      <c r="DH16" s="395">
        <f t="array" ref="DH16">IFERROR(IF(AND(INDEX($E$8:$CE$57, MATCH($C16, $C$8:$C$57, 0), (COLUMNS($DC16:DH16)-1)*5 + 1) = INDEX($E$5:$CE$5, 1, (COLUMNS($DC16:DH16)-1)*5 + 1), INDEX($E$8:$CE$57, MATCH($C16, $C$8:$C$57, 0), (COLUMNS($DC16:DH16)-1)*5 + 4) = "F"), INDEX($CZ$8:$CZ$23, COLUMNS($DC16:DH16)), "0"), "")</f>
        <v/>
      </c>
      <c r="DI16" s="395">
        <f t="array" ref="DI16">IFERROR(IF(AND(INDEX($E$8:$CE$57, MATCH($C16, $C$8:$C$57, 0), (COLUMNS($DC16:DI16)-1)*5 + 1) = INDEX($E$5:$CE$5, 1, (COLUMNS($DC16:DI16)-1)*5 + 1), INDEX($E$8:$CE$57, MATCH($C16, $C$8:$C$57, 0), (COLUMNS($DC16:DI16)-1)*5 + 4) = "F"), INDEX($CZ$8:$CZ$23, COLUMNS($DC16:DI16)), "0"), "")</f>
        <v/>
      </c>
      <c r="DJ16" s="395">
        <f t="array" ref="DJ16">IFERROR(IF(AND(INDEX($E$8:$CE$57, MATCH($C16, $C$8:$C$57, 0), (COLUMNS($DC16:DJ16)-1)*5 + 1) = INDEX($E$5:$CE$5, 1, (COLUMNS($DC16:DJ16)-1)*5 + 1), INDEX($E$8:$CE$57, MATCH($C16, $C$8:$C$57, 0), (COLUMNS($DC16:DJ16)-1)*5 + 4) = "F"), INDEX($CZ$8:$CZ$23, COLUMNS($DC16:DJ16)), "0"), "")</f>
        <v/>
      </c>
      <c r="DK16" s="395">
        <f t="array" ref="DK16">IFERROR(IF(AND(INDEX($E$8:$CE$57, MATCH($C16, $C$8:$C$57, 0), (COLUMNS($DC16:DK16)-1)*5 + 1) = INDEX($E$5:$CE$5, 1, (COLUMNS($DC16:DK16)-1)*5 + 1), INDEX($E$8:$CE$57, MATCH($C16, $C$8:$C$57, 0), (COLUMNS($DC16:DK16)-1)*5 + 4) = "F"), INDEX($CZ$8:$CZ$23, COLUMNS($DC16:DK16)), "0"), "")</f>
        <v/>
      </c>
      <c r="DL16" s="395">
        <f t="array" ref="DL16">IFERROR(IF(AND(INDEX($E$8:$CE$57, MATCH($C16, $C$8:$C$57, 0), (COLUMNS($DC16:DL16)-1)*5 + 1) = INDEX($E$5:$CE$5, 1, (COLUMNS($DC16:DL16)-1)*5 + 1), INDEX($E$8:$CE$57, MATCH($C16, $C$8:$C$57, 0), (COLUMNS($DC16:DL16)-1)*5 + 4) = "F"), INDEX($CZ$8:$CZ$23, COLUMNS($DC16:DL16)), "0"), "")</f>
        <v/>
      </c>
      <c r="DM16" s="395">
        <f t="array" ref="DM16">IFERROR(IF(AND(INDEX($E$8:$CE$57, MATCH($C16, $C$8:$C$57, 0), (COLUMNS($DC16:DM16)-1)*5 + 1) = INDEX($E$5:$CE$5, 1, (COLUMNS($DC16:DM16)-1)*5 + 1), INDEX($E$8:$CE$57, MATCH($C16, $C$8:$C$57, 0), (COLUMNS($DC16:DM16)-1)*5 + 4) = "F"), INDEX($CZ$8:$CZ$23, COLUMNS($DC16:DM16)), "0"), "")</f>
        <v/>
      </c>
      <c r="DN16" s="395">
        <f t="array" ref="DN16">IFERROR(IF(AND(INDEX($E$8:$CE$57, MATCH($C16, $C$8:$C$57, 0), (COLUMNS($DC16:DN16)-1)*5 + 1) = INDEX($E$5:$CE$5, 1, (COLUMNS($DC16:DN16)-1)*5 + 1), INDEX($E$8:$CE$57, MATCH($C16, $C$8:$C$57, 0), (COLUMNS($DC16:DN16)-1)*5 + 4) = "F"), INDEX($CZ$8:$CZ$23, COLUMNS($DC16:DN16)), "0"), "")</f>
        <v/>
      </c>
      <c r="DO16" s="395">
        <f t="array" ref="DO16">IFERROR(IF(AND(INDEX($E$8:$CE$57, MATCH($C16, $C$8:$C$57, 0), (COLUMNS($DC16:DO16)-1)*5 + 1) = INDEX($E$5:$CE$5, 1, (COLUMNS($DC16:DO16)-1)*5 + 1), INDEX($E$8:$CE$57, MATCH($C16, $C$8:$C$57, 0), (COLUMNS($DC16:DO16)-1)*5 + 4) = "F"), INDEX($CZ$8:$CZ$23, COLUMNS($DC16:DO16)), "0"), "")</f>
        <v/>
      </c>
      <c r="DP16" s="395">
        <f t="array" ref="DP16">IFERROR(IF(AND(INDEX($E$8:$CE$57, MATCH($C16, $C$8:$C$57, 0), (COLUMNS($DC16:DP16)-1)*5 + 1) = INDEX($E$5:$CE$5, 1, (COLUMNS($DC16:DP16)-1)*5 + 1), INDEX($E$8:$CE$57, MATCH($C16, $C$8:$C$57, 0), (COLUMNS($DC16:DP16)-1)*5 + 4) = "F"), INDEX($CZ$8:$CZ$23, COLUMNS($DC16:DP16)), "0"), "")</f>
        <v/>
      </c>
      <c r="DQ16" s="395">
        <f t="array" ref="DQ16">IFERROR(IF(AND(INDEX($E$8:$CE$57, MATCH($C16, $C$8:$C$57, 0), (COLUMNS($DC16:DQ16)-1)*5 + 1) = INDEX($E$5:$CE$5, 1, (COLUMNS($DC16:DQ16)-1)*5 + 1), INDEX($E$8:$CE$57, MATCH($C16, $C$8:$C$57, 0), (COLUMNS($DC16:DQ16)-1)*5 + 4) = "F"), INDEX($CZ$8:$CZ$23, COLUMNS($DC16:DQ16)), "0"), "")</f>
        <v/>
      </c>
      <c r="DR16" s="395">
        <f t="array" ref="DR16">IFERROR(IF(AND(INDEX($E$8:$CE$57, MATCH($C16, $C$8:$C$57, 0), (COLUMNS($DC16:DR16)-1)*5 + 1) = INDEX($E$5:$CE$5, 1, (COLUMNS($DC16:DR16)-1)*5 + 1), INDEX($E$8:$CE$57, MATCH($C16, $C$8:$C$57, 0), (COLUMNS($DC16:DR16)-1)*5 + 4) = "F"), INDEX($CZ$8:$CZ$23, COLUMNS($DC16:DR16)), "0"), "")</f>
        <v/>
      </c>
      <c r="DT16" s="605">
        <f>SEMANA29[[#This Row],[COD]]</f>
        <v/>
      </c>
      <c r="DU16" s="395">
        <f t="array" ref="DU16">IFERROR(IF(AND(INDEX($E$8:$CE$57, MATCH($C16, $C$8:$C$57, 0), (COLUMNS($DU16:DU16)-1)*5 + 1) = INDEX($E$5:$CE$5, 1, (COLUMNS($DU16:DU16)-1)*5 + 1), INDEX($E$8:$CE$57, MATCH($C16, $C$8:$C$57, 0), (COLUMNS($DU16:DU16)-1)*5 + 4) = "SF"), INDEX($CZ$8:$CZ$23, COLUMNS($DU16:DU16)), "0"), "")</f>
        <v/>
      </c>
      <c r="DV16" s="395">
        <f t="array" ref="DV16">IFERROR(IF(AND(INDEX($E$8:$CE$57, MATCH($C16, $C$8:$C$57, 0), (COLUMNS($DU16:DV16)-1)*5 + 1) = INDEX($E$5:$CE$5, 1, (COLUMNS($DU16:DV16)-1)*5 + 1), INDEX($E$8:$CE$57, MATCH($C16, $C$8:$C$57, 0), (COLUMNS($DU16:DV16)-1)*5 + 4) = "SF"), INDEX($CZ$8:$CZ$23, COLUMNS($DU16:DV16)), "0"), "")</f>
        <v/>
      </c>
      <c r="DW16" s="395">
        <f t="array" ref="DW16">IFERROR(IF(AND(INDEX($E$8:$CE$57, MATCH($C16, $C$8:$C$57, 0), (COLUMNS($DU16:DW16)-1)*5 + 1) = INDEX($E$5:$CE$5, 1, (COLUMNS($DU16:DW16)-1)*5 + 1), INDEX($E$8:$CE$57, MATCH($C16, $C$8:$C$57, 0), (COLUMNS($DU16:DW16)-1)*5 + 4) = "SF"), INDEX($CZ$8:$CZ$23, COLUMNS($DU16:DW16)), "0"), "")</f>
        <v/>
      </c>
      <c r="DX16" s="395">
        <f t="array" ref="DX16">IFERROR(IF(AND(INDEX($E$8:$CE$57, MATCH($C16, $C$8:$C$57, 0), (COLUMNS($DU16:DX16)-1)*5 + 1) = INDEX($E$5:$CE$5, 1, (COLUMNS($DU16:DX16)-1)*5 + 1), INDEX($E$8:$CE$57, MATCH($C16, $C$8:$C$57, 0), (COLUMNS($DU16:DX16)-1)*5 + 4) = "SF"), INDEX($CZ$8:$CZ$23, COLUMNS($DU16:DX16)), "0"), "")</f>
        <v/>
      </c>
      <c r="DY16" s="395">
        <f t="array" ref="DY16">IFERROR(IF(AND(INDEX($E$8:$CE$57, MATCH($C16, $C$8:$C$57, 0), (COLUMNS($DU16:DY16)-1)*5 + 1) = INDEX($E$5:$CE$5, 1, (COLUMNS($DU16:DY16)-1)*5 + 1), INDEX($E$8:$CE$57, MATCH($C16, $C$8:$C$57, 0), (COLUMNS($DU16:DY16)-1)*5 + 4) = "SF"), INDEX($CZ$8:$CZ$23, COLUMNS($DU16:DY16)), "0"), "")</f>
        <v/>
      </c>
      <c r="DZ16" s="395">
        <f t="array" ref="DZ16">IFERROR(IF(AND(INDEX($E$8:$CE$57, MATCH($C16, $C$8:$C$57, 0), (COLUMNS($DU16:DZ16)-1)*5 + 1) = INDEX($E$5:$CE$5, 1, (COLUMNS($DU16:DZ16)-1)*5 + 1), INDEX($E$8:$CE$57, MATCH($C16, $C$8:$C$57, 0), (COLUMNS($DU16:DZ16)-1)*5 + 4) = "SF"), INDEX($CZ$8:$CZ$23, COLUMNS($DU16:DZ16)), "0"), "")</f>
        <v/>
      </c>
      <c r="EA16" s="395">
        <f t="array" ref="EA16">IFERROR(IF(AND(INDEX($E$8:$CE$57, MATCH($C16, $C$8:$C$57, 0), (COLUMNS($DU16:EA16)-1)*5 + 1) = INDEX($E$5:$CE$5, 1, (COLUMNS($DU16:EA16)-1)*5 + 1), INDEX($E$8:$CE$57, MATCH($C16, $C$8:$C$57, 0), (COLUMNS($DU16:EA16)-1)*5 + 4) = "SF"), INDEX($CZ$8:$CZ$23, COLUMNS($DU16:EA16)), "0"), "")</f>
        <v/>
      </c>
      <c r="EB16" s="395">
        <f t="array" ref="EB16">IFERROR(IF(AND(INDEX($E$8:$CE$57, MATCH($C16, $C$8:$C$57, 0), (COLUMNS($DU16:EB16)-1)*5 + 1) = INDEX($E$5:$CE$5, 1, (COLUMNS($DU16:EB16)-1)*5 + 1), INDEX($E$8:$CE$57, MATCH($C16, $C$8:$C$57, 0), (COLUMNS($DU16:EB16)-1)*5 + 4) = "SF"), INDEX($CZ$8:$CZ$23, COLUMNS($DU16:EB16)), "0"), "")</f>
        <v/>
      </c>
      <c r="EC16" s="395">
        <f t="array" ref="EC16">IFERROR(IF(AND(INDEX($E$8:$CE$57, MATCH($C16, $C$8:$C$57, 0), (COLUMNS($DU16:EC16)-1)*5 + 1) = INDEX($E$5:$CE$5, 1, (COLUMNS($DU16:EC16)-1)*5 + 1), INDEX($E$8:$CE$57, MATCH($C16, $C$8:$C$57, 0), (COLUMNS($DU16:EC16)-1)*5 + 4) = "SF"), INDEX($CZ$8:$CZ$23, COLUMNS($DU16:EC16)), "0"), "")</f>
        <v/>
      </c>
      <c r="ED16" s="395">
        <f t="array" ref="ED16">IFERROR(IF(AND(INDEX($E$8:$CE$57, MATCH($C16, $C$8:$C$57, 0), (COLUMNS($DU16:ED16)-1)*5 + 1) = INDEX($E$5:$CE$5, 1, (COLUMNS($DU16:ED16)-1)*5 + 1), INDEX($E$8:$CE$57, MATCH($C16, $C$8:$C$57, 0), (COLUMNS($DU16:ED16)-1)*5 + 4) = "SF"), INDEX($CZ$8:$CZ$23, COLUMNS($DU16:ED16)), "0"), "")</f>
        <v/>
      </c>
      <c r="EE16" s="395">
        <f t="array" ref="EE16">IFERROR(IF(AND(INDEX($E$8:$CE$57, MATCH($C16, $C$8:$C$57, 0), (COLUMNS($DU16:EE16)-1)*5 + 1) = INDEX($E$5:$CE$5, 1, (COLUMNS($DU16:EE16)-1)*5 + 1), INDEX($E$8:$CE$57, MATCH($C16, $C$8:$C$57, 0), (COLUMNS($DU16:EE16)-1)*5 + 4) = "SF"), INDEX($CZ$8:$CZ$23, COLUMNS($DU16:EE16)), "0"), "")</f>
        <v/>
      </c>
      <c r="EF16" s="395">
        <f t="array" ref="EF16">IFERROR(IF(AND(INDEX($E$8:$CE$57, MATCH($C16, $C$8:$C$57, 0), (COLUMNS($DU16:EF16)-1)*5 + 1) = INDEX($E$5:$CE$5, 1, (COLUMNS($DU16:EF16)-1)*5 + 1), INDEX($E$8:$CE$57, MATCH($C16, $C$8:$C$57, 0), (COLUMNS($DU16:EF16)-1)*5 + 4) = "SF"), INDEX($CZ$8:$CZ$23, COLUMNS($DU16:EF16)), "0"), "")</f>
        <v/>
      </c>
      <c r="EG16" s="395">
        <f t="array" ref="EG16">IFERROR(IF(AND(INDEX($E$8:$CE$57, MATCH($C16, $C$8:$C$57, 0), (COLUMNS($DU16:EG16)-1)*5 + 1) = INDEX($E$5:$CE$5, 1, (COLUMNS($DU16:EG16)-1)*5 + 1), INDEX($E$8:$CE$57, MATCH($C16, $C$8:$C$57, 0), (COLUMNS($DU16:EG16)-1)*5 + 4) = "SF"), INDEX($CZ$8:$CZ$23, COLUMNS($DU16:EG16)), "0"), "")</f>
        <v/>
      </c>
      <c r="EH16" s="395">
        <f t="array" ref="EH16">IFERROR(IF(AND(INDEX($E$8:$CE$57, MATCH($C16, $C$8:$C$57, 0), (COLUMNS($DU16:EH16)-1)*5 + 1) = INDEX($E$5:$CE$5, 1, (COLUMNS($DU16:EH16)-1)*5 + 1), INDEX($E$8:$CE$57, MATCH($C16, $C$8:$C$57, 0), (COLUMNS($DU16:EH16)-1)*5 + 4) = "SF"), INDEX($CZ$8:$CZ$23, COLUMNS($DU16:EH16)), "0"), "")</f>
        <v/>
      </c>
      <c r="EI16" s="395">
        <f t="array" ref="EI16">IFERROR(IF(AND(INDEX($E$8:$CE$57, MATCH($C16, $C$8:$C$57, 0), (COLUMNS($DU16:EI16)-1)*5 + 1) = INDEX($E$5:$CE$5, 1, (COLUMNS($DU16:EI16)-1)*5 + 1), INDEX($E$8:$CE$57, MATCH($C16, $C$8:$C$57, 0), (COLUMNS($DU16:EI16)-1)*5 + 4) = "SF"), INDEX($CZ$8:$CZ$23, COLUMNS($DU16:EI16)), "0"), "")</f>
        <v/>
      </c>
      <c r="EJ16" s="395">
        <f t="array" ref="EJ16">IFERROR(IF(AND(INDEX($E$8:$CE$57, MATCH($C16, $C$8:$C$57, 0), (COLUMNS($DU16:EJ16)-1)*5 + 1) = INDEX($E$5:$CE$5, 1, (COLUMNS($DU16:EJ16)-1)*5 + 1), INDEX($E$8:$CE$57, MATCH($C16, $C$8:$C$57, 0), (COLUMNS($DU16:EJ16)-1)*5 + 4) = "SF"), INDEX($CZ$8:$CZ$23, COLUMNS($DU16:EJ16)), "0"), "")</f>
        <v/>
      </c>
    </row>
    <row r="17" ht="20.1" customHeight="1" s="568">
      <c r="A17" s="576" t="n"/>
      <c r="B17" s="449">
        <f>IF(SEMANA29[[#This Row],[COD]]&lt;&gt;"",B16+1,"")</f>
        <v/>
      </c>
      <c r="C17" s="622" t="inlineStr">
        <is>
          <t>COD 10</t>
        </is>
      </c>
      <c r="D17" s="415">
        <f t="array" ref="D17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7" s="419" t="n"/>
      <c r="F17" s="421" t="n"/>
      <c r="G17" s="420" t="n"/>
      <c r="H17" s="416" t="n"/>
      <c r="I17" s="602">
        <f>SUM(IF(E17=E$5,4,0),IF(E17&amp;F17=E$5&amp;F$5,1,0),
IF(AND(E17=E$5,F$6&gt;=$D$115),1,0),
IF(AND(F17=E$5,F$6&gt;=$D$115),1,0),
IF(AND(G17=E$5,F$6&gt;=$D$115),1,0),
IF(E17&amp;H17=I$5,1,0),
IF(F17=E$5,2,0),
IF(G17=E$5,1,0),
IF(OR(E17&amp;F17&amp;G17=E$5&amp;F$5&amp;G$5,E17&amp;F17&amp;G17=E$5&amp;G$5&amp;F$5,E17&amp;F17&amp;G17=F$5&amp;E$5&amp;G$5,E17&amp;F17&amp;G17=F$5&amp;G$5&amp;E$5,E17&amp;F17&amp;G17=G$5&amp;E$5&amp;F$5,E17&amp;F17&amp;G17=G$5&amp;F$5&amp;E$5),2,0),IF(AND(E17=E$5,F$6&gt;=$D$129),1,0),IF(AND(F17=E$5,F$6&gt;=$D$129),1,0),IF(AND(G17=E$5,F$6&gt;=$D$129),1,0),IF(E17&amp;H17=H$5,4,0),IF(AND(E17=E$5,F$6&lt;=$D$104),-0.5,0),IF(AND(F17=E$5,F$6&lt;=$D$104),-0.5,0),IF(AND(G17=E$5,F$6&lt;=$D$104),-0.5,0))</f>
        <v/>
      </c>
      <c r="J17" s="419" t="n"/>
      <c r="K17" s="421" t="n"/>
      <c r="L17" s="420" t="n"/>
      <c r="M17" s="416" t="n"/>
      <c r="N17" s="602">
        <f>SUM(IF(J17=J$5,4,0),IF(J17&amp;K17=J$5&amp;K$5,1,0),
IF(AND(J17=J$5,K$6&gt;=$D$115),1,0),
IF(AND(K17=J$5,K$6&gt;=$D$115),1,0),
IF(AND(L17=J$5,K$6&gt;=$D$115),1,0),
IF(J17&amp;M17=N$5,1,0),
IF(K17=J$5,2,0),
IF(L17=J$5,1,0),
IF(OR(J17&amp;K17&amp;L17=J$5&amp;K$5&amp;L$5,J17&amp;K17&amp;L17=J$5&amp;L$5&amp;K$5,J17&amp;K17&amp;L17=K$5&amp;J$5&amp;L$5,J17&amp;K17&amp;L17=K$5&amp;L$5&amp;J$5,J17&amp;K17&amp;L17=L$5&amp;J$5&amp;K$5,J17&amp;K17&amp;L17=L$5&amp;K$5&amp;J$5),2,0),IF(AND(J17=J$5,K$6&gt;=$D$129),1,0),IF(AND(K17=J$5,K$6&gt;=$D$129),1,0),IF(AND(L17=J$5,K$6&gt;=$D$129),1,0),IF(J17&amp;M17=M$5,4,0),IF(AND(J17=J$5,K$6&lt;=$D$104),-0.5,0),IF(AND(K17=J$5,K$6&lt;=$D$104),-0.5,0),IF(AND(L17=J$5,K$6&lt;=$D$104),-0.5,0))</f>
        <v/>
      </c>
      <c r="O17" s="419" t="n"/>
      <c r="P17" s="421" t="n"/>
      <c r="Q17" s="420" t="n"/>
      <c r="R17" s="416" t="n"/>
      <c r="S17" s="602">
        <f>SUM(IF(O17=O$5,4,0),IF(O17&amp;P17=O$5&amp;P$5,1,0),
IF(AND(O17=O$5,P$6&gt;=$D$115),1,0),
IF(AND(P17=O$5,P$6&gt;=$D$115),1,0),
IF(AND(Q17=O$5,P$6&gt;=$D$115),1,0),
IF(O17&amp;R17=S$5,1,0),
IF(P17=O$5,2,0),
IF(Q17=O$5,1,0),
IF(OR(O17&amp;P17&amp;Q17=O$5&amp;P$5&amp;Q$5,O17&amp;P17&amp;Q17=O$5&amp;Q$5&amp;P$5,O17&amp;P17&amp;Q17=P$5&amp;O$5&amp;Q$5,O17&amp;P17&amp;Q17=P$5&amp;Q$5&amp;O$5,O17&amp;P17&amp;Q17=Q$5&amp;O$5&amp;P$5,O17&amp;P17&amp;Q17=Q$5&amp;P$5&amp;O$5),2,0),IF(AND(O17=O$5,P$6&gt;=$D$129),1,0),IF(AND(P17=O$5,P$6&gt;=$D$129),1,0),IF(AND(Q17=O$5,P$6&gt;=$D$129),1,0),IF(O17&amp;R17=R$5,4,0),IF(AND(O17=O$5,P$6&lt;=$D$104),-0.5,0),IF(AND(P17=O$5,P$6&lt;=$D$104),-0.5,0),IF(AND(Q17=O$5,P$6&lt;=$D$104),-0.5,0))</f>
        <v/>
      </c>
      <c r="T17" s="419" t="n"/>
      <c r="U17" s="421" t="n"/>
      <c r="V17" s="420" t="n"/>
      <c r="W17" s="416" t="n"/>
      <c r="X17" s="602">
        <f>SUM(IF(T17=T$5,4,0),IF(T17&amp;U17=T$5&amp;U$5,1,0),
IF(AND(T17=T$5,U$6&gt;=$D$115),1,0),
IF(AND(U17=T$5,U$6&gt;=$D$115),1,0),
IF(AND(V17=T$5,U$6&gt;=$D$115),1,0),
IF(T17&amp;W17=X$5,1,0),
IF(U17=T$5,2,0),
IF(V17=T$5,1,0),
IF(OR(T17&amp;U17&amp;V17=T$5&amp;U$5&amp;V$5,T17&amp;U17&amp;V17=T$5&amp;V$5&amp;U$5,T17&amp;U17&amp;V17=U$5&amp;T$5&amp;V$5,T17&amp;U17&amp;V17=U$5&amp;V$5&amp;T$5,T17&amp;U17&amp;V17=V$5&amp;T$5&amp;U$5,T17&amp;U17&amp;V17=V$5&amp;U$5&amp;T$5),2,0),IF(AND(T17=T$5,U$6&gt;=$D$129),1,0),IF(AND(U17=T$5,U$6&gt;=$D$129),1,0),IF(AND(V17=T$5,U$6&gt;=$D$129),1,0),IF(T17&amp;W17=W$5,4,0),IF(AND(T17=T$5,U$6&lt;=$D$104),-0.5,0),IF(AND(U17=T$5,U$6&lt;=$D$104),-0.5,0),IF(AND(V17=T$5,U$6&lt;=$D$104),-0.5,0))</f>
        <v/>
      </c>
      <c r="Y17" s="419" t="n"/>
      <c r="Z17" s="421" t="n"/>
      <c r="AA17" s="420" t="n"/>
      <c r="AB17" s="416" t="n"/>
      <c r="AC17" s="602">
        <f>SUM(IF(Y17=Y$5,4,0),IF(Y17&amp;Z17=Y$5&amp;Z$5,1,0),
IF(AND(Y17=Y$5,Z$6&gt;=$D$115),1,0),
IF(AND(Z17=Y$5,Z$6&gt;=$D$115),1,0),
IF(AND(AA17=Y$5,Z$6&gt;=$D$115),1,0),
IF(Y17&amp;AB17=AC$5,1,0),
IF(Z17=Y$5,2,0),
IF(AA17=Y$5,1,0),
IF(OR(Y17&amp;Z17&amp;AA17=Y$5&amp;Z$5&amp;AA$5,Y17&amp;Z17&amp;AA17=Y$5&amp;AA$5&amp;Z$5,Y17&amp;Z17&amp;AA17=Z$5&amp;Y$5&amp;AA$5,Y17&amp;Z17&amp;AA17=Z$5&amp;AA$5&amp;Y$5,Y17&amp;Z17&amp;AA17=AA$5&amp;Y$5&amp;Z$5,Y17&amp;Z17&amp;AA17=AA$5&amp;Z$5&amp;Y$5),2,0),IF(AND(Y17=Y$5,Z$6&gt;=$D$129),1,0),IF(AND(Z17=Y$5,Z$6&gt;=$D$129),1,0),IF(AND(AA17=Y$5,Z$6&gt;=$D$129),1,0),IF(Y17&amp;AB17=AB$5,4,0),IF(AND(Y17=Y$5,Z$6&lt;=$D$104),-0.5,0),IF(AND(Z17=Y$5,Z$6&lt;=$D$104),-0.5,0),IF(AND(AA17=Y$5,Z$6&lt;=$D$104),-0.5,0))</f>
        <v/>
      </c>
      <c r="AD17" s="419" t="n"/>
      <c r="AE17" s="421" t="n"/>
      <c r="AF17" s="420" t="n"/>
      <c r="AG17" s="416" t="n"/>
      <c r="AH17" s="602">
        <f>SUM(IF(AD17=AD$5,4,0),IF(AD17&amp;AE17=AD$5&amp;AE$5,1,0),
IF(AND(AD17=AD$5,AE$6&gt;=$D$115),1,0),
IF(AND(AE17=AD$5,AE$6&gt;=$D$115),1,0),
IF(AND(AF17=AD$5,AE$6&gt;=$D$115),1,0),
IF(AD17&amp;AG17=AH$5,1,0),
IF(AE17=AD$5,2,0),
IF(AF17=AD$5,1,0),
IF(OR(AD17&amp;AE17&amp;AF17=AD$5&amp;AE$5&amp;AF$5,AD17&amp;AE17&amp;AF17=AD$5&amp;AF$5&amp;AE$5,AD17&amp;AE17&amp;AF17=AE$5&amp;AD$5&amp;AF$5,AD17&amp;AE17&amp;AF17=AE$5&amp;AF$5&amp;AD$5,AD17&amp;AE17&amp;AF17=AF$5&amp;AD$5&amp;AE$5,AD17&amp;AE17&amp;AF17=AF$5&amp;AE$5&amp;AD$5),2,0),IF(AND(AD17=AD$5,AE$6&gt;=$D$129),1,0),IF(AND(AE17=AD$5,AE$6&gt;=$D$129),1,0),IF(AND(AF17=AD$5,AE$6&gt;=$D$129),1,0),IF(AD17&amp;AG17=AG$5,4,0),IF(AND(AD17=AD$5,AE$6&lt;=$D$104),-0.5,0),IF(AND(AE17=AD$5,AE$6&lt;=$D$104),-0.5,0),IF(AND(AF17=AD$5,AE$6&lt;=$D$104),-0.5,0))</f>
        <v/>
      </c>
      <c r="AI17" s="419" t="n"/>
      <c r="AJ17" s="421" t="n"/>
      <c r="AK17" s="420" t="n"/>
      <c r="AL17" s="416" t="n"/>
      <c r="AM17" s="602">
        <f>SUM(IF(AI17=AI$5,4,0),IF(AI17&amp;AJ17=AI$5&amp;AJ$5,1,0),
IF(AND(AI17=AI$5,AJ$6&gt;=$D$115),1,0),
IF(AND(AJ17=AI$5,AJ$6&gt;=$D$115),1,0),
IF(AND(AK17=AI$5,AJ$6&gt;=$D$115),1,0),
IF(AI17&amp;AL17=AM$5,1,0),
IF(AJ17=AI$5,2,0),
IF(AK17=AI$5,1,0),
IF(OR(AI17&amp;AJ17&amp;AK17=AI$5&amp;AJ$5&amp;AK$5,AI17&amp;AJ17&amp;AK17=AI$5&amp;AK$5&amp;AJ$5,AI17&amp;AJ17&amp;AK17=AJ$5&amp;AI$5&amp;AK$5,AI17&amp;AJ17&amp;AK17=AJ$5&amp;AK$5&amp;AI$5,AI17&amp;AJ17&amp;AK17=AK$5&amp;AI$5&amp;AJ$5,AI17&amp;AJ17&amp;AK17=AK$5&amp;AJ$5&amp;AI$5),2,0),IF(AND(AI17=AI$5,AJ$6&gt;=$D$129),1,0),IF(AND(AJ17=AI$5,AJ$6&gt;=$D$129),1,0),IF(AND(AK17=AI$5,AJ$6&gt;=$D$129),1,0),IF(AI17&amp;AL17=AL$5,4,0),IF(AND(AI17=AI$5,AJ$6&lt;=$D$104),-0.5,0),IF(AND(AJ17=AI$5,AJ$6&lt;=$D$104),-0.5,0),IF(AND(AK17=AI$5,AJ$6&lt;=$D$104),-0.5,0))</f>
        <v/>
      </c>
      <c r="AN17" s="419" t="n"/>
      <c r="AO17" s="421" t="n"/>
      <c r="AP17" s="420" t="n"/>
      <c r="AQ17" s="416" t="n"/>
      <c r="AR17" s="602">
        <f>SUM(IF(AN17=AN$5,4,0),IF(AN17&amp;AO17=AN$5&amp;AO$5,1,0),
IF(AND(AN17=AN$5,AO$6&gt;=$D$115),1,0),
IF(AND(AO17=AN$5,AO$6&gt;=$D$115),1,0),
IF(AND(AP17=AN$5,AO$6&gt;=$D$115),1,0),
IF(AN17&amp;AQ17=AR$5,1,0),
IF(AO17=AN$5,2,0),
IF(AP17=AN$5,1,0),
IF(OR(AN17&amp;AO17&amp;AP17=AN$5&amp;AO$5&amp;AP$5,AN17&amp;AO17&amp;AP17=AN$5&amp;AP$5&amp;AO$5,AN17&amp;AO17&amp;AP17=AO$5&amp;AN$5&amp;AP$5,AN17&amp;AO17&amp;AP17=AO$5&amp;AP$5&amp;AN$5,AN17&amp;AO17&amp;AP17=AP$5&amp;AN$5&amp;AO$5,AN17&amp;AO17&amp;AP17=AP$5&amp;AO$5&amp;AN$5),2,0),IF(AND(AN17=AN$5,AO$6&gt;=$D$129),1,0),IF(AND(AO17=AN$5,AO$6&gt;=$D$129),1,0),IF(AND(AP17=AN$5,AO$6&gt;=$D$129),1,0),IF(AN17&amp;AQ17=AQ$5,4,0),IF(AND(AN17=AN$5,AO$6&lt;=$D$104),-0.5,0),IF(AND(AO17=AN$5,AO$6&lt;=$D$104),-0.5,0),IF(AND(AP17=AN$5,AO$6&lt;=$D$104),-0.5,0))</f>
        <v/>
      </c>
      <c r="AS17" s="419" t="n"/>
      <c r="AT17" s="421" t="n"/>
      <c r="AU17" s="420" t="n"/>
      <c r="AV17" s="416" t="n"/>
      <c r="AW17" s="602">
        <f>SUM(IF(AS17=AS$5,4,0),IF(AS17&amp;AT17=AS$5&amp;AT$5,1,0),
IF(AND(AS17=AS$5,AT$6&gt;=$D$115),1,0),
IF(AND(AT17=AS$5,AT$6&gt;=$D$115),1,0),
IF(AND(AU17=AS$5,AT$6&gt;=$D$115),1,0),
IF(AS17&amp;AV17=AW$5,1,0),
IF(AT17=AS$5,2,0),
IF(AU17=AS$5,1,0),
IF(OR(AS17&amp;AT17&amp;AU17=AS$5&amp;AT$5&amp;AU$5,AS17&amp;AT17&amp;AU17=AS$5&amp;AU$5&amp;AT$5,AS17&amp;AT17&amp;AU17=AT$5&amp;AS$5&amp;AU$5,AS17&amp;AT17&amp;AU17=AT$5&amp;AU$5&amp;AS$5,AS17&amp;AT17&amp;AU17=AU$5&amp;AS$5&amp;AT$5,AS17&amp;AT17&amp;AU17=AU$5&amp;AT$5&amp;AS$5),2,0),IF(AND(AS17=AS$5,AT$6&gt;=$D$129),1,0),IF(AND(AT17=AS$5,AT$6&gt;=$D$129),1,0),IF(AND(AU17=AS$5,AT$6&gt;=$D$129),1,0),IF(AS17&amp;AV17=AV$5,4,0),IF(AND(AS17=AS$5,AT$6&lt;=$D$104),-0.5,0),IF(AND(AT17=AS$5,AT$6&lt;=$D$104),-0.5,0),IF(AND(AU17=AS$5,AT$6&lt;=$D$104),-0.5,0))</f>
        <v/>
      </c>
      <c r="AX17" s="419" t="n"/>
      <c r="AY17" s="421" t="n"/>
      <c r="AZ17" s="420" t="n"/>
      <c r="BA17" s="416" t="n"/>
      <c r="BB17" s="602">
        <f>SUM(IF(AX17=AX$5,4,0),IF(AX17&amp;AY17=AX$5&amp;AY$5,1,0),
IF(AND(AX17=AX$5,AY$6&gt;=$D$115),1,0),
IF(AND(AY17=AX$5,AY$6&gt;=$D$115),1,0),
IF(AND(AZ17=AX$5,AY$6&gt;=$D$115),1,0),
IF(AX17&amp;BA17=BB$5,1,0),
IF(AY17=AX$5,2,0),
IF(AZ17=AX$5,1,0),
IF(OR(AX17&amp;AY17&amp;AZ17=AX$5&amp;AY$5&amp;AZ$5,AX17&amp;AY17&amp;AZ17=AX$5&amp;AZ$5&amp;AY$5,AX17&amp;AY17&amp;AZ17=AY$5&amp;AX$5&amp;AZ$5,AX17&amp;AY17&amp;AZ17=AY$5&amp;AZ$5&amp;AX$5,AX17&amp;AY17&amp;AZ17=AZ$5&amp;AX$5&amp;AY$5,AX17&amp;AY17&amp;AZ17=AZ$5&amp;AY$5&amp;AX$5),2,0),IF(AND(AX17=AX$5,AY$6&gt;=$D$129),1,0),IF(AND(AY17=AX$5,AY$6&gt;=$D$129),1,0),IF(AND(AZ17=AX$5,AY$6&gt;=$D$129),1,0),IF(AX17&amp;BA17=BA$5,4,0),IF(AND(AX17=AX$5,AY$6&lt;=$D$104),-0.5,0),IF(AND(AY17=AX$5,AY$6&lt;=$D$104),-0.5,0),IF(AND(AZ17=AX$5,AY$6&lt;=$D$104),-0.5,0))</f>
        <v/>
      </c>
      <c r="BC17" s="419" t="n"/>
      <c r="BD17" s="421" t="n"/>
      <c r="BE17" s="420" t="n"/>
      <c r="BF17" s="416" t="n"/>
      <c r="BG17" s="602">
        <f>SUM(IF(BC17=BC$5,4,0),IF(BC17&amp;BD17=BC$5&amp;BD$5,1,0),
IF(AND(BC17=BC$5,BD$6&gt;=$D$115),1,0),
IF(AND(BD17=BC$5,BD$6&gt;=$D$115),1,0),
IF(AND(BE17=BC$5,BD$6&gt;=$D$115),1,0),
IF(BC17&amp;BF17=BG$5,1,0),
IF(BD17=BC$5,2,0),
IF(BE17=BC$5,1,0),
IF(OR(BC17&amp;BD17&amp;BE17=BC$5&amp;BD$5&amp;BE$5,BC17&amp;BD17&amp;BE17=BC$5&amp;BE$5&amp;BD$5,BC17&amp;BD17&amp;BE17=BD$5&amp;BC$5&amp;BE$5,BC17&amp;BD17&amp;BE17=BD$5&amp;BE$5&amp;BC$5,BC17&amp;BD17&amp;BE17=BE$5&amp;BC$5&amp;BD$5,BC17&amp;BD17&amp;BE17=BE$5&amp;BD$5&amp;BC$5),2,0),IF(AND(BC17=BC$5,BD$6&gt;=$D$129),1,0),IF(AND(BD17=BC$5,BD$6&gt;=$D$129),1,0),IF(AND(BE17=BC$5,BD$6&gt;=$D$129),1,0),IF(BC17&amp;BF17=BF$5,4,0),IF(AND(BC17=BC$5,BD$6&lt;=$D$104),-0.5,0),IF(AND(BD17=BC$5,BD$6&lt;=$D$104),-0.5,0),IF(AND(BE17=BC$5,BD$6&lt;=$D$104),-0.5,0))</f>
        <v/>
      </c>
      <c r="BH17" s="419" t="n"/>
      <c r="BI17" s="421" t="n"/>
      <c r="BJ17" s="420" t="n"/>
      <c r="BK17" s="416" t="n"/>
      <c r="BL17" s="602">
        <f>SUM(IF(BH17=BH$5,4,0),IF(BH17&amp;BI17=BH$5&amp;BI$5,1,0),
IF(AND(BH17=BH$5,BI$6&gt;=$D$115),1,0),
IF(AND(BI17=BH$5,BI$6&gt;=$D$115),1,0),
IF(AND(BJ17=BH$5,BI$6&gt;=$D$115),1,0),
IF(BH17&amp;BK17=BL$5,1,0),
IF(BI17=BH$5,2,0),
IF(BJ17=BH$5,1,0),
IF(OR(BH17&amp;BI17&amp;BJ17=BH$5&amp;BI$5&amp;BJ$5,BH17&amp;BI17&amp;BJ17=BH$5&amp;BJ$5&amp;BI$5,BH17&amp;BI17&amp;BJ17=BI$5&amp;BH$5&amp;BJ$5,BH17&amp;BI17&amp;BJ17=BI$5&amp;BJ$5&amp;BH$5,BH17&amp;BI17&amp;BJ17=BJ$5&amp;BH$5&amp;BI$5,BH17&amp;BI17&amp;BJ17=BJ$5&amp;BI$5&amp;BH$5),2,0),IF(AND(BH17=BH$5,BI$6&gt;=$D$129),1,0),IF(AND(BI17=BH$5,BI$6&gt;=$D$129),1,0),IF(AND(BJ17=BH$5,BI$6&gt;=$D$129),1,0),IF(BH17&amp;BK17=BK$5,4,0),IF(AND(BH17=BH$5,BI$6&lt;=$D$104),-0.5,0),IF(AND(BI17=BH$5,BI$6&lt;=$D$104),-0.5,0),IF(AND(BJ17=BH$5,BI$6&lt;=$D$104),-0.5,0))</f>
        <v/>
      </c>
      <c r="BM17" s="419" t="n"/>
      <c r="BN17" s="421" t="n"/>
      <c r="BO17" s="420" t="n"/>
      <c r="BP17" s="416" t="n"/>
      <c r="BQ17" s="602">
        <f>SUM(IF(BM17=BM$5,4,0),IF(BM17&amp;BN17=BM$5&amp;BN$5,1,0),
IF(AND(BM17=BM$5,BN$6&gt;=$D$115),1,0),
IF(AND(BN17=BM$5,BN$6&gt;=$D$115),1,0),
IF(AND(BO17=BM$5,BN$6&gt;=$D$115),1,0),
IF(BM17&amp;BP17=BQ$5,1,0),
IF(BN17=BM$5,2,0),
IF(BO17=BM$5,1,0),
IF(OR(BM17&amp;BN17&amp;BO17=BM$5&amp;BN$5&amp;BO$5,BM17&amp;BN17&amp;BO17=BM$5&amp;BO$5&amp;BN$5,BM17&amp;BN17&amp;BO17=BN$5&amp;BM$5&amp;BO$5,BM17&amp;BN17&amp;BO17=BN$5&amp;BO$5&amp;BM$5,BM17&amp;BN17&amp;BO17=BO$5&amp;BM$5&amp;BN$5,BM17&amp;BN17&amp;BO17=BO$5&amp;BN$5&amp;BM$5),2,0),IF(AND(BM17=BM$5,BN$6&gt;=$D$129),1,0),IF(AND(BN17=BM$5,BN$6&gt;=$D$129),1,0),IF(AND(BO17=BM$5,BN$6&gt;=$D$129),1,0),IF(BM17&amp;BP17=BP$5,4,0),IF(AND(BM17=BM$5,BN$6&lt;=$D$104),-0.5,0),IF(AND(BN17=BM$5,BN$6&lt;=$D$104),-0.5,0),IF(AND(BO17=BM$5,BN$6&lt;=$D$104),-0.5,0))</f>
        <v/>
      </c>
      <c r="BR17" s="419" t="n"/>
      <c r="BS17" s="421" t="n"/>
      <c r="BT17" s="420" t="n"/>
      <c r="BU17" s="416" t="n"/>
      <c r="BV17" s="602">
        <f>SUM(IF(BR17=BR$5,4,0),IF(BR17&amp;BS17=BR$5&amp;BS$5,1,0),
IF(AND(BR17=BR$5,BS$6&gt;=$D$115),1,0),
IF(AND(BS17=BR$5,BS$6&gt;=$D$115),1,0),
IF(AND(BT17=BR$5,BS$6&gt;=$D$115),1,0),
IF(BR17&amp;BU17=BV$5,1,0),
IF(BS17=BR$5,2,0),
IF(BT17=BR$5,1,0),
IF(OR(BR17&amp;BS17&amp;BT17=BR$5&amp;BS$5&amp;BT$5,BR17&amp;BS17&amp;BT17=BR$5&amp;BT$5&amp;BS$5,BR17&amp;BS17&amp;BT17=BS$5&amp;BR$5&amp;BT$5,BR17&amp;BS17&amp;BT17=BS$5&amp;BT$5&amp;BR$5,BR17&amp;BS17&amp;BT17=BT$5&amp;BR$5&amp;BS$5,BR17&amp;BS17&amp;BT17=BT$5&amp;BS$5&amp;BR$5),2,0),IF(AND(BR17=BR$5,BS$6&gt;=$D$129),1,0),IF(AND(BS17=BR$5,BS$6&gt;=$D$129),1,0),IF(AND(BT17=BR$5,BS$6&gt;=$D$129),1,0),IF(BR17&amp;BU17=BU$5,4,0),IF(AND(BR17=BR$5,BS$6&lt;=$D$104),-0.5,0),IF(AND(BS17=BR$5,BS$6&lt;=$D$104),-0.5,0),IF(AND(BT17=BR$5,BS$6&lt;=$D$104),-0.5,0))</f>
        <v/>
      </c>
      <c r="BW17" s="419" t="n"/>
      <c r="BX17" s="421" t="n"/>
      <c r="BY17" s="420" t="n"/>
      <c r="BZ17" s="416" t="n"/>
      <c r="CA17" s="602">
        <f>SUM(IF(BW17=BW$5,4,0),IF(BW17&amp;BX17=BW$5&amp;BX$5,1,0),
IF(AND(BW17=BW$5,BX$6&gt;=$D$115),1,0),
IF(AND(BX17=BW$5,BX$6&gt;=$D$115),1,0),
IF(AND(BY17=BW$5,BX$6&gt;=$D$115),1,0),
IF(BW17&amp;BZ17=CA$5,1,0),
IF(BX17=BW$5,2,0),
IF(BY17=BW$5,1,0),
IF(OR(BW17&amp;BX17&amp;BY17=BW$5&amp;BX$5&amp;BY$5,BW17&amp;BX17&amp;BY17=BW$5&amp;BY$5&amp;BX$5,BW17&amp;BX17&amp;BY17=BX$5&amp;BW$5&amp;BY$5,BW17&amp;BX17&amp;BY17=BX$5&amp;BY$5&amp;BW$5,BW17&amp;BX17&amp;BY17=BY$5&amp;BW$5&amp;BX$5,BW17&amp;BX17&amp;BY17=BY$5&amp;BX$5&amp;BW$5),2,0),IF(AND(BW17=BW$5,BX$6&gt;=$D$129),1,0),IF(AND(BX17=BW$5,BX$6&gt;=$D$129),1,0),IF(AND(BY17=BW$5,BX$6&gt;=$D$129),1,0),IF(BW17&amp;BZ17=BZ$5,4,0),IF(AND(BW17=BW$5,BX$6&lt;=$D$104),-0.5,0),IF(AND(BX17=BW$5,BX$6&lt;=$D$104),-0.5,0),IF(AND(BY17=BW$5,BX$6&lt;=$D$104),-0.5,0))</f>
        <v/>
      </c>
      <c r="CB17" s="419" t="n"/>
      <c r="CC17" s="421" t="n"/>
      <c r="CD17" s="420" t="n"/>
      <c r="CE17" s="416" t="n"/>
      <c r="CF17" s="602">
        <f>SUM(IF(CB17=CB$5,4,0),IF(CB17&amp;CC17=CB$5&amp;CC$5,1,0),
IF(AND(CB17=CB$5,CC$6&gt;=$D$115),1,0),
IF(AND(CC17=CB$5,CC$6&gt;=$D$115),1,0),
IF(AND(CD17=CB$5,CC$6&gt;=$D$115),1,0),
IF(CB17&amp;CE17=CF$5,1,0),
IF(CC17=CB$5,2,0),
IF(CD17=CB$5,1,0),
IF(OR(CB17&amp;CC17&amp;CD17=CB$5&amp;CC$5&amp;CD$5,CB17&amp;CC17&amp;CD17=CB$5&amp;CD$5&amp;CC$5,CB17&amp;CC17&amp;CD17=CC$5&amp;CB$5&amp;CD$5,CB17&amp;CC17&amp;CD17=CC$5&amp;CD$5&amp;CB$5,CB17&amp;CC17&amp;CD17=CD$5&amp;CB$5&amp;CC$5,CB17&amp;CC17&amp;CD17=CD$5&amp;CC$5&amp;CB$5),2,0),IF(AND(CB17=CB$5,CC$6&gt;=$D$129),1,0),IF(AND(CC17=CB$5,CC$6&gt;=$D$129),1,0),IF(AND(CD17=CB$5,CC$6&gt;=$D$129),1,0),IF(CB17&amp;CE17=CE$5,4,0),IF(AND(CB17=CB$5,CC$6&lt;=$D$104),-0.5,0),IF(AND(CC17=CB$5,CC$6&lt;=$D$104),-0.5,0),IF(AND(CD17=CB$5,CC$6&lt;=$D$104),-0.5,0))</f>
        <v/>
      </c>
      <c r="CG17" s="164">
        <f>IF(SEMANA29[[#This Row],[1]]="",0,$B$4)</f>
        <v/>
      </c>
      <c r="CH17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7" s="166">
        <f>IF(SEMANA29[[#This Row],[Columna14]]=0,0,(CH17/CG17))</f>
        <v/>
      </c>
      <c r="CJ17" s="165">
        <f>IF(SEMANA29[[#This Row],[1]]="",0,$B$4)</f>
        <v/>
      </c>
      <c r="CK17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7" s="166">
        <f>IF(SEMANA29[[#This Row],[Columna14]]=0,0,(CK17/CJ17))</f>
        <v/>
      </c>
      <c r="CM17" s="164">
        <f>IF(SEMANA29[[#This Row],[1]]="",0,$B$4)</f>
        <v/>
      </c>
      <c r="CN17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7" s="166">
        <f>IF(SEMANA29[[#This Row],[Columna14]]=0,0,(CN17/CM17))</f>
        <v/>
      </c>
      <c r="CP17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7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Row],[Columna25]],$AX$5,BA17,"SF")+COUNTIFS(SEMANA29[[#This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7" s="166">
        <f>IFERROR(IF(SEMANA29[[#This Row],[Columna14]]=0,0,(CQ17/CP17)),0)</f>
        <v/>
      </c>
      <c r="CS17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7" s="95">
        <f>_xlfn.XLOOKUP(SEMANA29[[#This Row],[COD]],SEMANA2[COD],SEMANA2[Columna33])</f>
        <v/>
      </c>
      <c r="CU17" s="604">
        <f>SUM(CS17,CT17)</f>
        <v/>
      </c>
      <c r="CV17" s="450">
        <f>IF(SEMANA29[[#This Row],[TIPO]]="PREMIO",$O$3,"0,00")</f>
        <v/>
      </c>
      <c r="CW17" s="576" t="n"/>
      <c r="CY17" s="393" t="n">
        <v>10</v>
      </c>
      <c r="CZ17" s="354">
        <f>$AY$6</f>
        <v/>
      </c>
      <c r="DB17" s="605">
        <f>SEMANA29[[#This Row],[COD]]</f>
        <v/>
      </c>
      <c r="DC17" s="395">
        <f t="array" ref="DC17">IFERROR(IF(AND(INDEX($E$8:$CE$57, MATCH($C17, $C$8:$C$57, 0), (COLUMNS($DC17:DC17)-1)*5 + 1) = INDEX($E$5:$CE$5, 1, (COLUMNS($DC17:DC17)-1)*5 + 1), INDEX($E$8:$CE$57, MATCH($C17, $C$8:$C$57, 0), (COLUMNS($DC17:DC17)-1)*5 + 4) = "F"), INDEX($CZ$8:$CZ$23, COLUMNS($DC17:DC17)), "0"), "")</f>
        <v/>
      </c>
      <c r="DD17" s="395">
        <f t="array" ref="DD17">IFERROR(IF(AND(INDEX($E$8:$CE$57, MATCH($C17, $C$8:$C$57, 0), (COLUMNS($DC17:DD17)-1)*5 + 1) = INDEX($E$5:$CE$5, 1, (COLUMNS($DC17:DD17)-1)*5 + 1), INDEX($E$8:$CE$57, MATCH($C17, $C$8:$C$57, 0), (COLUMNS($DC17:DD17)-1)*5 + 4) = "F"), INDEX($CZ$8:$CZ$23, COLUMNS($DC17:DD17)), "0"), "")</f>
        <v/>
      </c>
      <c r="DE17" s="395">
        <f t="array" ref="DE17">IFERROR(IF(AND(INDEX($E$8:$CE$57, MATCH($C17, $C$8:$C$57, 0), (COLUMNS($DC17:DE17)-1)*5 + 1) = INDEX($E$5:$CE$5, 1, (COLUMNS($DC17:DE17)-1)*5 + 1), INDEX($E$8:$CE$57, MATCH($C17, $C$8:$C$57, 0), (COLUMNS($DC17:DE17)-1)*5 + 4) = "F"), INDEX($CZ$8:$CZ$23, COLUMNS($DC17:DE17)), "0"), "")</f>
        <v/>
      </c>
      <c r="DF17" s="395">
        <f t="array" ref="DF17">IFERROR(IF(AND(INDEX($E$8:$CE$57, MATCH($C17, $C$8:$C$57, 0), (COLUMNS($DC17:DF17)-1)*5 + 1) = INDEX($E$5:$CE$5, 1, (COLUMNS($DC17:DF17)-1)*5 + 1), INDEX($E$8:$CE$57, MATCH($C17, $C$8:$C$57, 0), (COLUMNS($DC17:DF17)-1)*5 + 4) = "F"), INDEX($CZ$8:$CZ$23, COLUMNS($DC17:DF17)), "0"), "")</f>
        <v/>
      </c>
      <c r="DG17" s="395">
        <f t="array" ref="DG17">IFERROR(IF(AND(INDEX($E$8:$CE$57, MATCH($C17, $C$8:$C$57, 0), (COLUMNS($DC17:DG17)-1)*5 + 1) = INDEX($E$5:$CE$5, 1, (COLUMNS($DC17:DG17)-1)*5 + 1), INDEX($E$8:$CE$57, MATCH($C17, $C$8:$C$57, 0), (COLUMNS($DC17:DG17)-1)*5 + 4) = "F"), INDEX($CZ$8:$CZ$23, COLUMNS($DC17:DG17)), "0"), "")</f>
        <v/>
      </c>
      <c r="DH17" s="395">
        <f t="array" ref="DH17">IFERROR(IF(AND(INDEX($E$8:$CE$57, MATCH($C17, $C$8:$C$57, 0), (COLUMNS($DC17:DH17)-1)*5 + 1) = INDEX($E$5:$CE$5, 1, (COLUMNS($DC17:DH17)-1)*5 + 1), INDEX($E$8:$CE$57, MATCH($C17, $C$8:$C$57, 0), (COLUMNS($DC17:DH17)-1)*5 + 4) = "F"), INDEX($CZ$8:$CZ$23, COLUMNS($DC17:DH17)), "0"), "")</f>
        <v/>
      </c>
      <c r="DI17" s="395">
        <f t="array" ref="DI17">IFERROR(IF(AND(INDEX($E$8:$CE$57, MATCH($C17, $C$8:$C$57, 0), (COLUMNS($DC17:DI17)-1)*5 + 1) = INDEX($E$5:$CE$5, 1, (COLUMNS($DC17:DI17)-1)*5 + 1), INDEX($E$8:$CE$57, MATCH($C17, $C$8:$C$57, 0), (COLUMNS($DC17:DI17)-1)*5 + 4) = "F"), INDEX($CZ$8:$CZ$23, COLUMNS($DC17:DI17)), "0"), "")</f>
        <v/>
      </c>
      <c r="DJ17" s="395">
        <f t="array" ref="DJ17">IFERROR(IF(AND(INDEX($E$8:$CE$57, MATCH($C17, $C$8:$C$57, 0), (COLUMNS($DC17:DJ17)-1)*5 + 1) = INDEX($E$5:$CE$5, 1, (COLUMNS($DC17:DJ17)-1)*5 + 1), INDEX($E$8:$CE$57, MATCH($C17, $C$8:$C$57, 0), (COLUMNS($DC17:DJ17)-1)*5 + 4) = "F"), INDEX($CZ$8:$CZ$23, COLUMNS($DC17:DJ17)), "0"), "")</f>
        <v/>
      </c>
      <c r="DK17" s="395">
        <f t="array" ref="DK17">IFERROR(IF(AND(INDEX($E$8:$CE$57, MATCH($C17, $C$8:$C$57, 0), (COLUMNS($DC17:DK17)-1)*5 + 1) = INDEX($E$5:$CE$5, 1, (COLUMNS($DC17:DK17)-1)*5 + 1), INDEX($E$8:$CE$57, MATCH($C17, $C$8:$C$57, 0), (COLUMNS($DC17:DK17)-1)*5 + 4) = "F"), INDEX($CZ$8:$CZ$23, COLUMNS($DC17:DK17)), "0"), "")</f>
        <v/>
      </c>
      <c r="DL17" s="395">
        <f t="array" ref="DL17">IFERROR(IF(AND(INDEX($E$8:$CE$57, MATCH($C17, $C$8:$C$57, 0), (COLUMNS($DC17:DL17)-1)*5 + 1) = INDEX($E$5:$CE$5, 1, (COLUMNS($DC17:DL17)-1)*5 + 1), INDEX($E$8:$CE$57, MATCH($C17, $C$8:$C$57, 0), (COLUMNS($DC17:DL17)-1)*5 + 4) = "F"), INDEX($CZ$8:$CZ$23, COLUMNS($DC17:DL17)), "0"), "")</f>
        <v/>
      </c>
      <c r="DM17" s="395">
        <f t="array" ref="DM17">IFERROR(IF(AND(INDEX($E$8:$CE$57, MATCH($C17, $C$8:$C$57, 0), (COLUMNS($DC17:DM17)-1)*5 + 1) = INDEX($E$5:$CE$5, 1, (COLUMNS($DC17:DM17)-1)*5 + 1), INDEX($E$8:$CE$57, MATCH($C17, $C$8:$C$57, 0), (COLUMNS($DC17:DM17)-1)*5 + 4) = "F"), INDEX($CZ$8:$CZ$23, COLUMNS($DC17:DM17)), "0"), "")</f>
        <v/>
      </c>
      <c r="DN17" s="395">
        <f t="array" ref="DN17">IFERROR(IF(AND(INDEX($E$8:$CE$57, MATCH($C17, $C$8:$C$57, 0), (COLUMNS($DC17:DN17)-1)*5 + 1) = INDEX($E$5:$CE$5, 1, (COLUMNS($DC17:DN17)-1)*5 + 1), INDEX($E$8:$CE$57, MATCH($C17, $C$8:$C$57, 0), (COLUMNS($DC17:DN17)-1)*5 + 4) = "F"), INDEX($CZ$8:$CZ$23, COLUMNS($DC17:DN17)), "0"), "")</f>
        <v/>
      </c>
      <c r="DO17" s="395">
        <f t="array" ref="DO17">IFERROR(IF(AND(INDEX($E$8:$CE$57, MATCH($C17, $C$8:$C$57, 0), (COLUMNS($DC17:DO17)-1)*5 + 1) = INDEX($E$5:$CE$5, 1, (COLUMNS($DC17:DO17)-1)*5 + 1), INDEX($E$8:$CE$57, MATCH($C17, $C$8:$C$57, 0), (COLUMNS($DC17:DO17)-1)*5 + 4) = "F"), INDEX($CZ$8:$CZ$23, COLUMNS($DC17:DO17)), "0"), "")</f>
        <v/>
      </c>
      <c r="DP17" s="395">
        <f t="array" ref="DP17">IFERROR(IF(AND(INDEX($E$8:$CE$57, MATCH($C17, $C$8:$C$57, 0), (COLUMNS($DC17:DP17)-1)*5 + 1) = INDEX($E$5:$CE$5, 1, (COLUMNS($DC17:DP17)-1)*5 + 1), INDEX($E$8:$CE$57, MATCH($C17, $C$8:$C$57, 0), (COLUMNS($DC17:DP17)-1)*5 + 4) = "F"), INDEX($CZ$8:$CZ$23, COLUMNS($DC17:DP17)), "0"), "")</f>
        <v/>
      </c>
      <c r="DQ17" s="395">
        <f t="array" ref="DQ17">IFERROR(IF(AND(INDEX($E$8:$CE$57, MATCH($C17, $C$8:$C$57, 0), (COLUMNS($DC17:DQ17)-1)*5 + 1) = INDEX($E$5:$CE$5, 1, (COLUMNS($DC17:DQ17)-1)*5 + 1), INDEX($E$8:$CE$57, MATCH($C17, $C$8:$C$57, 0), (COLUMNS($DC17:DQ17)-1)*5 + 4) = "F"), INDEX($CZ$8:$CZ$23, COLUMNS($DC17:DQ17)), "0"), "")</f>
        <v/>
      </c>
      <c r="DR17" s="395">
        <f t="array" ref="DR17">IFERROR(IF(AND(INDEX($E$8:$CE$57, MATCH($C17, $C$8:$C$57, 0), (COLUMNS($DC17:DR17)-1)*5 + 1) = INDEX($E$5:$CE$5, 1, (COLUMNS($DC17:DR17)-1)*5 + 1), INDEX($E$8:$CE$57, MATCH($C17, $C$8:$C$57, 0), (COLUMNS($DC17:DR17)-1)*5 + 4) = "F"), INDEX($CZ$8:$CZ$23, COLUMNS($DC17:DR17)), "0"), "")</f>
        <v/>
      </c>
      <c r="DT17" s="605">
        <f>SEMANA29[[#This Row],[COD]]</f>
        <v/>
      </c>
      <c r="DU17" s="395">
        <f t="array" ref="DU17">IFERROR(IF(AND(INDEX($E$8:$CE$57, MATCH($C17, $C$8:$C$57, 0), (COLUMNS($DU17:DU17)-1)*5 + 1) = INDEX($E$5:$CE$5, 1, (COLUMNS($DU17:DU17)-1)*5 + 1), INDEX($E$8:$CE$57, MATCH($C17, $C$8:$C$57, 0), (COLUMNS($DU17:DU17)-1)*5 + 4) = "SF"), INDEX($CZ$8:$CZ$23, COLUMNS($DU17:DU17)), "0"), "")</f>
        <v/>
      </c>
      <c r="DV17" s="395">
        <f t="array" ref="DV17">IFERROR(IF(AND(INDEX($E$8:$CE$57, MATCH($C17, $C$8:$C$57, 0), (COLUMNS($DU17:DV17)-1)*5 + 1) = INDEX($E$5:$CE$5, 1, (COLUMNS($DU17:DV17)-1)*5 + 1), INDEX($E$8:$CE$57, MATCH($C17, $C$8:$C$57, 0), (COLUMNS($DU17:DV17)-1)*5 + 4) = "SF"), INDEX($CZ$8:$CZ$23, COLUMNS($DU17:DV17)), "0"), "")</f>
        <v/>
      </c>
      <c r="DW17" s="395">
        <f t="array" ref="DW17">IFERROR(IF(AND(INDEX($E$8:$CE$57, MATCH($C17, $C$8:$C$57, 0), (COLUMNS($DU17:DW17)-1)*5 + 1) = INDEX($E$5:$CE$5, 1, (COLUMNS($DU17:DW17)-1)*5 + 1), INDEX($E$8:$CE$57, MATCH($C17, $C$8:$C$57, 0), (COLUMNS($DU17:DW17)-1)*5 + 4) = "SF"), INDEX($CZ$8:$CZ$23, COLUMNS($DU17:DW17)), "0"), "")</f>
        <v/>
      </c>
      <c r="DX17" s="395">
        <f t="array" ref="DX17">IFERROR(IF(AND(INDEX($E$8:$CE$57, MATCH($C17, $C$8:$C$57, 0), (COLUMNS($DU17:DX17)-1)*5 + 1) = INDEX($E$5:$CE$5, 1, (COLUMNS($DU17:DX17)-1)*5 + 1), INDEX($E$8:$CE$57, MATCH($C17, $C$8:$C$57, 0), (COLUMNS($DU17:DX17)-1)*5 + 4) = "SF"), INDEX($CZ$8:$CZ$23, COLUMNS($DU17:DX17)), "0"), "")</f>
        <v/>
      </c>
      <c r="DY17" s="395">
        <f t="array" ref="DY17">IFERROR(IF(AND(INDEX($E$8:$CE$57, MATCH($C17, $C$8:$C$57, 0), (COLUMNS($DU17:DY17)-1)*5 + 1) = INDEX($E$5:$CE$5, 1, (COLUMNS($DU17:DY17)-1)*5 + 1), INDEX($E$8:$CE$57, MATCH($C17, $C$8:$C$57, 0), (COLUMNS($DU17:DY17)-1)*5 + 4) = "SF"), INDEX($CZ$8:$CZ$23, COLUMNS($DU17:DY17)), "0"), "")</f>
        <v/>
      </c>
      <c r="DZ17" s="395">
        <f t="array" ref="DZ17">IFERROR(IF(AND(INDEX($E$8:$CE$57, MATCH($C17, $C$8:$C$57, 0), (COLUMNS($DU17:DZ17)-1)*5 + 1) = INDEX($E$5:$CE$5, 1, (COLUMNS($DU17:DZ17)-1)*5 + 1), INDEX($E$8:$CE$57, MATCH($C17, $C$8:$C$57, 0), (COLUMNS($DU17:DZ17)-1)*5 + 4) = "SF"), INDEX($CZ$8:$CZ$23, COLUMNS($DU17:DZ17)), "0"), "")</f>
        <v/>
      </c>
      <c r="EA17" s="395">
        <f t="array" ref="EA17">IFERROR(IF(AND(INDEX($E$8:$CE$57, MATCH($C17, $C$8:$C$57, 0), (COLUMNS($DU17:EA17)-1)*5 + 1) = INDEX($E$5:$CE$5, 1, (COLUMNS($DU17:EA17)-1)*5 + 1), INDEX($E$8:$CE$57, MATCH($C17, $C$8:$C$57, 0), (COLUMNS($DU17:EA17)-1)*5 + 4) = "SF"), INDEX($CZ$8:$CZ$23, COLUMNS($DU17:EA17)), "0"), "")</f>
        <v/>
      </c>
      <c r="EB17" s="395">
        <f t="array" ref="EB17">IFERROR(IF(AND(INDEX($E$8:$CE$57, MATCH($C17, $C$8:$C$57, 0), (COLUMNS($DU17:EB17)-1)*5 + 1) = INDEX($E$5:$CE$5, 1, (COLUMNS($DU17:EB17)-1)*5 + 1), INDEX($E$8:$CE$57, MATCH($C17, $C$8:$C$57, 0), (COLUMNS($DU17:EB17)-1)*5 + 4) = "SF"), INDEX($CZ$8:$CZ$23, COLUMNS($DU17:EB17)), "0"), "")</f>
        <v/>
      </c>
      <c r="EC17" s="395">
        <f t="array" ref="EC17">IFERROR(IF(AND(INDEX($E$8:$CE$57, MATCH($C17, $C$8:$C$57, 0), (COLUMNS($DU17:EC17)-1)*5 + 1) = INDEX($E$5:$CE$5, 1, (COLUMNS($DU17:EC17)-1)*5 + 1), INDEX($E$8:$CE$57, MATCH($C17, $C$8:$C$57, 0), (COLUMNS($DU17:EC17)-1)*5 + 4) = "SF"), INDEX($CZ$8:$CZ$23, COLUMNS($DU17:EC17)), "0"), "")</f>
        <v/>
      </c>
      <c r="ED17" s="395">
        <f t="array" ref="ED17">IFERROR(IF(AND(INDEX($E$8:$CE$57, MATCH($C17, $C$8:$C$57, 0), (COLUMNS($DU17:ED17)-1)*5 + 1) = INDEX($E$5:$CE$5, 1, (COLUMNS($DU17:ED17)-1)*5 + 1), INDEX($E$8:$CE$57, MATCH($C17, $C$8:$C$57, 0), (COLUMNS($DU17:ED17)-1)*5 + 4) = "SF"), INDEX($CZ$8:$CZ$23, COLUMNS($DU17:ED17)), "0"), "")</f>
        <v/>
      </c>
      <c r="EE17" s="395">
        <f t="array" ref="EE17">IFERROR(IF(AND(INDEX($E$8:$CE$57, MATCH($C17, $C$8:$C$57, 0), (COLUMNS($DU17:EE17)-1)*5 + 1) = INDEX($E$5:$CE$5, 1, (COLUMNS($DU17:EE17)-1)*5 + 1), INDEX($E$8:$CE$57, MATCH($C17, $C$8:$C$57, 0), (COLUMNS($DU17:EE17)-1)*5 + 4) = "SF"), INDEX($CZ$8:$CZ$23, COLUMNS($DU17:EE17)), "0"), "")</f>
        <v/>
      </c>
      <c r="EF17" s="395">
        <f t="array" ref="EF17">IFERROR(IF(AND(INDEX($E$8:$CE$57, MATCH($C17, $C$8:$C$57, 0), (COLUMNS($DU17:EF17)-1)*5 + 1) = INDEX($E$5:$CE$5, 1, (COLUMNS($DU17:EF17)-1)*5 + 1), INDEX($E$8:$CE$57, MATCH($C17, $C$8:$C$57, 0), (COLUMNS($DU17:EF17)-1)*5 + 4) = "SF"), INDEX($CZ$8:$CZ$23, COLUMNS($DU17:EF17)), "0"), "")</f>
        <v/>
      </c>
      <c r="EG17" s="395">
        <f t="array" ref="EG17">IFERROR(IF(AND(INDEX($E$8:$CE$57, MATCH($C17, $C$8:$C$57, 0), (COLUMNS($DU17:EG17)-1)*5 + 1) = INDEX($E$5:$CE$5, 1, (COLUMNS($DU17:EG17)-1)*5 + 1), INDEX($E$8:$CE$57, MATCH($C17, $C$8:$C$57, 0), (COLUMNS($DU17:EG17)-1)*5 + 4) = "SF"), INDEX($CZ$8:$CZ$23, COLUMNS($DU17:EG17)), "0"), "")</f>
        <v/>
      </c>
      <c r="EH17" s="395">
        <f t="array" ref="EH17">IFERROR(IF(AND(INDEX($E$8:$CE$57, MATCH($C17, $C$8:$C$57, 0), (COLUMNS($DU17:EH17)-1)*5 + 1) = INDEX($E$5:$CE$5, 1, (COLUMNS($DU17:EH17)-1)*5 + 1), INDEX($E$8:$CE$57, MATCH($C17, $C$8:$C$57, 0), (COLUMNS($DU17:EH17)-1)*5 + 4) = "SF"), INDEX($CZ$8:$CZ$23, COLUMNS($DU17:EH17)), "0"), "")</f>
        <v/>
      </c>
      <c r="EI17" s="395">
        <f t="array" ref="EI17">IFERROR(IF(AND(INDEX($E$8:$CE$57, MATCH($C17, $C$8:$C$57, 0), (COLUMNS($DU17:EI17)-1)*5 + 1) = INDEX($E$5:$CE$5, 1, (COLUMNS($DU17:EI17)-1)*5 + 1), INDEX($E$8:$CE$57, MATCH($C17, $C$8:$C$57, 0), (COLUMNS($DU17:EI17)-1)*5 + 4) = "SF"), INDEX($CZ$8:$CZ$23, COLUMNS($DU17:EI17)), "0"), "")</f>
        <v/>
      </c>
      <c r="EJ17" s="395">
        <f t="array" ref="EJ17">IFERROR(IF(AND(INDEX($E$8:$CE$57, MATCH($C17, $C$8:$C$57, 0), (COLUMNS($DU17:EJ17)-1)*5 + 1) = INDEX($E$5:$CE$5, 1, (COLUMNS($DU17:EJ17)-1)*5 + 1), INDEX($E$8:$CE$57, MATCH($C17, $C$8:$C$57, 0), (COLUMNS($DU17:EJ17)-1)*5 + 4) = "SF"), INDEX($CZ$8:$CZ$23, COLUMNS($DU17:EJ17)), "0"), "")</f>
        <v/>
      </c>
    </row>
    <row r="18" ht="20.1" customHeight="1" s="568">
      <c r="A18" s="576" t="n"/>
      <c r="B18" s="449">
        <f>IF(SEMANA29[[#This Row],[COD]]&lt;&gt;"",B17+1,"")</f>
        <v/>
      </c>
      <c r="C18" s="622" t="inlineStr">
        <is>
          <t>COD 11</t>
        </is>
      </c>
      <c r="D18" s="415">
        <f t="array" ref="D18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8" s="416" t="n"/>
      <c r="F18" s="416" t="n"/>
      <c r="G18" s="416" t="n"/>
      <c r="H18" s="416" t="n"/>
      <c r="I18" s="602">
        <f>SUM(IF(E18=E$5,4,0),IF(E18&amp;F18=E$5&amp;F$5,1,0),
IF(AND(E18=E$5,F$6&gt;=$D$115),1,0),
IF(AND(F18=E$5,F$6&gt;=$D$115),1,0),
IF(AND(G18=E$5,F$6&gt;=$D$115),1,0),
IF(E18&amp;H18=I$5,1,0),
IF(F18=E$5,2,0),
IF(G18=E$5,1,0),
IF(OR(E18&amp;F18&amp;G18=E$5&amp;F$5&amp;G$5,E18&amp;F18&amp;G18=E$5&amp;G$5&amp;F$5,E18&amp;F18&amp;G18=F$5&amp;E$5&amp;G$5,E18&amp;F18&amp;G18=F$5&amp;G$5&amp;E$5,E18&amp;F18&amp;G18=G$5&amp;E$5&amp;F$5,E18&amp;F18&amp;G18=G$5&amp;F$5&amp;E$5),2,0),IF(AND(E18=E$5,F$6&gt;=$D$129),1,0),IF(AND(F18=E$5,F$6&gt;=$D$129),1,0),IF(AND(G18=E$5,F$6&gt;=$D$129),1,0),IF(E18&amp;H18=H$5,4,0),IF(AND(E18=E$5,F$6&lt;=$D$104),-0.5,0),IF(AND(F18=E$5,F$6&lt;=$D$104),-0.5,0),IF(AND(G18=E$5,F$6&lt;=$D$104),-0.5,0))</f>
        <v/>
      </c>
      <c r="J18" s="416" t="n"/>
      <c r="K18" s="416" t="n"/>
      <c r="L18" s="416" t="n"/>
      <c r="M18" s="416" t="n"/>
      <c r="N18" s="602">
        <f>SUM(IF(J18=J$5,4,0),IF(J18&amp;K18=J$5&amp;K$5,1,0),
IF(AND(J18=J$5,K$6&gt;=$D$115),1,0),
IF(AND(K18=J$5,K$6&gt;=$D$115),1,0),
IF(AND(L18=J$5,K$6&gt;=$D$115),1,0),
IF(J18&amp;M18=N$5,1,0),
IF(K18=J$5,2,0),
IF(L18=J$5,1,0),
IF(OR(J18&amp;K18&amp;L18=J$5&amp;K$5&amp;L$5,J18&amp;K18&amp;L18=J$5&amp;L$5&amp;K$5,J18&amp;K18&amp;L18=K$5&amp;J$5&amp;L$5,J18&amp;K18&amp;L18=K$5&amp;L$5&amp;J$5,J18&amp;K18&amp;L18=L$5&amp;J$5&amp;K$5,J18&amp;K18&amp;L18=L$5&amp;K$5&amp;J$5),2,0),IF(AND(J18=J$5,K$6&gt;=$D$129),1,0),IF(AND(K18=J$5,K$6&gt;=$D$129),1,0),IF(AND(L18=J$5,K$6&gt;=$D$129),1,0),IF(J18&amp;M18=M$5,4,0),IF(AND(J18=J$5,K$6&lt;=$D$104),-0.5,0),IF(AND(K18=J$5,K$6&lt;=$D$104),-0.5,0),IF(AND(L18=J$5,K$6&lt;=$D$104),-0.5,0))</f>
        <v/>
      </c>
      <c r="O18" s="416" t="n"/>
      <c r="P18" s="416" t="n"/>
      <c r="Q18" s="416" t="n"/>
      <c r="R18" s="416" t="n"/>
      <c r="S18" s="602">
        <f>SUM(IF(O18=O$5,4,0),IF(O18&amp;P18=O$5&amp;P$5,1,0),
IF(AND(O18=O$5,P$6&gt;=$D$115),1,0),
IF(AND(P18=O$5,P$6&gt;=$D$115),1,0),
IF(AND(Q18=O$5,P$6&gt;=$D$115),1,0),
IF(O18&amp;R18=S$5,1,0),
IF(P18=O$5,2,0),
IF(Q18=O$5,1,0),
IF(OR(O18&amp;P18&amp;Q18=O$5&amp;P$5&amp;Q$5,O18&amp;P18&amp;Q18=O$5&amp;Q$5&amp;P$5,O18&amp;P18&amp;Q18=P$5&amp;O$5&amp;Q$5,O18&amp;P18&amp;Q18=P$5&amp;Q$5&amp;O$5,O18&amp;P18&amp;Q18=Q$5&amp;O$5&amp;P$5,O18&amp;P18&amp;Q18=Q$5&amp;P$5&amp;O$5),2,0),IF(AND(O18=O$5,P$6&gt;=$D$129),1,0),IF(AND(P18=O$5,P$6&gt;=$D$129),1,0),IF(AND(Q18=O$5,P$6&gt;=$D$129),1,0),IF(O18&amp;R18=R$5,4,0),IF(AND(O18=O$5,P$6&lt;=$D$104),-0.5,0),IF(AND(P18=O$5,P$6&lt;=$D$104),-0.5,0),IF(AND(Q18=O$5,P$6&lt;=$D$104),-0.5,0))</f>
        <v/>
      </c>
      <c r="T18" s="416" t="n"/>
      <c r="U18" s="416" t="n"/>
      <c r="V18" s="416" t="n"/>
      <c r="W18" s="416" t="n"/>
      <c r="X18" s="602">
        <f>SUM(IF(T18=T$5,4,0),IF(T18&amp;U18=T$5&amp;U$5,1,0),
IF(AND(T18=T$5,U$6&gt;=$D$115),1,0),
IF(AND(U18=T$5,U$6&gt;=$D$115),1,0),
IF(AND(V18=T$5,U$6&gt;=$D$115),1,0),
IF(T18&amp;W18=X$5,1,0),
IF(U18=T$5,2,0),
IF(V18=T$5,1,0),
IF(OR(T18&amp;U18&amp;V18=T$5&amp;U$5&amp;V$5,T18&amp;U18&amp;V18=T$5&amp;V$5&amp;U$5,T18&amp;U18&amp;V18=U$5&amp;T$5&amp;V$5,T18&amp;U18&amp;V18=U$5&amp;V$5&amp;T$5,T18&amp;U18&amp;V18=V$5&amp;T$5&amp;U$5,T18&amp;U18&amp;V18=V$5&amp;U$5&amp;T$5),2,0),IF(AND(T18=T$5,U$6&gt;=$D$129),1,0),IF(AND(U18=T$5,U$6&gt;=$D$129),1,0),IF(AND(V18=T$5,U$6&gt;=$D$129),1,0),IF(T18&amp;W18=W$5,4,0),IF(AND(T18=T$5,U$6&lt;=$D$104),-0.5,0),IF(AND(U18=T$5,U$6&lt;=$D$104),-0.5,0),IF(AND(V18=T$5,U$6&lt;=$D$104),-0.5,0))</f>
        <v/>
      </c>
      <c r="Y18" s="416" t="n"/>
      <c r="Z18" s="416" t="n"/>
      <c r="AA18" s="416" t="n"/>
      <c r="AB18" s="416" t="n"/>
      <c r="AC18" s="602">
        <f>SUM(IF(Y18=Y$5,4,0),IF(Y18&amp;Z18=Y$5&amp;Z$5,1,0),
IF(AND(Y18=Y$5,Z$6&gt;=$D$115),1,0),
IF(AND(Z18=Y$5,Z$6&gt;=$D$115),1,0),
IF(AND(AA18=Y$5,Z$6&gt;=$D$115),1,0),
IF(Y18&amp;AB18=AC$5,1,0),
IF(Z18=Y$5,2,0),
IF(AA18=Y$5,1,0),
IF(OR(Y18&amp;Z18&amp;AA18=Y$5&amp;Z$5&amp;AA$5,Y18&amp;Z18&amp;AA18=Y$5&amp;AA$5&amp;Z$5,Y18&amp;Z18&amp;AA18=Z$5&amp;Y$5&amp;AA$5,Y18&amp;Z18&amp;AA18=Z$5&amp;AA$5&amp;Y$5,Y18&amp;Z18&amp;AA18=AA$5&amp;Y$5&amp;Z$5,Y18&amp;Z18&amp;AA18=AA$5&amp;Z$5&amp;Y$5),2,0),IF(AND(Y18=Y$5,Z$6&gt;=$D$129),1,0),IF(AND(Z18=Y$5,Z$6&gt;=$D$129),1,0),IF(AND(AA18=Y$5,Z$6&gt;=$D$129),1,0),IF(Y18&amp;AB18=AB$5,4,0),IF(AND(Y18=Y$5,Z$6&lt;=$D$104),-0.5,0),IF(AND(Z18=Y$5,Z$6&lt;=$D$104),-0.5,0),IF(AND(AA18=Y$5,Z$6&lt;=$D$104),-0.5,0))</f>
        <v/>
      </c>
      <c r="AD18" s="416" t="n"/>
      <c r="AE18" s="416" t="n"/>
      <c r="AF18" s="416" t="n"/>
      <c r="AG18" s="416" t="n"/>
      <c r="AH18" s="602">
        <f>SUM(IF(AD18=AD$5,4,0),IF(AD18&amp;AE18=AD$5&amp;AE$5,1,0),
IF(AND(AD18=AD$5,AE$6&gt;=$D$115),1,0),
IF(AND(AE18=AD$5,AE$6&gt;=$D$115),1,0),
IF(AND(AF18=AD$5,AE$6&gt;=$D$115),1,0),
IF(AD18&amp;AG18=AH$5,1,0),
IF(AE18=AD$5,2,0),
IF(AF18=AD$5,1,0),
IF(OR(AD18&amp;AE18&amp;AF18=AD$5&amp;AE$5&amp;AF$5,AD18&amp;AE18&amp;AF18=AD$5&amp;AF$5&amp;AE$5,AD18&amp;AE18&amp;AF18=AE$5&amp;AD$5&amp;AF$5,AD18&amp;AE18&amp;AF18=AE$5&amp;AF$5&amp;AD$5,AD18&amp;AE18&amp;AF18=AF$5&amp;AD$5&amp;AE$5,AD18&amp;AE18&amp;AF18=AF$5&amp;AE$5&amp;AD$5),2,0),IF(AND(AD18=AD$5,AE$6&gt;=$D$129),1,0),IF(AND(AE18=AD$5,AE$6&gt;=$D$129),1,0),IF(AND(AF18=AD$5,AE$6&gt;=$D$129),1,0),IF(AD18&amp;AG18=AG$5,4,0),IF(AND(AD18=AD$5,AE$6&lt;=$D$104),-0.5,0),IF(AND(AE18=AD$5,AE$6&lt;=$D$104),-0.5,0),IF(AND(AF18=AD$5,AE$6&lt;=$D$104),-0.5,0))</f>
        <v/>
      </c>
      <c r="AI18" s="416" t="n"/>
      <c r="AJ18" s="416" t="n"/>
      <c r="AK18" s="416" t="n"/>
      <c r="AL18" s="416" t="n"/>
      <c r="AM18" s="602">
        <f>SUM(IF(AI18=AI$5,4,0),IF(AI18&amp;AJ18=AI$5&amp;AJ$5,1,0),
IF(AND(AI18=AI$5,AJ$6&gt;=$D$115),1,0),
IF(AND(AJ18=AI$5,AJ$6&gt;=$D$115),1,0),
IF(AND(AK18=AI$5,AJ$6&gt;=$D$115),1,0),
IF(AI18&amp;AL18=AM$5,1,0),
IF(AJ18=AI$5,2,0),
IF(AK18=AI$5,1,0),
IF(OR(AI18&amp;AJ18&amp;AK18=AI$5&amp;AJ$5&amp;AK$5,AI18&amp;AJ18&amp;AK18=AI$5&amp;AK$5&amp;AJ$5,AI18&amp;AJ18&amp;AK18=AJ$5&amp;AI$5&amp;AK$5,AI18&amp;AJ18&amp;AK18=AJ$5&amp;AK$5&amp;AI$5,AI18&amp;AJ18&amp;AK18=AK$5&amp;AI$5&amp;AJ$5,AI18&amp;AJ18&amp;AK18=AK$5&amp;AJ$5&amp;AI$5),2,0),IF(AND(AI18=AI$5,AJ$6&gt;=$D$129),1,0),IF(AND(AJ18=AI$5,AJ$6&gt;=$D$129),1,0),IF(AND(AK18=AI$5,AJ$6&gt;=$D$129),1,0),IF(AI18&amp;AL18=AL$5,4,0),IF(AND(AI18=AI$5,AJ$6&lt;=$D$104),-0.5,0),IF(AND(AJ18=AI$5,AJ$6&lt;=$D$104),-0.5,0),IF(AND(AK18=AI$5,AJ$6&lt;=$D$104),-0.5,0))</f>
        <v/>
      </c>
      <c r="AN18" s="416" t="n"/>
      <c r="AO18" s="416" t="n"/>
      <c r="AP18" s="416" t="n"/>
      <c r="AQ18" s="416" t="n"/>
      <c r="AR18" s="602">
        <f>SUM(IF(AN18=AN$5,4,0),IF(AN18&amp;AO18=AN$5&amp;AO$5,1,0),
IF(AND(AN18=AN$5,AO$6&gt;=$D$115),1,0),
IF(AND(AO18=AN$5,AO$6&gt;=$D$115),1,0),
IF(AND(AP18=AN$5,AO$6&gt;=$D$115),1,0),
IF(AN18&amp;AQ18=AR$5,1,0),
IF(AO18=AN$5,2,0),
IF(AP18=AN$5,1,0),
IF(OR(AN18&amp;AO18&amp;AP18=AN$5&amp;AO$5&amp;AP$5,AN18&amp;AO18&amp;AP18=AN$5&amp;AP$5&amp;AO$5,AN18&amp;AO18&amp;AP18=AO$5&amp;AN$5&amp;AP$5,AN18&amp;AO18&amp;AP18=AO$5&amp;AP$5&amp;AN$5,AN18&amp;AO18&amp;AP18=AP$5&amp;AN$5&amp;AO$5,AN18&amp;AO18&amp;AP18=AP$5&amp;AO$5&amp;AN$5),2,0),IF(AND(AN18=AN$5,AO$6&gt;=$D$129),1,0),IF(AND(AO18=AN$5,AO$6&gt;=$D$129),1,0),IF(AND(AP18=AN$5,AO$6&gt;=$D$129),1,0),IF(AN18&amp;AQ18=AQ$5,4,0),IF(AND(AN18=AN$5,AO$6&lt;=$D$104),-0.5,0),IF(AND(AO18=AN$5,AO$6&lt;=$D$104),-0.5,0),IF(AND(AP18=AN$5,AO$6&lt;=$D$104),-0.5,0))</f>
        <v/>
      </c>
      <c r="AS18" s="416" t="n"/>
      <c r="AT18" s="416" t="n"/>
      <c r="AU18" s="416" t="n"/>
      <c r="AV18" s="416" t="n"/>
      <c r="AW18" s="602">
        <f>SUM(IF(AS18=AS$5,4,0),IF(AS18&amp;AT18=AS$5&amp;AT$5,1,0),
IF(AND(AS18=AS$5,AT$6&gt;=$D$115),1,0),
IF(AND(AT18=AS$5,AT$6&gt;=$D$115),1,0),
IF(AND(AU18=AS$5,AT$6&gt;=$D$115),1,0),
IF(AS18&amp;AV18=AW$5,1,0),
IF(AT18=AS$5,2,0),
IF(AU18=AS$5,1,0),
IF(OR(AS18&amp;AT18&amp;AU18=AS$5&amp;AT$5&amp;AU$5,AS18&amp;AT18&amp;AU18=AS$5&amp;AU$5&amp;AT$5,AS18&amp;AT18&amp;AU18=AT$5&amp;AS$5&amp;AU$5,AS18&amp;AT18&amp;AU18=AT$5&amp;AU$5&amp;AS$5,AS18&amp;AT18&amp;AU18=AU$5&amp;AS$5&amp;AT$5,AS18&amp;AT18&amp;AU18=AU$5&amp;AT$5&amp;AS$5),2,0),IF(AND(AS18=AS$5,AT$6&gt;=$D$129),1,0),IF(AND(AT18=AS$5,AT$6&gt;=$D$129),1,0),IF(AND(AU18=AS$5,AT$6&gt;=$D$129),1,0),IF(AS18&amp;AV18=AV$5,4,0),IF(AND(AS18=AS$5,AT$6&lt;=$D$104),-0.5,0),IF(AND(AT18=AS$5,AT$6&lt;=$D$104),-0.5,0),IF(AND(AU18=AS$5,AT$6&lt;=$D$104),-0.5,0))</f>
        <v/>
      </c>
      <c r="AX18" s="416" t="n"/>
      <c r="AY18" s="416" t="n"/>
      <c r="AZ18" s="416" t="n"/>
      <c r="BA18" s="416" t="n"/>
      <c r="BB18" s="602">
        <f>SUM(IF(AX18=AX$5,4,0),IF(AX18&amp;AY18=AX$5&amp;AY$5,1,0),
IF(AND(AX18=AX$5,AY$6&gt;=$D$115),1,0),
IF(AND(AY18=AX$5,AY$6&gt;=$D$115),1,0),
IF(AND(AZ18=AX$5,AY$6&gt;=$D$115),1,0),
IF(AX18&amp;BA18=BB$5,1,0),
IF(AY18=AX$5,2,0),
IF(AZ18=AX$5,1,0),
IF(OR(AX18&amp;AY18&amp;AZ18=AX$5&amp;AY$5&amp;AZ$5,AX18&amp;AY18&amp;AZ18=AX$5&amp;AZ$5&amp;AY$5,AX18&amp;AY18&amp;AZ18=AY$5&amp;AX$5&amp;AZ$5,AX18&amp;AY18&amp;AZ18=AY$5&amp;AZ$5&amp;AX$5,AX18&amp;AY18&amp;AZ18=AZ$5&amp;AX$5&amp;AY$5,AX18&amp;AY18&amp;AZ18=AZ$5&amp;AY$5&amp;AX$5),2,0),IF(AND(AX18=AX$5,AY$6&gt;=$D$129),1,0),IF(AND(AY18=AX$5,AY$6&gt;=$D$129),1,0),IF(AND(AZ18=AX$5,AY$6&gt;=$D$129),1,0),IF(AX18&amp;BA18=BA$5,4,0),IF(AND(AX18=AX$5,AY$6&lt;=$D$104),-0.5,0),IF(AND(AY18=AX$5,AY$6&lt;=$D$104),-0.5,0),IF(AND(AZ18=AX$5,AY$6&lt;=$D$104),-0.5,0))</f>
        <v/>
      </c>
      <c r="BC18" s="416" t="n"/>
      <c r="BD18" s="416" t="n"/>
      <c r="BE18" s="416" t="n"/>
      <c r="BF18" s="416" t="n"/>
      <c r="BG18" s="602">
        <f>SUM(IF(BC18=BC$5,4,0),IF(BC18&amp;BD18=BC$5&amp;BD$5,1,0),
IF(AND(BC18=BC$5,BD$6&gt;=$D$115),1,0),
IF(AND(BD18=BC$5,BD$6&gt;=$D$115),1,0),
IF(AND(BE18=BC$5,BD$6&gt;=$D$115),1,0),
IF(BC18&amp;BF18=BG$5,1,0),
IF(BD18=BC$5,2,0),
IF(BE18=BC$5,1,0),
IF(OR(BC18&amp;BD18&amp;BE18=BC$5&amp;BD$5&amp;BE$5,BC18&amp;BD18&amp;BE18=BC$5&amp;BE$5&amp;BD$5,BC18&amp;BD18&amp;BE18=BD$5&amp;BC$5&amp;BE$5,BC18&amp;BD18&amp;BE18=BD$5&amp;BE$5&amp;BC$5,BC18&amp;BD18&amp;BE18=BE$5&amp;BC$5&amp;BD$5,BC18&amp;BD18&amp;BE18=BE$5&amp;BD$5&amp;BC$5),2,0),IF(AND(BC18=BC$5,BD$6&gt;=$D$129),1,0),IF(AND(BD18=BC$5,BD$6&gt;=$D$129),1,0),IF(AND(BE18=BC$5,BD$6&gt;=$D$129),1,0),IF(BC18&amp;BF18=BF$5,4,0),IF(AND(BC18=BC$5,BD$6&lt;=$D$104),-0.5,0),IF(AND(BD18=BC$5,BD$6&lt;=$D$104),-0.5,0),IF(AND(BE18=BC$5,BD$6&lt;=$D$104),-0.5,0))</f>
        <v/>
      </c>
      <c r="BH18" s="416" t="n"/>
      <c r="BI18" s="416" t="n"/>
      <c r="BJ18" s="416" t="n"/>
      <c r="BK18" s="416" t="n"/>
      <c r="BL18" s="602">
        <f>SUM(IF(BH18=BH$5,4,0),IF(BH18&amp;BI18=BH$5&amp;BI$5,1,0),
IF(AND(BH18=BH$5,BI$6&gt;=$D$115),1,0),
IF(AND(BI18=BH$5,BI$6&gt;=$D$115),1,0),
IF(AND(BJ18=BH$5,BI$6&gt;=$D$115),1,0),
IF(BH18&amp;BK18=BL$5,1,0),
IF(BI18=BH$5,2,0),
IF(BJ18=BH$5,1,0),
IF(OR(BH18&amp;BI18&amp;BJ18=BH$5&amp;BI$5&amp;BJ$5,BH18&amp;BI18&amp;BJ18=BH$5&amp;BJ$5&amp;BI$5,BH18&amp;BI18&amp;BJ18=BI$5&amp;BH$5&amp;BJ$5,BH18&amp;BI18&amp;BJ18=BI$5&amp;BJ$5&amp;BH$5,BH18&amp;BI18&amp;BJ18=BJ$5&amp;BH$5&amp;BI$5,BH18&amp;BI18&amp;BJ18=BJ$5&amp;BI$5&amp;BH$5),2,0),IF(AND(BH18=BH$5,BI$6&gt;=$D$129),1,0),IF(AND(BI18=BH$5,BI$6&gt;=$D$129),1,0),IF(AND(BJ18=BH$5,BI$6&gt;=$D$129),1,0),IF(BH18&amp;BK18=BK$5,4,0),IF(AND(BH18=BH$5,BI$6&lt;=$D$104),-0.5,0),IF(AND(BI18=BH$5,BI$6&lt;=$D$104),-0.5,0),IF(AND(BJ18=BH$5,BI$6&lt;=$D$104),-0.5,0))</f>
        <v/>
      </c>
      <c r="BM18" s="416" t="n"/>
      <c r="BN18" s="416" t="n"/>
      <c r="BO18" s="416" t="n"/>
      <c r="BP18" s="416" t="n"/>
      <c r="BQ18" s="602">
        <f>SUM(IF(BM18=BM$5,4,0),IF(BM18&amp;BN18=BM$5&amp;BN$5,1,0),
IF(AND(BM18=BM$5,BN$6&gt;=$D$115),1,0),
IF(AND(BN18=BM$5,BN$6&gt;=$D$115),1,0),
IF(AND(BO18=BM$5,BN$6&gt;=$D$115),1,0),
IF(BM18&amp;BP18=BQ$5,1,0),
IF(BN18=BM$5,2,0),
IF(BO18=BM$5,1,0),
IF(OR(BM18&amp;BN18&amp;BO18=BM$5&amp;BN$5&amp;BO$5,BM18&amp;BN18&amp;BO18=BM$5&amp;BO$5&amp;BN$5,BM18&amp;BN18&amp;BO18=BN$5&amp;BM$5&amp;BO$5,BM18&amp;BN18&amp;BO18=BN$5&amp;BO$5&amp;BM$5,BM18&amp;BN18&amp;BO18=BO$5&amp;BM$5&amp;BN$5,BM18&amp;BN18&amp;BO18=BO$5&amp;BN$5&amp;BM$5),2,0),IF(AND(BM18=BM$5,BN$6&gt;=$D$129),1,0),IF(AND(BN18=BM$5,BN$6&gt;=$D$129),1,0),IF(AND(BO18=BM$5,BN$6&gt;=$D$129),1,0),IF(BM18&amp;BP18=BP$5,4,0),IF(AND(BM18=BM$5,BN$6&lt;=$D$104),-0.5,0),IF(AND(BN18=BM$5,BN$6&lt;=$D$104),-0.5,0),IF(AND(BO18=BM$5,BN$6&lt;=$D$104),-0.5,0))</f>
        <v/>
      </c>
      <c r="BR18" s="416" t="n"/>
      <c r="BS18" s="416" t="n"/>
      <c r="BT18" s="416" t="n"/>
      <c r="BU18" s="416" t="n"/>
      <c r="BV18" s="602">
        <f>SUM(IF(BR18=BR$5,4,0),IF(BR18&amp;BS18=BR$5&amp;BS$5,1,0),
IF(AND(BR18=BR$5,BS$6&gt;=$D$115),1,0),
IF(AND(BS18=BR$5,BS$6&gt;=$D$115),1,0),
IF(AND(BT18=BR$5,BS$6&gt;=$D$115),1,0),
IF(BR18&amp;BU18=BV$5,1,0),
IF(BS18=BR$5,2,0),
IF(BT18=BR$5,1,0),
IF(OR(BR18&amp;BS18&amp;BT18=BR$5&amp;BS$5&amp;BT$5,BR18&amp;BS18&amp;BT18=BR$5&amp;BT$5&amp;BS$5,BR18&amp;BS18&amp;BT18=BS$5&amp;BR$5&amp;BT$5,BR18&amp;BS18&amp;BT18=BS$5&amp;BT$5&amp;BR$5,BR18&amp;BS18&amp;BT18=BT$5&amp;BR$5&amp;BS$5,BR18&amp;BS18&amp;BT18=BT$5&amp;BS$5&amp;BR$5),2,0),IF(AND(BR18=BR$5,BS$6&gt;=$D$129),1,0),IF(AND(BS18=BR$5,BS$6&gt;=$D$129),1,0),IF(AND(BT18=BR$5,BS$6&gt;=$D$129),1,0),IF(BR18&amp;BU18=BU$5,4,0),IF(AND(BR18=BR$5,BS$6&lt;=$D$104),-0.5,0),IF(AND(BS18=BR$5,BS$6&lt;=$D$104),-0.5,0),IF(AND(BT18=BR$5,BS$6&lt;=$D$104),-0.5,0))</f>
        <v/>
      </c>
      <c r="BW18" s="416" t="n"/>
      <c r="BX18" s="416" t="n"/>
      <c r="BY18" s="416" t="n"/>
      <c r="BZ18" s="416" t="n"/>
      <c r="CA18" s="602">
        <f>SUM(IF(BW18=BW$5,4,0),IF(BW18&amp;BX18=BW$5&amp;BX$5,1,0),
IF(AND(BW18=BW$5,BX$6&gt;=$D$115),1,0),
IF(AND(BX18=BW$5,BX$6&gt;=$D$115),1,0),
IF(AND(BY18=BW$5,BX$6&gt;=$D$115),1,0),
IF(BW18&amp;BZ18=CA$5,1,0),
IF(BX18=BW$5,2,0),
IF(BY18=BW$5,1,0),
IF(OR(BW18&amp;BX18&amp;BY18=BW$5&amp;BX$5&amp;BY$5,BW18&amp;BX18&amp;BY18=BW$5&amp;BY$5&amp;BX$5,BW18&amp;BX18&amp;BY18=BX$5&amp;BW$5&amp;BY$5,BW18&amp;BX18&amp;BY18=BX$5&amp;BY$5&amp;BW$5,BW18&amp;BX18&amp;BY18=BY$5&amp;BW$5&amp;BX$5,BW18&amp;BX18&amp;BY18=BY$5&amp;BX$5&amp;BW$5),2,0),IF(AND(BW18=BW$5,BX$6&gt;=$D$129),1,0),IF(AND(BX18=BW$5,BX$6&gt;=$D$129),1,0),IF(AND(BY18=BW$5,BX$6&gt;=$D$129),1,0),IF(BW18&amp;BZ18=BZ$5,4,0),IF(AND(BW18=BW$5,BX$6&lt;=$D$104),-0.5,0),IF(AND(BX18=BW$5,BX$6&lt;=$D$104),-0.5,0),IF(AND(BY18=BW$5,BX$6&lt;=$D$104),-0.5,0))</f>
        <v/>
      </c>
      <c r="CB18" s="416" t="n"/>
      <c r="CC18" s="416" t="n"/>
      <c r="CD18" s="416" t="n"/>
      <c r="CE18" s="416" t="n"/>
      <c r="CF18" s="602">
        <f>SUM(IF(CB18=CB$5,4,0),IF(CB18&amp;CC18=CB$5&amp;CC$5,1,0),
IF(AND(CB18=CB$5,CC$6&gt;=$D$115),1,0),
IF(AND(CC18=CB$5,CC$6&gt;=$D$115),1,0),
IF(AND(CD18=CB$5,CC$6&gt;=$D$115),1,0),
IF(CB18&amp;CE18=CF$5,1,0),
IF(CC18=CB$5,2,0),
IF(CD18=CB$5,1,0),
IF(OR(CB18&amp;CC18&amp;CD18=CB$5&amp;CC$5&amp;CD$5,CB18&amp;CC18&amp;CD18=CB$5&amp;CD$5&amp;CC$5,CB18&amp;CC18&amp;CD18=CC$5&amp;CB$5&amp;CD$5,CB18&amp;CC18&amp;CD18=CC$5&amp;CD$5&amp;CB$5,CB18&amp;CC18&amp;CD18=CD$5&amp;CB$5&amp;CC$5,CB18&amp;CC18&amp;CD18=CD$5&amp;CC$5&amp;CB$5),2,0),IF(AND(CB18=CB$5,CC$6&gt;=$D$129),1,0),IF(AND(CC18=CB$5,CC$6&gt;=$D$129),1,0),IF(AND(CD18=CB$5,CC$6&gt;=$D$129),1,0),IF(CB18&amp;CE18=CE$5,4,0),IF(AND(CB18=CB$5,CC$6&lt;=$D$104),-0.5,0),IF(AND(CC18=CB$5,CC$6&lt;=$D$104),-0.5,0),IF(AND(CD18=CB$5,CC$6&lt;=$D$104),-0.5,0))</f>
        <v/>
      </c>
      <c r="CG18" s="164">
        <f>IF(SEMANA29[[#This Row],[1]]="",0,$B$4)</f>
        <v/>
      </c>
      <c r="CH18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8" s="166">
        <f>IF(SEMANA29[[#This Row],[Columna14]]=0,0,(CH18/CG18))</f>
        <v/>
      </c>
      <c r="CJ18" s="165">
        <f>IF(SEMANA29[[#This Row],[1]]="",0,$B$4)</f>
        <v/>
      </c>
      <c r="CK18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8" s="166">
        <f>IF(SEMANA29[[#This Row],[Columna14]]=0,0,(CK18/CJ18))</f>
        <v/>
      </c>
      <c r="CM18" s="164">
        <f>IF(SEMANA29[[#This Row],[1]]="",0,$B$4)</f>
        <v/>
      </c>
      <c r="CN18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8" s="166">
        <f>IF(SEMANA29[[#This Row],[Columna14]]=0,0,(CN18/CM18))</f>
        <v/>
      </c>
      <c r="CP18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8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8" s="166">
        <f>IFERROR(IF(SEMANA29[[#This Row],[Columna14]]=0,0,(CQ18/CP18)),0)</f>
        <v/>
      </c>
      <c r="CS18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8" s="95">
        <f>_xlfn.XLOOKUP(SEMANA29[[#This Row],[COD]],SEMANA2[COD],SEMANA2[Columna33])</f>
        <v/>
      </c>
      <c r="CU18" s="604">
        <f>SUM(CS18,CT18)</f>
        <v/>
      </c>
      <c r="CV18" s="450">
        <f>IF(SEMANA29[[#This Row],[TIPO]]="PREMIO",$O$3,"0,00")</f>
        <v/>
      </c>
      <c r="CW18" s="576" t="n"/>
      <c r="CY18" s="393" t="n">
        <v>11</v>
      </c>
      <c r="CZ18" s="354">
        <f>BD$6</f>
        <v/>
      </c>
      <c r="DB18" s="605">
        <f>SEMANA29[[#This Row],[COD]]</f>
        <v/>
      </c>
      <c r="DC18" s="395">
        <f t="array" ref="DC18">IFERROR(IF(AND(INDEX($E$8:$CE$57, MATCH($C18, $C$8:$C$57, 0), (COLUMNS($DC18:DC18)-1)*5 + 1) = INDEX($E$5:$CE$5, 1, (COLUMNS($DC18:DC18)-1)*5 + 1), INDEX($E$8:$CE$57, MATCH($C18, $C$8:$C$57, 0), (COLUMNS($DC18:DC18)-1)*5 + 4) = "F"), INDEX($CZ$8:$CZ$23, COLUMNS($DC18:DC18)), "0"), "")</f>
        <v/>
      </c>
      <c r="DD18" s="395">
        <f t="array" ref="DD18">IFERROR(IF(AND(INDEX($E$8:$CE$57, MATCH($C18, $C$8:$C$57, 0), (COLUMNS($DC18:DD18)-1)*5 + 1) = INDEX($E$5:$CE$5, 1, (COLUMNS($DC18:DD18)-1)*5 + 1), INDEX($E$8:$CE$57, MATCH($C18, $C$8:$C$57, 0), (COLUMNS($DC18:DD18)-1)*5 + 4) = "F"), INDEX($CZ$8:$CZ$23, COLUMNS($DC18:DD18)), "0"), "")</f>
        <v/>
      </c>
      <c r="DE18" s="395">
        <f t="array" ref="DE18">IFERROR(IF(AND(INDEX($E$8:$CE$57, MATCH($C18, $C$8:$C$57, 0), (COLUMNS($DC18:DE18)-1)*5 + 1) = INDEX($E$5:$CE$5, 1, (COLUMNS($DC18:DE18)-1)*5 + 1), INDEX($E$8:$CE$57, MATCH($C18, $C$8:$C$57, 0), (COLUMNS($DC18:DE18)-1)*5 + 4) = "F"), INDEX($CZ$8:$CZ$23, COLUMNS($DC18:DE18)), "0"), "")</f>
        <v/>
      </c>
      <c r="DF18" s="395">
        <f t="array" ref="DF18">IFERROR(IF(AND(INDEX($E$8:$CE$57, MATCH($C18, $C$8:$C$57, 0), (COLUMNS($DC18:DF18)-1)*5 + 1) = INDEX($E$5:$CE$5, 1, (COLUMNS($DC18:DF18)-1)*5 + 1), INDEX($E$8:$CE$57, MATCH($C18, $C$8:$C$57, 0), (COLUMNS($DC18:DF18)-1)*5 + 4) = "F"), INDEX($CZ$8:$CZ$23, COLUMNS($DC18:DF18)), "0"), "")</f>
        <v/>
      </c>
      <c r="DG18" s="395">
        <f t="array" ref="DG18">IFERROR(IF(AND(INDEX($E$8:$CE$57, MATCH($C18, $C$8:$C$57, 0), (COLUMNS($DC18:DG18)-1)*5 + 1) = INDEX($E$5:$CE$5, 1, (COLUMNS($DC18:DG18)-1)*5 + 1), INDEX($E$8:$CE$57, MATCH($C18, $C$8:$C$57, 0), (COLUMNS($DC18:DG18)-1)*5 + 4) = "F"), INDEX($CZ$8:$CZ$23, COLUMNS($DC18:DG18)), "0"), "")</f>
        <v/>
      </c>
      <c r="DH18" s="395">
        <f t="array" ref="DH18">IFERROR(IF(AND(INDEX($E$8:$CE$57, MATCH($C18, $C$8:$C$57, 0), (COLUMNS($DC18:DH18)-1)*5 + 1) = INDEX($E$5:$CE$5, 1, (COLUMNS($DC18:DH18)-1)*5 + 1), INDEX($E$8:$CE$57, MATCH($C18, $C$8:$C$57, 0), (COLUMNS($DC18:DH18)-1)*5 + 4) = "F"), INDEX($CZ$8:$CZ$23, COLUMNS($DC18:DH18)), "0"), "")</f>
        <v/>
      </c>
      <c r="DI18" s="395">
        <f t="array" ref="DI18">IFERROR(IF(AND(INDEX($E$8:$CE$57, MATCH($C18, $C$8:$C$57, 0), (COLUMNS($DC18:DI18)-1)*5 + 1) = INDEX($E$5:$CE$5, 1, (COLUMNS($DC18:DI18)-1)*5 + 1), INDEX($E$8:$CE$57, MATCH($C18, $C$8:$C$57, 0), (COLUMNS($DC18:DI18)-1)*5 + 4) = "F"), INDEX($CZ$8:$CZ$23, COLUMNS($DC18:DI18)), "0"), "")</f>
        <v/>
      </c>
      <c r="DJ18" s="395">
        <f t="array" ref="DJ18">IFERROR(IF(AND(INDEX($E$8:$CE$57, MATCH($C18, $C$8:$C$57, 0), (COLUMNS($DC18:DJ18)-1)*5 + 1) = INDEX($E$5:$CE$5, 1, (COLUMNS($DC18:DJ18)-1)*5 + 1), INDEX($E$8:$CE$57, MATCH($C18, $C$8:$C$57, 0), (COLUMNS($DC18:DJ18)-1)*5 + 4) = "F"), INDEX($CZ$8:$CZ$23, COLUMNS($DC18:DJ18)), "0"), "")</f>
        <v/>
      </c>
      <c r="DK18" s="395">
        <f t="array" ref="DK18">IFERROR(IF(AND(INDEX($E$8:$CE$57, MATCH($C18, $C$8:$C$57, 0), (COLUMNS($DC18:DK18)-1)*5 + 1) = INDEX($E$5:$CE$5, 1, (COLUMNS($DC18:DK18)-1)*5 + 1), INDEX($E$8:$CE$57, MATCH($C18, $C$8:$C$57, 0), (COLUMNS($DC18:DK18)-1)*5 + 4) = "F"), INDEX($CZ$8:$CZ$23, COLUMNS($DC18:DK18)), "0"), "")</f>
        <v/>
      </c>
      <c r="DL18" s="395">
        <f t="array" ref="DL18">IFERROR(IF(AND(INDEX($E$8:$CE$57, MATCH($C18, $C$8:$C$57, 0), (COLUMNS($DC18:DL18)-1)*5 + 1) = INDEX($E$5:$CE$5, 1, (COLUMNS($DC18:DL18)-1)*5 + 1), INDEX($E$8:$CE$57, MATCH($C18, $C$8:$C$57, 0), (COLUMNS($DC18:DL18)-1)*5 + 4) = "F"), INDEX($CZ$8:$CZ$23, COLUMNS($DC18:DL18)), "0"), "")</f>
        <v/>
      </c>
      <c r="DM18" s="395">
        <f t="array" ref="DM18">IFERROR(IF(AND(INDEX($E$8:$CE$57, MATCH($C18, $C$8:$C$57, 0), (COLUMNS($DC18:DM18)-1)*5 + 1) = INDEX($E$5:$CE$5, 1, (COLUMNS($DC18:DM18)-1)*5 + 1), INDEX($E$8:$CE$57, MATCH($C18, $C$8:$C$57, 0), (COLUMNS($DC18:DM18)-1)*5 + 4) = "F"), INDEX($CZ$8:$CZ$23, COLUMNS($DC18:DM18)), "0"), "")</f>
        <v/>
      </c>
      <c r="DN18" s="395">
        <f t="array" ref="DN18">IFERROR(IF(AND(INDEX($E$8:$CE$57, MATCH($C18, $C$8:$C$57, 0), (COLUMNS($DC18:DN18)-1)*5 + 1) = INDEX($E$5:$CE$5, 1, (COLUMNS($DC18:DN18)-1)*5 + 1), INDEX($E$8:$CE$57, MATCH($C18, $C$8:$C$57, 0), (COLUMNS($DC18:DN18)-1)*5 + 4) = "F"), INDEX($CZ$8:$CZ$23, COLUMNS($DC18:DN18)), "0"), "")</f>
        <v/>
      </c>
      <c r="DO18" s="395">
        <f t="array" ref="DO18">IFERROR(IF(AND(INDEX($E$8:$CE$57, MATCH($C18, $C$8:$C$57, 0), (COLUMNS($DC18:DO18)-1)*5 + 1) = INDEX($E$5:$CE$5, 1, (COLUMNS($DC18:DO18)-1)*5 + 1), INDEX($E$8:$CE$57, MATCH($C18, $C$8:$C$57, 0), (COLUMNS($DC18:DO18)-1)*5 + 4) = "F"), INDEX($CZ$8:$CZ$23, COLUMNS($DC18:DO18)), "0"), "")</f>
        <v/>
      </c>
      <c r="DP18" s="395">
        <f t="array" ref="DP18">IFERROR(IF(AND(INDEX($E$8:$CE$57, MATCH($C18, $C$8:$C$57, 0), (COLUMNS($DC18:DP18)-1)*5 + 1) = INDEX($E$5:$CE$5, 1, (COLUMNS($DC18:DP18)-1)*5 + 1), INDEX($E$8:$CE$57, MATCH($C18, $C$8:$C$57, 0), (COLUMNS($DC18:DP18)-1)*5 + 4) = "F"), INDEX($CZ$8:$CZ$23, COLUMNS($DC18:DP18)), "0"), "")</f>
        <v/>
      </c>
      <c r="DQ18" s="395">
        <f t="array" ref="DQ18">IFERROR(IF(AND(INDEX($E$8:$CE$57, MATCH($C18, $C$8:$C$57, 0), (COLUMNS($DC18:DQ18)-1)*5 + 1) = INDEX($E$5:$CE$5, 1, (COLUMNS($DC18:DQ18)-1)*5 + 1), INDEX($E$8:$CE$57, MATCH($C18, $C$8:$C$57, 0), (COLUMNS($DC18:DQ18)-1)*5 + 4) = "F"), INDEX($CZ$8:$CZ$23, COLUMNS($DC18:DQ18)), "0"), "")</f>
        <v/>
      </c>
      <c r="DR18" s="395">
        <f t="array" ref="DR18">IFERROR(IF(AND(INDEX($E$8:$CE$57, MATCH($C18, $C$8:$C$57, 0), (COLUMNS($DC18:DR18)-1)*5 + 1) = INDEX($E$5:$CE$5, 1, (COLUMNS($DC18:DR18)-1)*5 + 1), INDEX($E$8:$CE$57, MATCH($C18, $C$8:$C$57, 0), (COLUMNS($DC18:DR18)-1)*5 + 4) = "F"), INDEX($CZ$8:$CZ$23, COLUMNS($DC18:DR18)), "0"), "")</f>
        <v/>
      </c>
      <c r="DT18" s="605">
        <f>SEMANA29[[#This Row],[COD]]</f>
        <v/>
      </c>
      <c r="DU18" s="395">
        <f t="array" ref="DU18">IFERROR(IF(AND(INDEX($E$8:$CE$57, MATCH($C18, $C$8:$C$57, 0), (COLUMNS($DU18:DU18)-1)*5 + 1) = INDEX($E$5:$CE$5, 1, (COLUMNS($DU18:DU18)-1)*5 + 1), INDEX($E$8:$CE$57, MATCH($C18, $C$8:$C$57, 0), (COLUMNS($DU18:DU18)-1)*5 + 4) = "SF"), INDEX($CZ$8:$CZ$23, COLUMNS($DU18:DU18)), "0"), "")</f>
        <v/>
      </c>
      <c r="DV18" s="395">
        <f t="array" ref="DV18">IFERROR(IF(AND(INDEX($E$8:$CE$57, MATCH($C18, $C$8:$C$57, 0), (COLUMNS($DU18:DV18)-1)*5 + 1) = INDEX($E$5:$CE$5, 1, (COLUMNS($DU18:DV18)-1)*5 + 1), INDEX($E$8:$CE$57, MATCH($C18, $C$8:$C$57, 0), (COLUMNS($DU18:DV18)-1)*5 + 4) = "SF"), INDEX($CZ$8:$CZ$23, COLUMNS($DU18:DV18)), "0"), "")</f>
        <v/>
      </c>
      <c r="DW18" s="395">
        <f t="array" ref="DW18">IFERROR(IF(AND(INDEX($E$8:$CE$57, MATCH($C18, $C$8:$C$57, 0), (COLUMNS($DU18:DW18)-1)*5 + 1) = INDEX($E$5:$CE$5, 1, (COLUMNS($DU18:DW18)-1)*5 + 1), INDEX($E$8:$CE$57, MATCH($C18, $C$8:$C$57, 0), (COLUMNS($DU18:DW18)-1)*5 + 4) = "SF"), INDEX($CZ$8:$CZ$23, COLUMNS($DU18:DW18)), "0"), "")</f>
        <v/>
      </c>
      <c r="DX18" s="395">
        <f t="array" ref="DX18">IFERROR(IF(AND(INDEX($E$8:$CE$57, MATCH($C18, $C$8:$C$57, 0), (COLUMNS($DU18:DX18)-1)*5 + 1) = INDEX($E$5:$CE$5, 1, (COLUMNS($DU18:DX18)-1)*5 + 1), INDEX($E$8:$CE$57, MATCH($C18, $C$8:$C$57, 0), (COLUMNS($DU18:DX18)-1)*5 + 4) = "SF"), INDEX($CZ$8:$CZ$23, COLUMNS($DU18:DX18)), "0"), "")</f>
        <v/>
      </c>
      <c r="DY18" s="395">
        <f t="array" ref="DY18">IFERROR(IF(AND(INDEX($E$8:$CE$57, MATCH($C18, $C$8:$C$57, 0), (COLUMNS($DU18:DY18)-1)*5 + 1) = INDEX($E$5:$CE$5, 1, (COLUMNS($DU18:DY18)-1)*5 + 1), INDEX($E$8:$CE$57, MATCH($C18, $C$8:$C$57, 0), (COLUMNS($DU18:DY18)-1)*5 + 4) = "SF"), INDEX($CZ$8:$CZ$23, COLUMNS($DU18:DY18)), "0"), "")</f>
        <v/>
      </c>
      <c r="DZ18" s="395">
        <f t="array" ref="DZ18">IFERROR(IF(AND(INDEX($E$8:$CE$57, MATCH($C18, $C$8:$C$57, 0), (COLUMNS($DU18:DZ18)-1)*5 + 1) = INDEX($E$5:$CE$5, 1, (COLUMNS($DU18:DZ18)-1)*5 + 1), INDEX($E$8:$CE$57, MATCH($C18, $C$8:$C$57, 0), (COLUMNS($DU18:DZ18)-1)*5 + 4) = "SF"), INDEX($CZ$8:$CZ$23, COLUMNS($DU18:DZ18)), "0"), "")</f>
        <v/>
      </c>
      <c r="EA18" s="395">
        <f t="array" ref="EA18">IFERROR(IF(AND(INDEX($E$8:$CE$57, MATCH($C18, $C$8:$C$57, 0), (COLUMNS($DU18:EA18)-1)*5 + 1) = INDEX($E$5:$CE$5, 1, (COLUMNS($DU18:EA18)-1)*5 + 1), INDEX($E$8:$CE$57, MATCH($C18, $C$8:$C$57, 0), (COLUMNS($DU18:EA18)-1)*5 + 4) = "SF"), INDEX($CZ$8:$CZ$23, COLUMNS($DU18:EA18)), "0"), "")</f>
        <v/>
      </c>
      <c r="EB18" s="395">
        <f t="array" ref="EB18">IFERROR(IF(AND(INDEX($E$8:$CE$57, MATCH($C18, $C$8:$C$57, 0), (COLUMNS($DU18:EB18)-1)*5 + 1) = INDEX($E$5:$CE$5, 1, (COLUMNS($DU18:EB18)-1)*5 + 1), INDEX($E$8:$CE$57, MATCH($C18, $C$8:$C$57, 0), (COLUMNS($DU18:EB18)-1)*5 + 4) = "SF"), INDEX($CZ$8:$CZ$23, COLUMNS($DU18:EB18)), "0"), "")</f>
        <v/>
      </c>
      <c r="EC18" s="395">
        <f t="array" ref="EC18">IFERROR(IF(AND(INDEX($E$8:$CE$57, MATCH($C18, $C$8:$C$57, 0), (COLUMNS($DU18:EC18)-1)*5 + 1) = INDEX($E$5:$CE$5, 1, (COLUMNS($DU18:EC18)-1)*5 + 1), INDEX($E$8:$CE$57, MATCH($C18, $C$8:$C$57, 0), (COLUMNS($DU18:EC18)-1)*5 + 4) = "SF"), INDEX($CZ$8:$CZ$23, COLUMNS($DU18:EC18)), "0"), "")</f>
        <v/>
      </c>
      <c r="ED18" s="395">
        <f t="array" ref="ED18">IFERROR(IF(AND(INDEX($E$8:$CE$57, MATCH($C18, $C$8:$C$57, 0), (COLUMNS($DU18:ED18)-1)*5 + 1) = INDEX($E$5:$CE$5, 1, (COLUMNS($DU18:ED18)-1)*5 + 1), INDEX($E$8:$CE$57, MATCH($C18, $C$8:$C$57, 0), (COLUMNS($DU18:ED18)-1)*5 + 4) = "SF"), INDEX($CZ$8:$CZ$23, COLUMNS($DU18:ED18)), "0"), "")</f>
        <v/>
      </c>
      <c r="EE18" s="395">
        <f t="array" ref="EE18">IFERROR(IF(AND(INDEX($E$8:$CE$57, MATCH($C18, $C$8:$C$57, 0), (COLUMNS($DU18:EE18)-1)*5 + 1) = INDEX($E$5:$CE$5, 1, (COLUMNS($DU18:EE18)-1)*5 + 1), INDEX($E$8:$CE$57, MATCH($C18, $C$8:$C$57, 0), (COLUMNS($DU18:EE18)-1)*5 + 4) = "SF"), INDEX($CZ$8:$CZ$23, COLUMNS($DU18:EE18)), "0"), "")</f>
        <v/>
      </c>
      <c r="EF18" s="395">
        <f t="array" ref="EF18">IFERROR(IF(AND(INDEX($E$8:$CE$57, MATCH($C18, $C$8:$C$57, 0), (COLUMNS($DU18:EF18)-1)*5 + 1) = INDEX($E$5:$CE$5, 1, (COLUMNS($DU18:EF18)-1)*5 + 1), INDEX($E$8:$CE$57, MATCH($C18, $C$8:$C$57, 0), (COLUMNS($DU18:EF18)-1)*5 + 4) = "SF"), INDEX($CZ$8:$CZ$23, COLUMNS($DU18:EF18)), "0"), "")</f>
        <v/>
      </c>
      <c r="EG18" s="395">
        <f t="array" ref="EG18">IFERROR(IF(AND(INDEX($E$8:$CE$57, MATCH($C18, $C$8:$C$57, 0), (COLUMNS($DU18:EG18)-1)*5 + 1) = INDEX($E$5:$CE$5, 1, (COLUMNS($DU18:EG18)-1)*5 + 1), INDEX($E$8:$CE$57, MATCH($C18, $C$8:$C$57, 0), (COLUMNS($DU18:EG18)-1)*5 + 4) = "SF"), INDEX($CZ$8:$CZ$23, COLUMNS($DU18:EG18)), "0"), "")</f>
        <v/>
      </c>
      <c r="EH18" s="395">
        <f t="array" ref="EH18">IFERROR(IF(AND(INDEX($E$8:$CE$57, MATCH($C18, $C$8:$C$57, 0), (COLUMNS($DU18:EH18)-1)*5 + 1) = INDEX($E$5:$CE$5, 1, (COLUMNS($DU18:EH18)-1)*5 + 1), INDEX($E$8:$CE$57, MATCH($C18, $C$8:$C$57, 0), (COLUMNS($DU18:EH18)-1)*5 + 4) = "SF"), INDEX($CZ$8:$CZ$23, COLUMNS($DU18:EH18)), "0"), "")</f>
        <v/>
      </c>
      <c r="EI18" s="395">
        <f t="array" ref="EI18">IFERROR(IF(AND(INDEX($E$8:$CE$57, MATCH($C18, $C$8:$C$57, 0), (COLUMNS($DU18:EI18)-1)*5 + 1) = INDEX($E$5:$CE$5, 1, (COLUMNS($DU18:EI18)-1)*5 + 1), INDEX($E$8:$CE$57, MATCH($C18, $C$8:$C$57, 0), (COLUMNS($DU18:EI18)-1)*5 + 4) = "SF"), INDEX($CZ$8:$CZ$23, COLUMNS($DU18:EI18)), "0"), "")</f>
        <v/>
      </c>
      <c r="EJ18" s="395">
        <f t="array" ref="EJ18">IFERROR(IF(AND(INDEX($E$8:$CE$57, MATCH($C18, $C$8:$C$57, 0), (COLUMNS($DU18:EJ18)-1)*5 + 1) = INDEX($E$5:$CE$5, 1, (COLUMNS($DU18:EJ18)-1)*5 + 1), INDEX($E$8:$CE$57, MATCH($C18, $C$8:$C$57, 0), (COLUMNS($DU18:EJ18)-1)*5 + 4) = "SF"), INDEX($CZ$8:$CZ$23, COLUMNS($DU18:EJ18)), "0"), "")</f>
        <v/>
      </c>
    </row>
    <row r="19" ht="20.1" customHeight="1" s="568">
      <c r="A19" s="576" t="n"/>
      <c r="B19" s="449">
        <f>IF(SEMANA29[[#This Row],[COD]]&lt;&gt;"",B18+1,"")</f>
        <v/>
      </c>
      <c r="C19" s="622" t="inlineStr">
        <is>
          <t>COD 12</t>
        </is>
      </c>
      <c r="D19" s="415">
        <f t="array" ref="D19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19" s="416" t="n"/>
      <c r="F19" s="417" t="n"/>
      <c r="G19" s="417" t="n"/>
      <c r="H19" s="417" t="n"/>
      <c r="I19" s="602">
        <f>SUM(IF(E19=E$5,4,0),IF(E19&amp;F19=E$5&amp;F$5,1,0),
IF(AND(E19=E$5,F$6&gt;=$D$115),1,0),
IF(AND(F19=E$5,F$6&gt;=$D$115),1,0),
IF(AND(G19=E$5,F$6&gt;=$D$115),1,0),
IF(E19&amp;H19=I$5,1,0),
IF(F19=E$5,2,0),
IF(G19=E$5,1,0),
IF(OR(E19&amp;F19&amp;G19=E$5&amp;F$5&amp;G$5,E19&amp;F19&amp;G19=E$5&amp;G$5&amp;F$5,E19&amp;F19&amp;G19=F$5&amp;E$5&amp;G$5,E19&amp;F19&amp;G19=F$5&amp;G$5&amp;E$5,E19&amp;F19&amp;G19=G$5&amp;E$5&amp;F$5,E19&amp;F19&amp;G19=G$5&amp;F$5&amp;E$5),2,0),IF(AND(E19=E$5,F$6&gt;=$D$129),1,0),IF(AND(F19=E$5,F$6&gt;=$D$129),1,0),IF(AND(G19=E$5,F$6&gt;=$D$129),1,0),IF(E19&amp;H19=H$5,4,0),IF(AND(E19=E$5,F$6&lt;=$D$104),-0.5,0),IF(AND(F19=E$5,F$6&lt;=$D$104),-0.5,0),IF(AND(G19=E$5,F$6&lt;=$D$104),-0.5,0))</f>
        <v/>
      </c>
      <c r="J19" s="416" t="n"/>
      <c r="K19" s="417" t="n"/>
      <c r="L19" s="417" t="n"/>
      <c r="M19" s="417" t="n"/>
      <c r="N19" s="602">
        <f>SUM(IF(J19=J$5,4,0),IF(J19&amp;K19=J$5&amp;K$5,1,0),
IF(AND(J19=J$5,K$6&gt;=$D$115),1,0),
IF(AND(K19=J$5,K$6&gt;=$D$115),1,0),
IF(AND(L19=J$5,K$6&gt;=$D$115),1,0),
IF(J19&amp;M19=N$5,1,0),
IF(K19=J$5,2,0),
IF(L19=J$5,1,0),
IF(OR(J19&amp;K19&amp;L19=J$5&amp;K$5&amp;L$5,J19&amp;K19&amp;L19=J$5&amp;L$5&amp;K$5,J19&amp;K19&amp;L19=K$5&amp;J$5&amp;L$5,J19&amp;K19&amp;L19=K$5&amp;L$5&amp;J$5,J19&amp;K19&amp;L19=L$5&amp;J$5&amp;K$5,J19&amp;K19&amp;L19=L$5&amp;K$5&amp;J$5),2,0),IF(AND(J19=J$5,K$6&gt;=$D$129),1,0),IF(AND(K19=J$5,K$6&gt;=$D$129),1,0),IF(AND(L19=J$5,K$6&gt;=$D$129),1,0),IF(J19&amp;M19=M$5,4,0),IF(AND(J19=J$5,K$6&lt;=$D$104),-0.5,0),IF(AND(K19=J$5,K$6&lt;=$D$104),-0.5,0),IF(AND(L19=J$5,K$6&lt;=$D$104),-0.5,0))</f>
        <v/>
      </c>
      <c r="O19" s="416" t="n"/>
      <c r="P19" s="417" t="n"/>
      <c r="Q19" s="417" t="n"/>
      <c r="R19" s="417" t="n"/>
      <c r="S19" s="602">
        <f>SUM(IF(O19=O$5,4,0),IF(O19&amp;P19=O$5&amp;P$5,1,0),
IF(AND(O19=O$5,P$6&gt;=$D$115),1,0),
IF(AND(P19=O$5,P$6&gt;=$D$115),1,0),
IF(AND(Q19=O$5,P$6&gt;=$D$115),1,0),
IF(O19&amp;R19=S$5,1,0),
IF(P19=O$5,2,0),
IF(Q19=O$5,1,0),
IF(OR(O19&amp;P19&amp;Q19=O$5&amp;P$5&amp;Q$5,O19&amp;P19&amp;Q19=O$5&amp;Q$5&amp;P$5,O19&amp;P19&amp;Q19=P$5&amp;O$5&amp;Q$5,O19&amp;P19&amp;Q19=P$5&amp;Q$5&amp;O$5,O19&amp;P19&amp;Q19=Q$5&amp;O$5&amp;P$5,O19&amp;P19&amp;Q19=Q$5&amp;P$5&amp;O$5),2,0),IF(AND(O19=O$5,P$6&gt;=$D$129),1,0),IF(AND(P19=O$5,P$6&gt;=$D$129),1,0),IF(AND(Q19=O$5,P$6&gt;=$D$129),1,0),IF(O19&amp;R19=R$5,4,0),IF(AND(O19=O$5,P$6&lt;=$D$104),-0.5,0),IF(AND(P19=O$5,P$6&lt;=$D$104),-0.5,0),IF(AND(Q19=O$5,P$6&lt;=$D$104),-0.5,0))</f>
        <v/>
      </c>
      <c r="T19" s="416" t="n"/>
      <c r="U19" s="417" t="n"/>
      <c r="V19" s="417" t="n"/>
      <c r="W19" s="417" t="n"/>
      <c r="X19" s="602">
        <f>SUM(IF(T19=T$5,4,0),IF(T19&amp;U19=T$5&amp;U$5,1,0),
IF(AND(T19=T$5,U$6&gt;=$D$115),1,0),
IF(AND(U19=T$5,U$6&gt;=$D$115),1,0),
IF(AND(V19=T$5,U$6&gt;=$D$115),1,0),
IF(T19&amp;W19=X$5,1,0),
IF(U19=T$5,2,0),
IF(V19=T$5,1,0),
IF(OR(T19&amp;U19&amp;V19=T$5&amp;U$5&amp;V$5,T19&amp;U19&amp;V19=T$5&amp;V$5&amp;U$5,T19&amp;U19&amp;V19=U$5&amp;T$5&amp;V$5,T19&amp;U19&amp;V19=U$5&amp;V$5&amp;T$5,T19&amp;U19&amp;V19=V$5&amp;T$5&amp;U$5,T19&amp;U19&amp;V19=V$5&amp;U$5&amp;T$5),2,0),IF(AND(T19=T$5,U$6&gt;=$D$129),1,0),IF(AND(U19=T$5,U$6&gt;=$D$129),1,0),IF(AND(V19=T$5,U$6&gt;=$D$129),1,0),IF(T19&amp;W19=W$5,4,0),IF(AND(T19=T$5,U$6&lt;=$D$104),-0.5,0),IF(AND(U19=T$5,U$6&lt;=$D$104),-0.5,0),IF(AND(V19=T$5,U$6&lt;=$D$104),-0.5,0))</f>
        <v/>
      </c>
      <c r="Y19" s="416" t="n"/>
      <c r="Z19" s="417" t="n"/>
      <c r="AA19" s="417" t="n"/>
      <c r="AB19" s="417" t="n"/>
      <c r="AC19" s="602">
        <f>SUM(IF(Y19=Y$5,4,0),IF(Y19&amp;Z19=Y$5&amp;Z$5,1,0),
IF(AND(Y19=Y$5,Z$6&gt;=$D$115),1,0),
IF(AND(Z19=Y$5,Z$6&gt;=$D$115),1,0),
IF(AND(AA19=Y$5,Z$6&gt;=$D$115),1,0),
IF(Y19&amp;AB19=AC$5,1,0),
IF(Z19=Y$5,2,0),
IF(AA19=Y$5,1,0),
IF(OR(Y19&amp;Z19&amp;AA19=Y$5&amp;Z$5&amp;AA$5,Y19&amp;Z19&amp;AA19=Y$5&amp;AA$5&amp;Z$5,Y19&amp;Z19&amp;AA19=Z$5&amp;Y$5&amp;AA$5,Y19&amp;Z19&amp;AA19=Z$5&amp;AA$5&amp;Y$5,Y19&amp;Z19&amp;AA19=AA$5&amp;Y$5&amp;Z$5,Y19&amp;Z19&amp;AA19=AA$5&amp;Z$5&amp;Y$5),2,0),IF(AND(Y19=Y$5,Z$6&gt;=$D$129),1,0),IF(AND(Z19=Y$5,Z$6&gt;=$D$129),1,0),IF(AND(AA19=Y$5,Z$6&gt;=$D$129),1,0),IF(Y19&amp;AB19=AB$5,4,0),IF(AND(Y19=Y$5,Z$6&lt;=$D$104),-0.5,0),IF(AND(Z19=Y$5,Z$6&lt;=$D$104),-0.5,0),IF(AND(AA19=Y$5,Z$6&lt;=$D$104),-0.5,0))</f>
        <v/>
      </c>
      <c r="AD19" s="416" t="n"/>
      <c r="AE19" s="417" t="n"/>
      <c r="AF19" s="417" t="n"/>
      <c r="AG19" s="417" t="n"/>
      <c r="AH19" s="602">
        <f>SUM(IF(AD19=AD$5,4,0),IF(AD19&amp;AE19=AD$5&amp;AE$5,1,0),
IF(AND(AD19=AD$5,AE$6&gt;=$D$115),1,0),
IF(AND(AE19=AD$5,AE$6&gt;=$D$115),1,0),
IF(AND(AF19=AD$5,AE$6&gt;=$D$115),1,0),
IF(AD19&amp;AG19=AH$5,1,0),
IF(AE19=AD$5,2,0),
IF(AF19=AD$5,1,0),
IF(OR(AD19&amp;AE19&amp;AF19=AD$5&amp;AE$5&amp;AF$5,AD19&amp;AE19&amp;AF19=AD$5&amp;AF$5&amp;AE$5,AD19&amp;AE19&amp;AF19=AE$5&amp;AD$5&amp;AF$5,AD19&amp;AE19&amp;AF19=AE$5&amp;AF$5&amp;AD$5,AD19&amp;AE19&amp;AF19=AF$5&amp;AD$5&amp;AE$5,AD19&amp;AE19&amp;AF19=AF$5&amp;AE$5&amp;AD$5),2,0),IF(AND(AD19=AD$5,AE$6&gt;=$D$129),1,0),IF(AND(AE19=AD$5,AE$6&gt;=$D$129),1,0),IF(AND(AF19=AD$5,AE$6&gt;=$D$129),1,0),IF(AD19&amp;AG19=AG$5,4,0),IF(AND(AD19=AD$5,AE$6&lt;=$D$104),-0.5,0),IF(AND(AE19=AD$5,AE$6&lt;=$D$104),-0.5,0),IF(AND(AF19=AD$5,AE$6&lt;=$D$104),-0.5,0))</f>
        <v/>
      </c>
      <c r="AI19" s="416" t="n"/>
      <c r="AJ19" s="417" t="n"/>
      <c r="AK19" s="417" t="n"/>
      <c r="AL19" s="417" t="n"/>
      <c r="AM19" s="602">
        <f>SUM(IF(AI19=AI$5,4,0),IF(AI19&amp;AJ19=AI$5&amp;AJ$5,1,0),
IF(AND(AI19=AI$5,AJ$6&gt;=$D$115),1,0),
IF(AND(AJ19=AI$5,AJ$6&gt;=$D$115),1,0),
IF(AND(AK19=AI$5,AJ$6&gt;=$D$115),1,0),
IF(AI19&amp;AL19=AM$5,1,0),
IF(AJ19=AI$5,2,0),
IF(AK19=AI$5,1,0),
IF(OR(AI19&amp;AJ19&amp;AK19=AI$5&amp;AJ$5&amp;AK$5,AI19&amp;AJ19&amp;AK19=AI$5&amp;AK$5&amp;AJ$5,AI19&amp;AJ19&amp;AK19=AJ$5&amp;AI$5&amp;AK$5,AI19&amp;AJ19&amp;AK19=AJ$5&amp;AK$5&amp;AI$5,AI19&amp;AJ19&amp;AK19=AK$5&amp;AI$5&amp;AJ$5,AI19&amp;AJ19&amp;AK19=AK$5&amp;AJ$5&amp;AI$5),2,0),IF(AND(AI19=AI$5,AJ$6&gt;=$D$129),1,0),IF(AND(AJ19=AI$5,AJ$6&gt;=$D$129),1,0),IF(AND(AK19=AI$5,AJ$6&gt;=$D$129),1,0),IF(AI19&amp;AL19=AL$5,4,0),IF(AND(AI19=AI$5,AJ$6&lt;=$D$104),-0.5,0),IF(AND(AJ19=AI$5,AJ$6&lt;=$D$104),-0.5,0),IF(AND(AK19=AI$5,AJ$6&lt;=$D$104),-0.5,0))</f>
        <v/>
      </c>
      <c r="AN19" s="416" t="n"/>
      <c r="AO19" s="417" t="n"/>
      <c r="AP19" s="417" t="n"/>
      <c r="AQ19" s="417" t="n"/>
      <c r="AR19" s="602">
        <f>SUM(IF(AN19=AN$5,4,0),IF(AN19&amp;AO19=AN$5&amp;AO$5,1,0),
IF(AND(AN19=AN$5,AO$6&gt;=$D$115),1,0),
IF(AND(AO19=AN$5,AO$6&gt;=$D$115),1,0),
IF(AND(AP19=AN$5,AO$6&gt;=$D$115),1,0),
IF(AN19&amp;AQ19=AR$5,1,0),
IF(AO19=AN$5,2,0),
IF(AP19=AN$5,1,0),
IF(OR(AN19&amp;AO19&amp;AP19=AN$5&amp;AO$5&amp;AP$5,AN19&amp;AO19&amp;AP19=AN$5&amp;AP$5&amp;AO$5,AN19&amp;AO19&amp;AP19=AO$5&amp;AN$5&amp;AP$5,AN19&amp;AO19&amp;AP19=AO$5&amp;AP$5&amp;AN$5,AN19&amp;AO19&amp;AP19=AP$5&amp;AN$5&amp;AO$5,AN19&amp;AO19&amp;AP19=AP$5&amp;AO$5&amp;AN$5),2,0),IF(AND(AN19=AN$5,AO$6&gt;=$D$129),1,0),IF(AND(AO19=AN$5,AO$6&gt;=$D$129),1,0),IF(AND(AP19=AN$5,AO$6&gt;=$D$129),1,0),IF(AN19&amp;AQ19=AQ$5,4,0),IF(AND(AN19=AN$5,AO$6&lt;=$D$104),-0.5,0),IF(AND(AO19=AN$5,AO$6&lt;=$D$104),-0.5,0),IF(AND(AP19=AN$5,AO$6&lt;=$D$104),-0.5,0))</f>
        <v/>
      </c>
      <c r="AS19" s="416" t="n"/>
      <c r="AT19" s="417" t="n"/>
      <c r="AU19" s="417" t="n"/>
      <c r="AV19" s="417" t="n"/>
      <c r="AW19" s="602">
        <f>SUM(IF(AS19=AS$5,4,0),IF(AS19&amp;AT19=AS$5&amp;AT$5,1,0),
IF(AND(AS19=AS$5,AT$6&gt;=$D$115),1,0),
IF(AND(AT19=AS$5,AT$6&gt;=$D$115),1,0),
IF(AND(AU19=AS$5,AT$6&gt;=$D$115),1,0),
IF(AS19&amp;AV19=AW$5,1,0),
IF(AT19=AS$5,2,0),
IF(AU19=AS$5,1,0),
IF(OR(AS19&amp;AT19&amp;AU19=AS$5&amp;AT$5&amp;AU$5,AS19&amp;AT19&amp;AU19=AS$5&amp;AU$5&amp;AT$5,AS19&amp;AT19&amp;AU19=AT$5&amp;AS$5&amp;AU$5,AS19&amp;AT19&amp;AU19=AT$5&amp;AU$5&amp;AS$5,AS19&amp;AT19&amp;AU19=AU$5&amp;AS$5&amp;AT$5,AS19&amp;AT19&amp;AU19=AU$5&amp;AT$5&amp;AS$5),2,0),IF(AND(AS19=AS$5,AT$6&gt;=$D$129),1,0),IF(AND(AT19=AS$5,AT$6&gt;=$D$129),1,0),IF(AND(AU19=AS$5,AT$6&gt;=$D$129),1,0),IF(AS19&amp;AV19=AV$5,4,0),IF(AND(AS19=AS$5,AT$6&lt;=$D$104),-0.5,0),IF(AND(AT19=AS$5,AT$6&lt;=$D$104),-0.5,0),IF(AND(AU19=AS$5,AT$6&lt;=$D$104),-0.5,0))</f>
        <v/>
      </c>
      <c r="AX19" s="416" t="n"/>
      <c r="AY19" s="417" t="n"/>
      <c r="AZ19" s="417" t="n"/>
      <c r="BA19" s="417" t="n"/>
      <c r="BB19" s="602">
        <f>SUM(IF(AX19=AX$5,4,0),IF(AX19&amp;AY19=AX$5&amp;AY$5,1,0),
IF(AND(AX19=AX$5,AY$6&gt;=$D$115),1,0),
IF(AND(AY19=AX$5,AY$6&gt;=$D$115),1,0),
IF(AND(AZ19=AX$5,AY$6&gt;=$D$115),1,0),
IF(AX19&amp;BA19=BB$5,1,0),
IF(AY19=AX$5,2,0),
IF(AZ19=AX$5,1,0),
IF(OR(AX19&amp;AY19&amp;AZ19=AX$5&amp;AY$5&amp;AZ$5,AX19&amp;AY19&amp;AZ19=AX$5&amp;AZ$5&amp;AY$5,AX19&amp;AY19&amp;AZ19=AY$5&amp;AX$5&amp;AZ$5,AX19&amp;AY19&amp;AZ19=AY$5&amp;AZ$5&amp;AX$5,AX19&amp;AY19&amp;AZ19=AZ$5&amp;AX$5&amp;AY$5,AX19&amp;AY19&amp;AZ19=AZ$5&amp;AY$5&amp;AX$5),2,0),IF(AND(AX19=AX$5,AY$6&gt;=$D$129),1,0),IF(AND(AY19=AX$5,AY$6&gt;=$D$129),1,0),IF(AND(AZ19=AX$5,AY$6&gt;=$D$129),1,0),IF(AX19&amp;BA19=BA$5,4,0),IF(AND(AX19=AX$5,AY$6&lt;=$D$104),-0.5,0),IF(AND(AY19=AX$5,AY$6&lt;=$D$104),-0.5,0),IF(AND(AZ19=AX$5,AY$6&lt;=$D$104),-0.5,0))</f>
        <v/>
      </c>
      <c r="BC19" s="416" t="n"/>
      <c r="BD19" s="417" t="n"/>
      <c r="BE19" s="417" t="n"/>
      <c r="BF19" s="417" t="n"/>
      <c r="BG19" s="602">
        <f>SUM(IF(BC19=BC$5,4,0),IF(BC19&amp;BD19=BC$5&amp;BD$5,1,0),
IF(AND(BC19=BC$5,BD$6&gt;=$D$115),1,0),
IF(AND(BD19=BC$5,BD$6&gt;=$D$115),1,0),
IF(AND(BE19=BC$5,BD$6&gt;=$D$115),1,0),
IF(BC19&amp;BF19=BG$5,1,0),
IF(BD19=BC$5,2,0),
IF(BE19=BC$5,1,0),
IF(OR(BC19&amp;BD19&amp;BE19=BC$5&amp;BD$5&amp;BE$5,BC19&amp;BD19&amp;BE19=BC$5&amp;BE$5&amp;BD$5,BC19&amp;BD19&amp;BE19=BD$5&amp;BC$5&amp;BE$5,BC19&amp;BD19&amp;BE19=BD$5&amp;BE$5&amp;BC$5,BC19&amp;BD19&amp;BE19=BE$5&amp;BC$5&amp;BD$5,BC19&amp;BD19&amp;BE19=BE$5&amp;BD$5&amp;BC$5),2,0),IF(AND(BC19=BC$5,BD$6&gt;=$D$129),1,0),IF(AND(BD19=BC$5,BD$6&gt;=$D$129),1,0),IF(AND(BE19=BC$5,BD$6&gt;=$D$129),1,0),IF(BC19&amp;BF19=BF$5,4,0),IF(AND(BC19=BC$5,BD$6&lt;=$D$104),-0.5,0),IF(AND(BD19=BC$5,BD$6&lt;=$D$104),-0.5,0),IF(AND(BE19=BC$5,BD$6&lt;=$D$104),-0.5,0))</f>
        <v/>
      </c>
      <c r="BH19" s="416" t="n"/>
      <c r="BI19" s="417" t="n"/>
      <c r="BJ19" s="417" t="n"/>
      <c r="BK19" s="417" t="n"/>
      <c r="BL19" s="602">
        <f>SUM(IF(BH19=BH$5,4,0),IF(BH19&amp;BI19=BH$5&amp;BI$5,1,0),
IF(AND(BH19=BH$5,BI$6&gt;=$D$115),1,0),
IF(AND(BI19=BH$5,BI$6&gt;=$D$115),1,0),
IF(AND(BJ19=BH$5,BI$6&gt;=$D$115),1,0),
IF(BH19&amp;BK19=BL$5,1,0),
IF(BI19=BH$5,2,0),
IF(BJ19=BH$5,1,0),
IF(OR(BH19&amp;BI19&amp;BJ19=BH$5&amp;BI$5&amp;BJ$5,BH19&amp;BI19&amp;BJ19=BH$5&amp;BJ$5&amp;BI$5,BH19&amp;BI19&amp;BJ19=BI$5&amp;BH$5&amp;BJ$5,BH19&amp;BI19&amp;BJ19=BI$5&amp;BJ$5&amp;BH$5,BH19&amp;BI19&amp;BJ19=BJ$5&amp;BH$5&amp;BI$5,BH19&amp;BI19&amp;BJ19=BJ$5&amp;BI$5&amp;BH$5),2,0),IF(AND(BH19=BH$5,BI$6&gt;=$D$129),1,0),IF(AND(BI19=BH$5,BI$6&gt;=$D$129),1,0),IF(AND(BJ19=BH$5,BI$6&gt;=$D$129),1,0),IF(BH19&amp;BK19=BK$5,4,0),IF(AND(BH19=BH$5,BI$6&lt;=$D$104),-0.5,0),IF(AND(BI19=BH$5,BI$6&lt;=$D$104),-0.5,0),IF(AND(BJ19=BH$5,BI$6&lt;=$D$104),-0.5,0))</f>
        <v/>
      </c>
      <c r="BM19" s="416" t="n"/>
      <c r="BN19" s="417" t="n"/>
      <c r="BO19" s="417" t="n"/>
      <c r="BP19" s="417" t="n"/>
      <c r="BQ19" s="602">
        <f>SUM(IF(BM19=BM$5,4,0),IF(BM19&amp;BN19=BM$5&amp;BN$5,1,0),
IF(AND(BM19=BM$5,BN$6&gt;=$D$115),1,0),
IF(AND(BN19=BM$5,BN$6&gt;=$D$115),1,0),
IF(AND(BO19=BM$5,BN$6&gt;=$D$115),1,0),
IF(BM19&amp;BP19=BQ$5,1,0),
IF(BN19=BM$5,2,0),
IF(BO19=BM$5,1,0),
IF(OR(BM19&amp;BN19&amp;BO19=BM$5&amp;BN$5&amp;BO$5,BM19&amp;BN19&amp;BO19=BM$5&amp;BO$5&amp;BN$5,BM19&amp;BN19&amp;BO19=BN$5&amp;BM$5&amp;BO$5,BM19&amp;BN19&amp;BO19=BN$5&amp;BO$5&amp;BM$5,BM19&amp;BN19&amp;BO19=BO$5&amp;BM$5&amp;BN$5,BM19&amp;BN19&amp;BO19=BO$5&amp;BN$5&amp;BM$5),2,0),IF(AND(BM19=BM$5,BN$6&gt;=$D$129),1,0),IF(AND(BN19=BM$5,BN$6&gt;=$D$129),1,0),IF(AND(BO19=BM$5,BN$6&gt;=$D$129),1,0),IF(BM19&amp;BP19=BP$5,4,0),IF(AND(BM19=BM$5,BN$6&lt;=$D$104),-0.5,0),IF(AND(BN19=BM$5,BN$6&lt;=$D$104),-0.5,0),IF(AND(BO19=BM$5,BN$6&lt;=$D$104),-0.5,0))</f>
        <v/>
      </c>
      <c r="BR19" s="416" t="n"/>
      <c r="BS19" s="417" t="n"/>
      <c r="BT19" s="417" t="n"/>
      <c r="BU19" s="417" t="n"/>
      <c r="BV19" s="602">
        <f>SUM(IF(BR19=BR$5,4,0),IF(BR19&amp;BS19=BR$5&amp;BS$5,1,0),
IF(AND(BR19=BR$5,BS$6&gt;=$D$115),1,0),
IF(AND(BS19=BR$5,BS$6&gt;=$D$115),1,0),
IF(AND(BT19=BR$5,BS$6&gt;=$D$115),1,0),
IF(BR19&amp;BU19=BV$5,1,0),
IF(BS19=BR$5,2,0),
IF(BT19=BR$5,1,0),
IF(OR(BR19&amp;BS19&amp;BT19=BR$5&amp;BS$5&amp;BT$5,BR19&amp;BS19&amp;BT19=BR$5&amp;BT$5&amp;BS$5,BR19&amp;BS19&amp;BT19=BS$5&amp;BR$5&amp;BT$5,BR19&amp;BS19&amp;BT19=BS$5&amp;BT$5&amp;BR$5,BR19&amp;BS19&amp;BT19=BT$5&amp;BR$5&amp;BS$5,BR19&amp;BS19&amp;BT19=BT$5&amp;BS$5&amp;BR$5),2,0),IF(AND(BR19=BR$5,BS$6&gt;=$D$129),1,0),IF(AND(BS19=BR$5,BS$6&gt;=$D$129),1,0),IF(AND(BT19=BR$5,BS$6&gt;=$D$129),1,0),IF(BR19&amp;BU19=BU$5,4,0),IF(AND(BR19=BR$5,BS$6&lt;=$D$104),-0.5,0),IF(AND(BS19=BR$5,BS$6&lt;=$D$104),-0.5,0),IF(AND(BT19=BR$5,BS$6&lt;=$D$104),-0.5,0))</f>
        <v/>
      </c>
      <c r="BW19" s="416" t="n"/>
      <c r="BX19" s="417" t="n"/>
      <c r="BY19" s="417" t="n"/>
      <c r="BZ19" s="417" t="n"/>
      <c r="CA19" s="602">
        <f>SUM(IF(BW19=BW$5,4,0),IF(BW19&amp;BX19=BW$5&amp;BX$5,1,0),
IF(AND(BW19=BW$5,BX$6&gt;=$D$115),1,0),
IF(AND(BX19=BW$5,BX$6&gt;=$D$115),1,0),
IF(AND(BY19=BW$5,BX$6&gt;=$D$115),1,0),
IF(BW19&amp;BZ19=CA$5,1,0),
IF(BX19=BW$5,2,0),
IF(BY19=BW$5,1,0),
IF(OR(BW19&amp;BX19&amp;BY19=BW$5&amp;BX$5&amp;BY$5,BW19&amp;BX19&amp;BY19=BW$5&amp;BY$5&amp;BX$5,BW19&amp;BX19&amp;BY19=BX$5&amp;BW$5&amp;BY$5,BW19&amp;BX19&amp;BY19=BX$5&amp;BY$5&amp;BW$5,BW19&amp;BX19&amp;BY19=BY$5&amp;BW$5&amp;BX$5,BW19&amp;BX19&amp;BY19=BY$5&amp;BX$5&amp;BW$5),2,0),IF(AND(BW19=BW$5,BX$6&gt;=$D$129),1,0),IF(AND(BX19=BW$5,BX$6&gt;=$D$129),1,0),IF(AND(BY19=BW$5,BX$6&gt;=$D$129),1,0),IF(BW19&amp;BZ19=BZ$5,4,0),IF(AND(BW19=BW$5,BX$6&lt;=$D$104),-0.5,0),IF(AND(BX19=BW$5,BX$6&lt;=$D$104),-0.5,0),IF(AND(BY19=BW$5,BX$6&lt;=$D$104),-0.5,0))</f>
        <v/>
      </c>
      <c r="CB19" s="416" t="n"/>
      <c r="CC19" s="417" t="n"/>
      <c r="CD19" s="417" t="n"/>
      <c r="CE19" s="417" t="n"/>
      <c r="CF19" s="602">
        <f>SUM(IF(CB19=CB$5,4,0),IF(CB19&amp;CC19=CB$5&amp;CC$5,1,0),
IF(AND(CB19=CB$5,CC$6&gt;=$D$115),1,0),
IF(AND(CC19=CB$5,CC$6&gt;=$D$115),1,0),
IF(AND(CD19=CB$5,CC$6&gt;=$D$115),1,0),
IF(CB19&amp;CE19=CF$5,1,0),
IF(CC19=CB$5,2,0),
IF(CD19=CB$5,1,0),
IF(OR(CB19&amp;CC19&amp;CD19=CB$5&amp;CC$5&amp;CD$5,CB19&amp;CC19&amp;CD19=CB$5&amp;CD$5&amp;CC$5,CB19&amp;CC19&amp;CD19=CC$5&amp;CB$5&amp;CD$5,CB19&amp;CC19&amp;CD19=CC$5&amp;CD$5&amp;CB$5,CB19&amp;CC19&amp;CD19=CD$5&amp;CB$5&amp;CC$5,CB19&amp;CC19&amp;CD19=CD$5&amp;CC$5&amp;CB$5),2,0),IF(AND(CB19=CB$5,CC$6&gt;=$D$129),1,0),IF(AND(CC19=CB$5,CC$6&gt;=$D$129),1,0),IF(AND(CD19=CB$5,CC$6&gt;=$D$129),1,0),IF(CB19&amp;CE19=CE$5,4,0),IF(AND(CB19=CB$5,CC$6&lt;=$D$104),-0.5,0),IF(AND(CC19=CB$5,CC$6&lt;=$D$104),-0.5,0),IF(AND(CD19=CB$5,CC$6&lt;=$D$104),-0.5,0))</f>
        <v/>
      </c>
      <c r="CG19" s="164">
        <f>IF(SEMANA29[[#This Row],[1]]="",0,$B$4)</f>
        <v/>
      </c>
      <c r="CH19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19" s="166">
        <f>IF(SEMANA29[[#This Row],[Columna14]]=0,0,(CH19/CG19))</f>
        <v/>
      </c>
      <c r="CJ19" s="165">
        <f>IF(SEMANA29[[#This Row],[1]]="",0,$B$4)</f>
        <v/>
      </c>
      <c r="CK19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19" s="166">
        <f>IF(SEMANA29[[#This Row],[Columna14]]=0,0,(CK19/CJ19))</f>
        <v/>
      </c>
      <c r="CM19" s="164">
        <f>IF(SEMANA29[[#This Row],[1]]="",0,$B$4)</f>
        <v/>
      </c>
      <c r="CN19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19" s="166">
        <f>IF(SEMANA29[[#This Row],[Columna14]]=0,0,(CN19/CM19))</f>
        <v/>
      </c>
      <c r="CP19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19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Row],[Columna25]],$AX$5,BA19,"SF")+COUNTIFS(SEMANA29[[#This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19" s="166">
        <f>IFERROR(IF(SEMANA29[[#This Row],[Columna14]]=0,0,(CQ19/CP19)),0)</f>
        <v/>
      </c>
      <c r="CS19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19" s="95">
        <f>_xlfn.XLOOKUP(SEMANA29[[#This Row],[COD]],SEMANA2[COD],SEMANA2[Columna33])</f>
        <v/>
      </c>
      <c r="CU19" s="604">
        <f>SUM(CS19,CT19)</f>
        <v/>
      </c>
      <c r="CV19" s="450">
        <f>IF(SEMANA29[[#This Row],[TIPO]]="PREMIO",$O$3,"0,00")</f>
        <v/>
      </c>
      <c r="CW19" s="576" t="n"/>
      <c r="CY19" s="393" t="n">
        <v>12</v>
      </c>
      <c r="CZ19" s="354">
        <f>BI$6</f>
        <v/>
      </c>
      <c r="DB19" s="605">
        <f>SEMANA29[[#This Row],[COD]]</f>
        <v/>
      </c>
      <c r="DC19" s="395">
        <f t="array" ref="DC19">IFERROR(IF(AND(INDEX($E$8:$CE$57, MATCH($C19, $C$8:$C$57, 0), (COLUMNS($DC19:DC19)-1)*5 + 1) = INDEX($E$5:$CE$5, 1, (COLUMNS($DC19:DC19)-1)*5 + 1), INDEX($E$8:$CE$57, MATCH($C19, $C$8:$C$57, 0), (COLUMNS($DC19:DC19)-1)*5 + 4) = "F"), INDEX($CZ$8:$CZ$23, COLUMNS($DC19:DC19)), "0"), "")</f>
        <v/>
      </c>
      <c r="DD19" s="395">
        <f t="array" ref="DD19">IFERROR(IF(AND(INDEX($E$8:$CE$57, MATCH($C19, $C$8:$C$57, 0), (COLUMNS($DC19:DD19)-1)*5 + 1) = INDEX($E$5:$CE$5, 1, (COLUMNS($DC19:DD19)-1)*5 + 1), INDEX($E$8:$CE$57, MATCH($C19, $C$8:$C$57, 0), (COLUMNS($DC19:DD19)-1)*5 + 4) = "F"), INDEX($CZ$8:$CZ$23, COLUMNS($DC19:DD19)), "0"), "")</f>
        <v/>
      </c>
      <c r="DE19" s="395">
        <f t="array" ref="DE19">IFERROR(IF(AND(INDEX($E$8:$CE$57, MATCH($C19, $C$8:$C$57, 0), (COLUMNS($DC19:DE19)-1)*5 + 1) = INDEX($E$5:$CE$5, 1, (COLUMNS($DC19:DE19)-1)*5 + 1), INDEX($E$8:$CE$57, MATCH($C19, $C$8:$C$57, 0), (COLUMNS($DC19:DE19)-1)*5 + 4) = "F"), INDEX($CZ$8:$CZ$23, COLUMNS($DC19:DE19)), "0"), "")</f>
        <v/>
      </c>
      <c r="DF19" s="395">
        <f t="array" ref="DF19">IFERROR(IF(AND(INDEX($E$8:$CE$57, MATCH($C19, $C$8:$C$57, 0), (COLUMNS($DC19:DF19)-1)*5 + 1) = INDEX($E$5:$CE$5, 1, (COLUMNS($DC19:DF19)-1)*5 + 1), INDEX($E$8:$CE$57, MATCH($C19, $C$8:$C$57, 0), (COLUMNS($DC19:DF19)-1)*5 + 4) = "F"), INDEX($CZ$8:$CZ$23, COLUMNS($DC19:DF19)), "0"), "")</f>
        <v/>
      </c>
      <c r="DG19" s="395">
        <f t="array" ref="DG19">IFERROR(IF(AND(INDEX($E$8:$CE$57, MATCH($C19, $C$8:$C$57, 0), (COLUMNS($DC19:DG19)-1)*5 + 1) = INDEX($E$5:$CE$5, 1, (COLUMNS($DC19:DG19)-1)*5 + 1), INDEX($E$8:$CE$57, MATCH($C19, $C$8:$C$57, 0), (COLUMNS($DC19:DG19)-1)*5 + 4) = "F"), INDEX($CZ$8:$CZ$23, COLUMNS($DC19:DG19)), "0"), "")</f>
        <v/>
      </c>
      <c r="DH19" s="395">
        <f t="array" ref="DH19">IFERROR(IF(AND(INDEX($E$8:$CE$57, MATCH($C19, $C$8:$C$57, 0), (COLUMNS($DC19:DH19)-1)*5 + 1) = INDEX($E$5:$CE$5, 1, (COLUMNS($DC19:DH19)-1)*5 + 1), INDEX($E$8:$CE$57, MATCH($C19, $C$8:$C$57, 0), (COLUMNS($DC19:DH19)-1)*5 + 4) = "F"), INDEX($CZ$8:$CZ$23, COLUMNS($DC19:DH19)), "0"), "")</f>
        <v/>
      </c>
      <c r="DI19" s="395">
        <f t="array" ref="DI19">IFERROR(IF(AND(INDEX($E$8:$CE$57, MATCH($C19, $C$8:$C$57, 0), (COLUMNS($DC19:DI19)-1)*5 + 1) = INDEX($E$5:$CE$5, 1, (COLUMNS($DC19:DI19)-1)*5 + 1), INDEX($E$8:$CE$57, MATCH($C19, $C$8:$C$57, 0), (COLUMNS($DC19:DI19)-1)*5 + 4) = "F"), INDEX($CZ$8:$CZ$23, COLUMNS($DC19:DI19)), "0"), "")</f>
        <v/>
      </c>
      <c r="DJ19" s="395">
        <f t="array" ref="DJ19">IFERROR(IF(AND(INDEX($E$8:$CE$57, MATCH($C19, $C$8:$C$57, 0), (COLUMNS($DC19:DJ19)-1)*5 + 1) = INDEX($E$5:$CE$5, 1, (COLUMNS($DC19:DJ19)-1)*5 + 1), INDEX($E$8:$CE$57, MATCH($C19, $C$8:$C$57, 0), (COLUMNS($DC19:DJ19)-1)*5 + 4) = "F"), INDEX($CZ$8:$CZ$23, COLUMNS($DC19:DJ19)), "0"), "")</f>
        <v/>
      </c>
      <c r="DK19" s="395">
        <f t="array" ref="DK19">IFERROR(IF(AND(INDEX($E$8:$CE$57, MATCH($C19, $C$8:$C$57, 0), (COLUMNS($DC19:DK19)-1)*5 + 1) = INDEX($E$5:$CE$5, 1, (COLUMNS($DC19:DK19)-1)*5 + 1), INDEX($E$8:$CE$57, MATCH($C19, $C$8:$C$57, 0), (COLUMNS($DC19:DK19)-1)*5 + 4) = "F"), INDEX($CZ$8:$CZ$23, COLUMNS($DC19:DK19)), "0"), "")</f>
        <v/>
      </c>
      <c r="DL19" s="395">
        <f t="array" ref="DL19">IFERROR(IF(AND(INDEX($E$8:$CE$57, MATCH($C19, $C$8:$C$57, 0), (COLUMNS($DC19:DL19)-1)*5 + 1) = INDEX($E$5:$CE$5, 1, (COLUMNS($DC19:DL19)-1)*5 + 1), INDEX($E$8:$CE$57, MATCH($C19, $C$8:$C$57, 0), (COLUMNS($DC19:DL19)-1)*5 + 4) = "F"), INDEX($CZ$8:$CZ$23, COLUMNS($DC19:DL19)), "0"), "")</f>
        <v/>
      </c>
      <c r="DM19" s="395">
        <f t="array" ref="DM19">IFERROR(IF(AND(INDEX($E$8:$CE$57, MATCH($C19, $C$8:$C$57, 0), (COLUMNS($DC19:DM19)-1)*5 + 1) = INDEX($E$5:$CE$5, 1, (COLUMNS($DC19:DM19)-1)*5 + 1), INDEX($E$8:$CE$57, MATCH($C19, $C$8:$C$57, 0), (COLUMNS($DC19:DM19)-1)*5 + 4) = "F"), INDEX($CZ$8:$CZ$23, COLUMNS($DC19:DM19)), "0"), "")</f>
        <v/>
      </c>
      <c r="DN19" s="395">
        <f t="array" ref="DN19">IFERROR(IF(AND(INDEX($E$8:$CE$57, MATCH($C19, $C$8:$C$57, 0), (COLUMNS($DC19:DN19)-1)*5 + 1) = INDEX($E$5:$CE$5, 1, (COLUMNS($DC19:DN19)-1)*5 + 1), INDEX($E$8:$CE$57, MATCH($C19, $C$8:$C$57, 0), (COLUMNS($DC19:DN19)-1)*5 + 4) = "F"), INDEX($CZ$8:$CZ$23, COLUMNS($DC19:DN19)), "0"), "")</f>
        <v/>
      </c>
      <c r="DO19" s="395">
        <f t="array" ref="DO19">IFERROR(IF(AND(INDEX($E$8:$CE$57, MATCH($C19, $C$8:$C$57, 0), (COLUMNS($DC19:DO19)-1)*5 + 1) = INDEX($E$5:$CE$5, 1, (COLUMNS($DC19:DO19)-1)*5 + 1), INDEX($E$8:$CE$57, MATCH($C19, $C$8:$C$57, 0), (COLUMNS($DC19:DO19)-1)*5 + 4) = "F"), INDEX($CZ$8:$CZ$23, COLUMNS($DC19:DO19)), "0"), "")</f>
        <v/>
      </c>
      <c r="DP19" s="395">
        <f t="array" ref="DP19">IFERROR(IF(AND(INDEX($E$8:$CE$57, MATCH($C19, $C$8:$C$57, 0), (COLUMNS($DC19:DP19)-1)*5 + 1) = INDEX($E$5:$CE$5, 1, (COLUMNS($DC19:DP19)-1)*5 + 1), INDEX($E$8:$CE$57, MATCH($C19, $C$8:$C$57, 0), (COLUMNS($DC19:DP19)-1)*5 + 4) = "F"), INDEX($CZ$8:$CZ$23, COLUMNS($DC19:DP19)), "0"), "")</f>
        <v/>
      </c>
      <c r="DQ19" s="395">
        <f t="array" ref="DQ19">IFERROR(IF(AND(INDEX($E$8:$CE$57, MATCH($C19, $C$8:$C$57, 0), (COLUMNS($DC19:DQ19)-1)*5 + 1) = INDEX($E$5:$CE$5, 1, (COLUMNS($DC19:DQ19)-1)*5 + 1), INDEX($E$8:$CE$57, MATCH($C19, $C$8:$C$57, 0), (COLUMNS($DC19:DQ19)-1)*5 + 4) = "F"), INDEX($CZ$8:$CZ$23, COLUMNS($DC19:DQ19)), "0"), "")</f>
        <v/>
      </c>
      <c r="DR19" s="395">
        <f t="array" ref="DR19">IFERROR(IF(AND(INDEX($E$8:$CE$57, MATCH($C19, $C$8:$C$57, 0), (COLUMNS($DC19:DR19)-1)*5 + 1) = INDEX($E$5:$CE$5, 1, (COLUMNS($DC19:DR19)-1)*5 + 1), INDEX($E$8:$CE$57, MATCH($C19, $C$8:$C$57, 0), (COLUMNS($DC19:DR19)-1)*5 + 4) = "F"), INDEX($CZ$8:$CZ$23, COLUMNS($DC19:DR19)), "0"), "")</f>
        <v/>
      </c>
      <c r="DT19" s="605">
        <f>SEMANA29[[#This Row],[COD]]</f>
        <v/>
      </c>
      <c r="DU19" s="395">
        <f t="array" ref="DU19">IFERROR(IF(AND(INDEX($E$8:$CE$57, MATCH($C19, $C$8:$C$57, 0), (COLUMNS($DU19:DU19)-1)*5 + 1) = INDEX($E$5:$CE$5, 1, (COLUMNS($DU19:DU19)-1)*5 + 1), INDEX($E$8:$CE$57, MATCH($C19, $C$8:$C$57, 0), (COLUMNS($DU19:DU19)-1)*5 + 4) = "SF"), INDEX($CZ$8:$CZ$23, COLUMNS($DU19:DU19)), "0"), "")</f>
        <v/>
      </c>
      <c r="DV19" s="395">
        <f t="array" ref="DV19">IFERROR(IF(AND(INDEX($E$8:$CE$57, MATCH($C19, $C$8:$C$57, 0), (COLUMNS($DU19:DV19)-1)*5 + 1) = INDEX($E$5:$CE$5, 1, (COLUMNS($DU19:DV19)-1)*5 + 1), INDEX($E$8:$CE$57, MATCH($C19, $C$8:$C$57, 0), (COLUMNS($DU19:DV19)-1)*5 + 4) = "SF"), INDEX($CZ$8:$CZ$23, COLUMNS($DU19:DV19)), "0"), "")</f>
        <v/>
      </c>
      <c r="DW19" s="395">
        <f t="array" ref="DW19">IFERROR(IF(AND(INDEX($E$8:$CE$57, MATCH($C19, $C$8:$C$57, 0), (COLUMNS($DU19:DW19)-1)*5 + 1) = INDEX($E$5:$CE$5, 1, (COLUMNS($DU19:DW19)-1)*5 + 1), INDEX($E$8:$CE$57, MATCH($C19, $C$8:$C$57, 0), (COLUMNS($DU19:DW19)-1)*5 + 4) = "SF"), INDEX($CZ$8:$CZ$23, COLUMNS($DU19:DW19)), "0"), "")</f>
        <v/>
      </c>
      <c r="DX19" s="395">
        <f t="array" ref="DX19">IFERROR(IF(AND(INDEX($E$8:$CE$57, MATCH($C19, $C$8:$C$57, 0), (COLUMNS($DU19:DX19)-1)*5 + 1) = INDEX($E$5:$CE$5, 1, (COLUMNS($DU19:DX19)-1)*5 + 1), INDEX($E$8:$CE$57, MATCH($C19, $C$8:$C$57, 0), (COLUMNS($DU19:DX19)-1)*5 + 4) = "SF"), INDEX($CZ$8:$CZ$23, COLUMNS($DU19:DX19)), "0"), "")</f>
        <v/>
      </c>
      <c r="DY19" s="395">
        <f t="array" ref="DY19">IFERROR(IF(AND(INDEX($E$8:$CE$57, MATCH($C19, $C$8:$C$57, 0), (COLUMNS($DU19:DY19)-1)*5 + 1) = INDEX($E$5:$CE$5, 1, (COLUMNS($DU19:DY19)-1)*5 + 1), INDEX($E$8:$CE$57, MATCH($C19, $C$8:$C$57, 0), (COLUMNS($DU19:DY19)-1)*5 + 4) = "SF"), INDEX($CZ$8:$CZ$23, COLUMNS($DU19:DY19)), "0"), "")</f>
        <v/>
      </c>
      <c r="DZ19" s="395">
        <f t="array" ref="DZ19">IFERROR(IF(AND(INDEX($E$8:$CE$57, MATCH($C19, $C$8:$C$57, 0), (COLUMNS($DU19:DZ19)-1)*5 + 1) = INDEX($E$5:$CE$5, 1, (COLUMNS($DU19:DZ19)-1)*5 + 1), INDEX($E$8:$CE$57, MATCH($C19, $C$8:$C$57, 0), (COLUMNS($DU19:DZ19)-1)*5 + 4) = "SF"), INDEX($CZ$8:$CZ$23, COLUMNS($DU19:DZ19)), "0"), "")</f>
        <v/>
      </c>
      <c r="EA19" s="395">
        <f t="array" ref="EA19">IFERROR(IF(AND(INDEX($E$8:$CE$57, MATCH($C19, $C$8:$C$57, 0), (COLUMNS($DU19:EA19)-1)*5 + 1) = INDEX($E$5:$CE$5, 1, (COLUMNS($DU19:EA19)-1)*5 + 1), INDEX($E$8:$CE$57, MATCH($C19, $C$8:$C$57, 0), (COLUMNS($DU19:EA19)-1)*5 + 4) = "SF"), INDEX($CZ$8:$CZ$23, COLUMNS($DU19:EA19)), "0"), "")</f>
        <v/>
      </c>
      <c r="EB19" s="395">
        <f t="array" ref="EB19">IFERROR(IF(AND(INDEX($E$8:$CE$57, MATCH($C19, $C$8:$C$57, 0), (COLUMNS($DU19:EB19)-1)*5 + 1) = INDEX($E$5:$CE$5, 1, (COLUMNS($DU19:EB19)-1)*5 + 1), INDEX($E$8:$CE$57, MATCH($C19, $C$8:$C$57, 0), (COLUMNS($DU19:EB19)-1)*5 + 4) = "SF"), INDEX($CZ$8:$CZ$23, COLUMNS($DU19:EB19)), "0"), "")</f>
        <v/>
      </c>
      <c r="EC19" s="395">
        <f t="array" ref="EC19">IFERROR(IF(AND(INDEX($E$8:$CE$57, MATCH($C19, $C$8:$C$57, 0), (COLUMNS($DU19:EC19)-1)*5 + 1) = INDEX($E$5:$CE$5, 1, (COLUMNS($DU19:EC19)-1)*5 + 1), INDEX($E$8:$CE$57, MATCH($C19, $C$8:$C$57, 0), (COLUMNS($DU19:EC19)-1)*5 + 4) = "SF"), INDEX($CZ$8:$CZ$23, COLUMNS($DU19:EC19)), "0"), "")</f>
        <v/>
      </c>
      <c r="ED19" s="395">
        <f t="array" ref="ED19">IFERROR(IF(AND(INDEX($E$8:$CE$57, MATCH($C19, $C$8:$C$57, 0), (COLUMNS($DU19:ED19)-1)*5 + 1) = INDEX($E$5:$CE$5, 1, (COLUMNS($DU19:ED19)-1)*5 + 1), INDEX($E$8:$CE$57, MATCH($C19, $C$8:$C$57, 0), (COLUMNS($DU19:ED19)-1)*5 + 4) = "SF"), INDEX($CZ$8:$CZ$23, COLUMNS($DU19:ED19)), "0"), "")</f>
        <v/>
      </c>
      <c r="EE19" s="395">
        <f t="array" ref="EE19">IFERROR(IF(AND(INDEX($E$8:$CE$57, MATCH($C19, $C$8:$C$57, 0), (COLUMNS($DU19:EE19)-1)*5 + 1) = INDEX($E$5:$CE$5, 1, (COLUMNS($DU19:EE19)-1)*5 + 1), INDEX($E$8:$CE$57, MATCH($C19, $C$8:$C$57, 0), (COLUMNS($DU19:EE19)-1)*5 + 4) = "SF"), INDEX($CZ$8:$CZ$23, COLUMNS($DU19:EE19)), "0"), "")</f>
        <v/>
      </c>
      <c r="EF19" s="395">
        <f t="array" ref="EF19">IFERROR(IF(AND(INDEX($E$8:$CE$57, MATCH($C19, $C$8:$C$57, 0), (COLUMNS($DU19:EF19)-1)*5 + 1) = INDEX($E$5:$CE$5, 1, (COLUMNS($DU19:EF19)-1)*5 + 1), INDEX($E$8:$CE$57, MATCH($C19, $C$8:$C$57, 0), (COLUMNS($DU19:EF19)-1)*5 + 4) = "SF"), INDEX($CZ$8:$CZ$23, COLUMNS($DU19:EF19)), "0"), "")</f>
        <v/>
      </c>
      <c r="EG19" s="395">
        <f t="array" ref="EG19">IFERROR(IF(AND(INDEX($E$8:$CE$57, MATCH($C19, $C$8:$C$57, 0), (COLUMNS($DU19:EG19)-1)*5 + 1) = INDEX($E$5:$CE$5, 1, (COLUMNS($DU19:EG19)-1)*5 + 1), INDEX($E$8:$CE$57, MATCH($C19, $C$8:$C$57, 0), (COLUMNS($DU19:EG19)-1)*5 + 4) = "SF"), INDEX($CZ$8:$CZ$23, COLUMNS($DU19:EG19)), "0"), "")</f>
        <v/>
      </c>
      <c r="EH19" s="395">
        <f t="array" ref="EH19">IFERROR(IF(AND(INDEX($E$8:$CE$57, MATCH($C19, $C$8:$C$57, 0), (COLUMNS($DU19:EH19)-1)*5 + 1) = INDEX($E$5:$CE$5, 1, (COLUMNS($DU19:EH19)-1)*5 + 1), INDEX($E$8:$CE$57, MATCH($C19, $C$8:$C$57, 0), (COLUMNS($DU19:EH19)-1)*5 + 4) = "SF"), INDEX($CZ$8:$CZ$23, COLUMNS($DU19:EH19)), "0"), "")</f>
        <v/>
      </c>
      <c r="EI19" s="395">
        <f t="array" ref="EI19">IFERROR(IF(AND(INDEX($E$8:$CE$57, MATCH($C19, $C$8:$C$57, 0), (COLUMNS($DU19:EI19)-1)*5 + 1) = INDEX($E$5:$CE$5, 1, (COLUMNS($DU19:EI19)-1)*5 + 1), INDEX($E$8:$CE$57, MATCH($C19, $C$8:$C$57, 0), (COLUMNS($DU19:EI19)-1)*5 + 4) = "SF"), INDEX($CZ$8:$CZ$23, COLUMNS($DU19:EI19)), "0"), "")</f>
        <v/>
      </c>
      <c r="EJ19" s="395">
        <f t="array" ref="EJ19">IFERROR(IF(AND(INDEX($E$8:$CE$57, MATCH($C19, $C$8:$C$57, 0), (COLUMNS($DU19:EJ19)-1)*5 + 1) = INDEX($E$5:$CE$5, 1, (COLUMNS($DU19:EJ19)-1)*5 + 1), INDEX($E$8:$CE$57, MATCH($C19, $C$8:$C$57, 0), (COLUMNS($DU19:EJ19)-1)*5 + 4) = "SF"), INDEX($CZ$8:$CZ$23, COLUMNS($DU19:EJ19)), "0"), "")</f>
        <v/>
      </c>
    </row>
    <row r="20" ht="20.1" customHeight="1" s="568">
      <c r="A20" s="576" t="n"/>
      <c r="B20" s="449">
        <f>IF(SEMANA29[[#This Row],[COD]]&lt;&gt;"",B19+1,"")</f>
        <v/>
      </c>
      <c r="C20" s="622" t="inlineStr">
        <is>
          <t>COD 13</t>
        </is>
      </c>
      <c r="D20" s="415">
        <f t="array" ref="D20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0" s="419" t="n"/>
      <c r="F20" s="419" t="n"/>
      <c r="G20" s="419" t="n"/>
      <c r="H20" s="419" t="n"/>
      <c r="I20" s="602">
        <f>SUM(IF(E20=E$5,4,0),IF(E20&amp;F20=E$5&amp;F$5,1,0),
IF(AND(E20=E$5,F$6&gt;=$D$115),1,0),
IF(AND(F20=E$5,F$6&gt;=$D$115),1,0),
IF(AND(G20=E$5,F$6&gt;=$D$115),1,0),
IF(E20&amp;H20=I$5,1,0),
IF(F20=E$5,2,0),
IF(G20=E$5,1,0),
IF(OR(E20&amp;F20&amp;G20=E$5&amp;F$5&amp;G$5,E20&amp;F20&amp;G20=E$5&amp;G$5&amp;F$5,E20&amp;F20&amp;G20=F$5&amp;E$5&amp;G$5,E20&amp;F20&amp;G20=F$5&amp;G$5&amp;E$5,E20&amp;F20&amp;G20=G$5&amp;E$5&amp;F$5,E20&amp;F20&amp;G20=G$5&amp;F$5&amp;E$5),2,0),IF(AND(E20=E$5,F$6&gt;=$D$129),1,0),IF(AND(F20=E$5,F$6&gt;=$D$129),1,0),IF(AND(G20=E$5,F$6&gt;=$D$129),1,0),IF(E20&amp;H20=H$5,4,0),IF(AND(E20=E$5,F$6&lt;=$D$104),-0.5,0),IF(AND(F20=E$5,F$6&lt;=$D$104),-0.5,0),IF(AND(G20=E$5,F$6&lt;=$D$104),-0.5,0))</f>
        <v/>
      </c>
      <c r="J20" s="419" t="n"/>
      <c r="K20" s="419" t="n"/>
      <c r="L20" s="419" t="n"/>
      <c r="M20" s="419" t="n"/>
      <c r="N20" s="602">
        <f>SUM(IF(J20=J$5,4,0),IF(J20&amp;K20=J$5&amp;K$5,1,0),
IF(AND(J20=J$5,K$6&gt;=$D$115),1,0),
IF(AND(K20=J$5,K$6&gt;=$D$115),1,0),
IF(AND(L20=J$5,K$6&gt;=$D$115),1,0),
IF(J20&amp;M20=N$5,1,0),
IF(K20=J$5,2,0),
IF(L20=J$5,1,0),
IF(OR(J20&amp;K20&amp;L20=J$5&amp;K$5&amp;L$5,J20&amp;K20&amp;L20=J$5&amp;L$5&amp;K$5,J20&amp;K20&amp;L20=K$5&amp;J$5&amp;L$5,J20&amp;K20&amp;L20=K$5&amp;L$5&amp;J$5,J20&amp;K20&amp;L20=L$5&amp;J$5&amp;K$5,J20&amp;K20&amp;L20=L$5&amp;K$5&amp;J$5),2,0),IF(AND(J20=J$5,K$6&gt;=$D$129),1,0),IF(AND(K20=J$5,K$6&gt;=$D$129),1,0),IF(AND(L20=J$5,K$6&gt;=$D$129),1,0),IF(J20&amp;M20=M$5,4,0),IF(AND(J20=J$5,K$6&lt;=$D$104),-0.5,0),IF(AND(K20=J$5,K$6&lt;=$D$104),-0.5,0),IF(AND(L20=J$5,K$6&lt;=$D$104),-0.5,0))</f>
        <v/>
      </c>
      <c r="O20" s="419" t="n"/>
      <c r="P20" s="419" t="n"/>
      <c r="Q20" s="419" t="n"/>
      <c r="R20" s="419" t="n"/>
      <c r="S20" s="602">
        <f>SUM(IF(O20=O$5,4,0),IF(O20&amp;P20=O$5&amp;P$5,1,0),
IF(AND(O20=O$5,P$6&gt;=$D$115),1,0),
IF(AND(P20=O$5,P$6&gt;=$D$115),1,0),
IF(AND(Q20=O$5,P$6&gt;=$D$115),1,0),
IF(O20&amp;R20=S$5,1,0),
IF(P20=O$5,2,0),
IF(Q20=O$5,1,0),
IF(OR(O20&amp;P20&amp;Q20=O$5&amp;P$5&amp;Q$5,O20&amp;P20&amp;Q20=O$5&amp;Q$5&amp;P$5,O20&amp;P20&amp;Q20=P$5&amp;O$5&amp;Q$5,O20&amp;P20&amp;Q20=P$5&amp;Q$5&amp;O$5,O20&amp;P20&amp;Q20=Q$5&amp;O$5&amp;P$5,O20&amp;P20&amp;Q20=Q$5&amp;P$5&amp;O$5),2,0),IF(AND(O20=O$5,P$6&gt;=$D$129),1,0),IF(AND(P20=O$5,P$6&gt;=$D$129),1,0),IF(AND(Q20=O$5,P$6&gt;=$D$129),1,0),IF(O20&amp;R20=R$5,4,0),IF(AND(O20=O$5,P$6&lt;=$D$104),-0.5,0),IF(AND(P20=O$5,P$6&lt;=$D$104),-0.5,0),IF(AND(Q20=O$5,P$6&lt;=$D$104),-0.5,0))</f>
        <v/>
      </c>
      <c r="T20" s="419" t="n"/>
      <c r="U20" s="419" t="n"/>
      <c r="V20" s="419" t="n"/>
      <c r="W20" s="419" t="n"/>
      <c r="X20" s="602">
        <f>SUM(IF(T20=T$5,4,0),IF(T20&amp;U20=T$5&amp;U$5,1,0),
IF(AND(T20=T$5,U$6&gt;=$D$115),1,0),
IF(AND(U20=T$5,U$6&gt;=$D$115),1,0),
IF(AND(V20=T$5,U$6&gt;=$D$115),1,0),
IF(T20&amp;W20=X$5,1,0),
IF(U20=T$5,2,0),
IF(V20=T$5,1,0),
IF(OR(T20&amp;U20&amp;V20=T$5&amp;U$5&amp;V$5,T20&amp;U20&amp;V20=T$5&amp;V$5&amp;U$5,T20&amp;U20&amp;V20=U$5&amp;T$5&amp;V$5,T20&amp;U20&amp;V20=U$5&amp;V$5&amp;T$5,T20&amp;U20&amp;V20=V$5&amp;T$5&amp;U$5,T20&amp;U20&amp;V20=V$5&amp;U$5&amp;T$5),2,0),IF(AND(T20=T$5,U$6&gt;=$D$129),1,0),IF(AND(U20=T$5,U$6&gt;=$D$129),1,0),IF(AND(V20=T$5,U$6&gt;=$D$129),1,0),IF(T20&amp;W20=W$5,4,0),IF(AND(T20=T$5,U$6&lt;=$D$104),-0.5,0),IF(AND(U20=T$5,U$6&lt;=$D$104),-0.5,0),IF(AND(V20=T$5,U$6&lt;=$D$104),-0.5,0))</f>
        <v/>
      </c>
      <c r="Y20" s="419" t="n"/>
      <c r="Z20" s="419" t="n"/>
      <c r="AA20" s="419" t="n"/>
      <c r="AB20" s="419" t="n"/>
      <c r="AC20" s="602">
        <f>SUM(IF(Y20=Y$5,4,0),IF(Y20&amp;Z20=Y$5&amp;Z$5,1,0),
IF(AND(Y20=Y$5,Z$6&gt;=$D$115),1,0),
IF(AND(Z20=Y$5,Z$6&gt;=$D$115),1,0),
IF(AND(AA20=Y$5,Z$6&gt;=$D$115),1,0),
IF(Y20&amp;AB20=AC$5,1,0),
IF(Z20=Y$5,2,0),
IF(AA20=Y$5,1,0),
IF(OR(Y20&amp;Z20&amp;AA20=Y$5&amp;Z$5&amp;AA$5,Y20&amp;Z20&amp;AA20=Y$5&amp;AA$5&amp;Z$5,Y20&amp;Z20&amp;AA20=Z$5&amp;Y$5&amp;AA$5,Y20&amp;Z20&amp;AA20=Z$5&amp;AA$5&amp;Y$5,Y20&amp;Z20&amp;AA20=AA$5&amp;Y$5&amp;Z$5,Y20&amp;Z20&amp;AA20=AA$5&amp;Z$5&amp;Y$5),2,0),IF(AND(Y20=Y$5,Z$6&gt;=$D$129),1,0),IF(AND(Z20=Y$5,Z$6&gt;=$D$129),1,0),IF(AND(AA20=Y$5,Z$6&gt;=$D$129),1,0),IF(Y20&amp;AB20=AB$5,4,0),IF(AND(Y20=Y$5,Z$6&lt;=$D$104),-0.5,0),IF(AND(Z20=Y$5,Z$6&lt;=$D$104),-0.5,0),IF(AND(AA20=Y$5,Z$6&lt;=$D$104),-0.5,0))</f>
        <v/>
      </c>
      <c r="AD20" s="419" t="n"/>
      <c r="AE20" s="419" t="n"/>
      <c r="AF20" s="419" t="n"/>
      <c r="AG20" s="419" t="n"/>
      <c r="AH20" s="602">
        <f>SUM(IF(AD20=AD$5,4,0),IF(AD20&amp;AE20=AD$5&amp;AE$5,1,0),
IF(AND(AD20=AD$5,AE$6&gt;=$D$115),1,0),
IF(AND(AE20=AD$5,AE$6&gt;=$D$115),1,0),
IF(AND(AF20=AD$5,AE$6&gt;=$D$115),1,0),
IF(AD20&amp;AG20=AH$5,1,0),
IF(AE20=AD$5,2,0),
IF(AF20=AD$5,1,0),
IF(OR(AD20&amp;AE20&amp;AF20=AD$5&amp;AE$5&amp;AF$5,AD20&amp;AE20&amp;AF20=AD$5&amp;AF$5&amp;AE$5,AD20&amp;AE20&amp;AF20=AE$5&amp;AD$5&amp;AF$5,AD20&amp;AE20&amp;AF20=AE$5&amp;AF$5&amp;AD$5,AD20&amp;AE20&amp;AF20=AF$5&amp;AD$5&amp;AE$5,AD20&amp;AE20&amp;AF20=AF$5&amp;AE$5&amp;AD$5),2,0),IF(AND(AD20=AD$5,AE$6&gt;=$D$129),1,0),IF(AND(AE20=AD$5,AE$6&gt;=$D$129),1,0),IF(AND(AF20=AD$5,AE$6&gt;=$D$129),1,0),IF(AD20&amp;AG20=AG$5,4,0),IF(AND(AD20=AD$5,AE$6&lt;=$D$104),-0.5,0),IF(AND(AE20=AD$5,AE$6&lt;=$D$104),-0.5,0),IF(AND(AF20=AD$5,AE$6&lt;=$D$104),-0.5,0))</f>
        <v/>
      </c>
      <c r="AI20" s="419" t="n"/>
      <c r="AJ20" s="419" t="n"/>
      <c r="AK20" s="419" t="n"/>
      <c r="AL20" s="419" t="n"/>
      <c r="AM20" s="602">
        <f>SUM(IF(AI20=AI$5,4,0),IF(AI20&amp;AJ20=AI$5&amp;AJ$5,1,0),
IF(AND(AI20=AI$5,AJ$6&gt;=$D$115),1,0),
IF(AND(AJ20=AI$5,AJ$6&gt;=$D$115),1,0),
IF(AND(AK20=AI$5,AJ$6&gt;=$D$115),1,0),
IF(AI20&amp;AL20=AM$5,1,0),
IF(AJ20=AI$5,2,0),
IF(AK20=AI$5,1,0),
IF(OR(AI20&amp;AJ20&amp;AK20=AI$5&amp;AJ$5&amp;AK$5,AI20&amp;AJ20&amp;AK20=AI$5&amp;AK$5&amp;AJ$5,AI20&amp;AJ20&amp;AK20=AJ$5&amp;AI$5&amp;AK$5,AI20&amp;AJ20&amp;AK20=AJ$5&amp;AK$5&amp;AI$5,AI20&amp;AJ20&amp;AK20=AK$5&amp;AI$5&amp;AJ$5,AI20&amp;AJ20&amp;AK20=AK$5&amp;AJ$5&amp;AI$5),2,0),IF(AND(AI20=AI$5,AJ$6&gt;=$D$129),1,0),IF(AND(AJ20=AI$5,AJ$6&gt;=$D$129),1,0),IF(AND(AK20=AI$5,AJ$6&gt;=$D$129),1,0),IF(AI20&amp;AL20=AL$5,4,0),IF(AND(AI20=AI$5,AJ$6&lt;=$D$104),-0.5,0),IF(AND(AJ20=AI$5,AJ$6&lt;=$D$104),-0.5,0),IF(AND(AK20=AI$5,AJ$6&lt;=$D$104),-0.5,0))</f>
        <v/>
      </c>
      <c r="AN20" s="419" t="n"/>
      <c r="AO20" s="419" t="n"/>
      <c r="AP20" s="419" t="n"/>
      <c r="AQ20" s="419" t="n"/>
      <c r="AR20" s="602">
        <f>SUM(IF(AN20=AN$5,4,0),IF(AN20&amp;AO20=AN$5&amp;AO$5,1,0),
IF(AND(AN20=AN$5,AO$6&gt;=$D$115),1,0),
IF(AND(AO20=AN$5,AO$6&gt;=$D$115),1,0),
IF(AND(AP20=AN$5,AO$6&gt;=$D$115),1,0),
IF(AN20&amp;AQ20=AR$5,1,0),
IF(AO20=AN$5,2,0),
IF(AP20=AN$5,1,0),
IF(OR(AN20&amp;AO20&amp;AP20=AN$5&amp;AO$5&amp;AP$5,AN20&amp;AO20&amp;AP20=AN$5&amp;AP$5&amp;AO$5,AN20&amp;AO20&amp;AP20=AO$5&amp;AN$5&amp;AP$5,AN20&amp;AO20&amp;AP20=AO$5&amp;AP$5&amp;AN$5,AN20&amp;AO20&amp;AP20=AP$5&amp;AN$5&amp;AO$5,AN20&amp;AO20&amp;AP20=AP$5&amp;AO$5&amp;AN$5),2,0),IF(AND(AN20=AN$5,AO$6&gt;=$D$129),1,0),IF(AND(AO20=AN$5,AO$6&gt;=$D$129),1,0),IF(AND(AP20=AN$5,AO$6&gt;=$D$129),1,0),IF(AN20&amp;AQ20=AQ$5,4,0),IF(AND(AN20=AN$5,AO$6&lt;=$D$104),-0.5,0),IF(AND(AO20=AN$5,AO$6&lt;=$D$104),-0.5,0),IF(AND(AP20=AN$5,AO$6&lt;=$D$104),-0.5,0))</f>
        <v/>
      </c>
      <c r="AS20" s="419" t="n"/>
      <c r="AT20" s="419" t="n"/>
      <c r="AU20" s="419" t="n"/>
      <c r="AV20" s="419" t="n"/>
      <c r="AW20" s="602">
        <f>SUM(IF(AS20=AS$5,4,0),IF(AS20&amp;AT20=AS$5&amp;AT$5,1,0),
IF(AND(AS20=AS$5,AT$6&gt;=$D$115),1,0),
IF(AND(AT20=AS$5,AT$6&gt;=$D$115),1,0),
IF(AND(AU20=AS$5,AT$6&gt;=$D$115),1,0),
IF(AS20&amp;AV20=AW$5,1,0),
IF(AT20=AS$5,2,0),
IF(AU20=AS$5,1,0),
IF(OR(AS20&amp;AT20&amp;AU20=AS$5&amp;AT$5&amp;AU$5,AS20&amp;AT20&amp;AU20=AS$5&amp;AU$5&amp;AT$5,AS20&amp;AT20&amp;AU20=AT$5&amp;AS$5&amp;AU$5,AS20&amp;AT20&amp;AU20=AT$5&amp;AU$5&amp;AS$5,AS20&amp;AT20&amp;AU20=AU$5&amp;AS$5&amp;AT$5,AS20&amp;AT20&amp;AU20=AU$5&amp;AT$5&amp;AS$5),2,0),IF(AND(AS20=AS$5,AT$6&gt;=$D$129),1,0),IF(AND(AT20=AS$5,AT$6&gt;=$D$129),1,0),IF(AND(AU20=AS$5,AT$6&gt;=$D$129),1,0),IF(AS20&amp;AV20=AV$5,4,0),IF(AND(AS20=AS$5,AT$6&lt;=$D$104),-0.5,0),IF(AND(AT20=AS$5,AT$6&lt;=$D$104),-0.5,0),IF(AND(AU20=AS$5,AT$6&lt;=$D$104),-0.5,0))</f>
        <v/>
      </c>
      <c r="AX20" s="419" t="n"/>
      <c r="AY20" s="419" t="n"/>
      <c r="AZ20" s="419" t="n"/>
      <c r="BA20" s="419" t="n"/>
      <c r="BB20" s="602">
        <f>SUM(IF(AX20=AX$5,4,0),IF(AX20&amp;AY20=AX$5&amp;AY$5,1,0),
IF(AND(AX20=AX$5,AY$6&gt;=$D$115),1,0),
IF(AND(AY20=AX$5,AY$6&gt;=$D$115),1,0),
IF(AND(AZ20=AX$5,AY$6&gt;=$D$115),1,0),
IF(AX20&amp;BA20=BB$5,1,0),
IF(AY20=AX$5,2,0),
IF(AZ20=AX$5,1,0),
IF(OR(AX20&amp;AY20&amp;AZ20=AX$5&amp;AY$5&amp;AZ$5,AX20&amp;AY20&amp;AZ20=AX$5&amp;AZ$5&amp;AY$5,AX20&amp;AY20&amp;AZ20=AY$5&amp;AX$5&amp;AZ$5,AX20&amp;AY20&amp;AZ20=AY$5&amp;AZ$5&amp;AX$5,AX20&amp;AY20&amp;AZ20=AZ$5&amp;AX$5&amp;AY$5,AX20&amp;AY20&amp;AZ20=AZ$5&amp;AY$5&amp;AX$5),2,0),IF(AND(AX20=AX$5,AY$6&gt;=$D$129),1,0),IF(AND(AY20=AX$5,AY$6&gt;=$D$129),1,0),IF(AND(AZ20=AX$5,AY$6&gt;=$D$129),1,0),IF(AX20&amp;BA20=BA$5,4,0),IF(AND(AX20=AX$5,AY$6&lt;=$D$104),-0.5,0),IF(AND(AY20=AX$5,AY$6&lt;=$D$104),-0.5,0),IF(AND(AZ20=AX$5,AY$6&lt;=$D$104),-0.5,0))</f>
        <v/>
      </c>
      <c r="BC20" s="419" t="n"/>
      <c r="BD20" s="419" t="n"/>
      <c r="BE20" s="419" t="n"/>
      <c r="BF20" s="419" t="n"/>
      <c r="BG20" s="602">
        <f>SUM(IF(BC20=BC$5,4,0),IF(BC20&amp;BD20=BC$5&amp;BD$5,1,0),
IF(AND(BC20=BC$5,BD$6&gt;=$D$115),1,0),
IF(AND(BD20=BC$5,BD$6&gt;=$D$115),1,0),
IF(AND(BE20=BC$5,BD$6&gt;=$D$115),1,0),
IF(BC20&amp;BF20=BG$5,1,0),
IF(BD20=BC$5,2,0),
IF(BE20=BC$5,1,0),
IF(OR(BC20&amp;BD20&amp;BE20=BC$5&amp;BD$5&amp;BE$5,BC20&amp;BD20&amp;BE20=BC$5&amp;BE$5&amp;BD$5,BC20&amp;BD20&amp;BE20=BD$5&amp;BC$5&amp;BE$5,BC20&amp;BD20&amp;BE20=BD$5&amp;BE$5&amp;BC$5,BC20&amp;BD20&amp;BE20=BE$5&amp;BC$5&amp;BD$5,BC20&amp;BD20&amp;BE20=BE$5&amp;BD$5&amp;BC$5),2,0),IF(AND(BC20=BC$5,BD$6&gt;=$D$129),1,0),IF(AND(BD20=BC$5,BD$6&gt;=$D$129),1,0),IF(AND(BE20=BC$5,BD$6&gt;=$D$129),1,0),IF(BC20&amp;BF20=BF$5,4,0),IF(AND(BC20=BC$5,BD$6&lt;=$D$104),-0.5,0),IF(AND(BD20=BC$5,BD$6&lt;=$D$104),-0.5,0),IF(AND(BE20=BC$5,BD$6&lt;=$D$104),-0.5,0))</f>
        <v/>
      </c>
      <c r="BH20" s="419" t="n"/>
      <c r="BI20" s="419" t="n"/>
      <c r="BJ20" s="419" t="n"/>
      <c r="BK20" s="419" t="n"/>
      <c r="BL20" s="602">
        <f>SUM(IF(BH20=BH$5,4,0),IF(BH20&amp;BI20=BH$5&amp;BI$5,1,0),
IF(AND(BH20=BH$5,BI$6&gt;=$D$115),1,0),
IF(AND(BI20=BH$5,BI$6&gt;=$D$115),1,0),
IF(AND(BJ20=BH$5,BI$6&gt;=$D$115),1,0),
IF(BH20&amp;BK20=BL$5,1,0),
IF(BI20=BH$5,2,0),
IF(BJ20=BH$5,1,0),
IF(OR(BH20&amp;BI20&amp;BJ20=BH$5&amp;BI$5&amp;BJ$5,BH20&amp;BI20&amp;BJ20=BH$5&amp;BJ$5&amp;BI$5,BH20&amp;BI20&amp;BJ20=BI$5&amp;BH$5&amp;BJ$5,BH20&amp;BI20&amp;BJ20=BI$5&amp;BJ$5&amp;BH$5,BH20&amp;BI20&amp;BJ20=BJ$5&amp;BH$5&amp;BI$5,BH20&amp;BI20&amp;BJ20=BJ$5&amp;BI$5&amp;BH$5),2,0),IF(AND(BH20=BH$5,BI$6&gt;=$D$129),1,0),IF(AND(BI20=BH$5,BI$6&gt;=$D$129),1,0),IF(AND(BJ20=BH$5,BI$6&gt;=$D$129),1,0),IF(BH20&amp;BK20=BK$5,4,0),IF(AND(BH20=BH$5,BI$6&lt;=$D$104),-0.5,0),IF(AND(BI20=BH$5,BI$6&lt;=$D$104),-0.5,0),IF(AND(BJ20=BH$5,BI$6&lt;=$D$104),-0.5,0))</f>
        <v/>
      </c>
      <c r="BM20" s="419" t="n"/>
      <c r="BN20" s="419" t="n"/>
      <c r="BO20" s="419" t="n"/>
      <c r="BP20" s="419" t="n"/>
      <c r="BQ20" s="602">
        <f>SUM(IF(BM20=BM$5,4,0),IF(BM20&amp;BN20=BM$5&amp;BN$5,1,0),
IF(AND(BM20=BM$5,BN$6&gt;=$D$115),1,0),
IF(AND(BN20=BM$5,BN$6&gt;=$D$115),1,0),
IF(AND(BO20=BM$5,BN$6&gt;=$D$115),1,0),
IF(BM20&amp;BP20=BQ$5,1,0),
IF(BN20=BM$5,2,0),
IF(BO20=BM$5,1,0),
IF(OR(BM20&amp;BN20&amp;BO20=BM$5&amp;BN$5&amp;BO$5,BM20&amp;BN20&amp;BO20=BM$5&amp;BO$5&amp;BN$5,BM20&amp;BN20&amp;BO20=BN$5&amp;BM$5&amp;BO$5,BM20&amp;BN20&amp;BO20=BN$5&amp;BO$5&amp;BM$5,BM20&amp;BN20&amp;BO20=BO$5&amp;BM$5&amp;BN$5,BM20&amp;BN20&amp;BO20=BO$5&amp;BN$5&amp;BM$5),2,0),IF(AND(BM20=BM$5,BN$6&gt;=$D$129),1,0),IF(AND(BN20=BM$5,BN$6&gt;=$D$129),1,0),IF(AND(BO20=BM$5,BN$6&gt;=$D$129),1,0),IF(BM20&amp;BP20=BP$5,4,0),IF(AND(BM20=BM$5,BN$6&lt;=$D$104),-0.5,0),IF(AND(BN20=BM$5,BN$6&lt;=$D$104),-0.5,0),IF(AND(BO20=BM$5,BN$6&lt;=$D$104),-0.5,0))</f>
        <v/>
      </c>
      <c r="BR20" s="419" t="n"/>
      <c r="BS20" s="419" t="n"/>
      <c r="BT20" s="419" t="n"/>
      <c r="BU20" s="419" t="n"/>
      <c r="BV20" s="602">
        <f>SUM(IF(BR20=BR$5,4,0),IF(BR20&amp;BS20=BR$5&amp;BS$5,1,0),
IF(AND(BR20=BR$5,BS$6&gt;=$D$115),1,0),
IF(AND(BS20=BR$5,BS$6&gt;=$D$115),1,0),
IF(AND(BT20=BR$5,BS$6&gt;=$D$115),1,0),
IF(BR20&amp;BU20=BV$5,1,0),
IF(BS20=BR$5,2,0),
IF(BT20=BR$5,1,0),
IF(OR(BR20&amp;BS20&amp;BT20=BR$5&amp;BS$5&amp;BT$5,BR20&amp;BS20&amp;BT20=BR$5&amp;BT$5&amp;BS$5,BR20&amp;BS20&amp;BT20=BS$5&amp;BR$5&amp;BT$5,BR20&amp;BS20&amp;BT20=BS$5&amp;BT$5&amp;BR$5,BR20&amp;BS20&amp;BT20=BT$5&amp;BR$5&amp;BS$5,BR20&amp;BS20&amp;BT20=BT$5&amp;BS$5&amp;BR$5),2,0),IF(AND(BR20=BR$5,BS$6&gt;=$D$129),1,0),IF(AND(BS20=BR$5,BS$6&gt;=$D$129),1,0),IF(AND(BT20=BR$5,BS$6&gt;=$D$129),1,0),IF(BR20&amp;BU20=BU$5,4,0),IF(AND(BR20=BR$5,BS$6&lt;=$D$104),-0.5,0),IF(AND(BS20=BR$5,BS$6&lt;=$D$104),-0.5,0),IF(AND(BT20=BR$5,BS$6&lt;=$D$104),-0.5,0))</f>
        <v/>
      </c>
      <c r="BW20" s="419" t="n"/>
      <c r="BX20" s="419" t="n"/>
      <c r="BY20" s="419" t="n"/>
      <c r="BZ20" s="419" t="n"/>
      <c r="CA20" s="602">
        <f>SUM(IF(BW20=BW$5,4,0),IF(BW20&amp;BX20=BW$5&amp;BX$5,1,0),
IF(AND(BW20=BW$5,BX$6&gt;=$D$115),1,0),
IF(AND(BX20=BW$5,BX$6&gt;=$D$115),1,0),
IF(AND(BY20=BW$5,BX$6&gt;=$D$115),1,0),
IF(BW20&amp;BZ20=CA$5,1,0),
IF(BX20=BW$5,2,0),
IF(BY20=BW$5,1,0),
IF(OR(BW20&amp;BX20&amp;BY20=BW$5&amp;BX$5&amp;BY$5,BW20&amp;BX20&amp;BY20=BW$5&amp;BY$5&amp;BX$5,BW20&amp;BX20&amp;BY20=BX$5&amp;BW$5&amp;BY$5,BW20&amp;BX20&amp;BY20=BX$5&amp;BY$5&amp;BW$5,BW20&amp;BX20&amp;BY20=BY$5&amp;BW$5&amp;BX$5,BW20&amp;BX20&amp;BY20=BY$5&amp;BX$5&amp;BW$5),2,0),IF(AND(BW20=BW$5,BX$6&gt;=$D$129),1,0),IF(AND(BX20=BW$5,BX$6&gt;=$D$129),1,0),IF(AND(BY20=BW$5,BX$6&gt;=$D$129),1,0),IF(BW20&amp;BZ20=BZ$5,4,0),IF(AND(BW20=BW$5,BX$6&lt;=$D$104),-0.5,0),IF(AND(BX20=BW$5,BX$6&lt;=$D$104),-0.5,0),IF(AND(BY20=BW$5,BX$6&lt;=$D$104),-0.5,0))</f>
        <v/>
      </c>
      <c r="CB20" s="419" t="n"/>
      <c r="CC20" s="419" t="n"/>
      <c r="CD20" s="419" t="n"/>
      <c r="CE20" s="419" t="n"/>
      <c r="CF20" s="602">
        <f>SUM(IF(CB20=CB$5,4,0),IF(CB20&amp;CC20=CB$5&amp;CC$5,1,0),
IF(AND(CB20=CB$5,CC$6&gt;=$D$115),1,0),
IF(AND(CC20=CB$5,CC$6&gt;=$D$115),1,0),
IF(AND(CD20=CB$5,CC$6&gt;=$D$115),1,0),
IF(CB20&amp;CE20=CF$5,1,0),
IF(CC20=CB$5,2,0),
IF(CD20=CB$5,1,0),
IF(OR(CB20&amp;CC20&amp;CD20=CB$5&amp;CC$5&amp;CD$5,CB20&amp;CC20&amp;CD20=CB$5&amp;CD$5&amp;CC$5,CB20&amp;CC20&amp;CD20=CC$5&amp;CB$5&amp;CD$5,CB20&amp;CC20&amp;CD20=CC$5&amp;CD$5&amp;CB$5,CB20&amp;CC20&amp;CD20=CD$5&amp;CB$5&amp;CC$5,CB20&amp;CC20&amp;CD20=CD$5&amp;CC$5&amp;CB$5),2,0),IF(AND(CB20=CB$5,CC$6&gt;=$D$129),1,0),IF(AND(CC20=CB$5,CC$6&gt;=$D$129),1,0),IF(AND(CD20=CB$5,CC$6&gt;=$D$129),1,0),IF(CB20&amp;CE20=CE$5,4,0),IF(AND(CB20=CB$5,CC$6&lt;=$D$104),-0.5,0),IF(AND(CC20=CB$5,CC$6&lt;=$D$104),-0.5,0),IF(AND(CD20=CB$5,CC$6&lt;=$D$104),-0.5,0))</f>
        <v/>
      </c>
      <c r="CG20" s="164">
        <f>IF(SEMANA29[[#This Row],[1]]="",0,$B$4)</f>
        <v/>
      </c>
      <c r="CH20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0" s="166">
        <f>IF(SEMANA29[[#This Row],[Columna14]]=0,0,(CH20/CG20))</f>
        <v/>
      </c>
      <c r="CJ20" s="165">
        <f>IF(SEMANA29[[#This Row],[1]]="",0,$B$4)</f>
        <v/>
      </c>
      <c r="CK20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0" s="166">
        <f>IF(SEMANA29[[#This Row],[Columna14]]=0,0,(CK20/CJ20))</f>
        <v/>
      </c>
      <c r="CM20" s="164">
        <f>IF(SEMANA29[[#This Row],[1]]="",0,$B$4)</f>
        <v/>
      </c>
      <c r="CN20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0" s="166">
        <f>IF(SEMANA29[[#This Row],[Columna14]]=0,0,(CN20/CM20))</f>
        <v/>
      </c>
      <c r="CP20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0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Row],[Columna25]],$AX$5,BA20,"SF")+COUNTIFS(SEMANA29[[#This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0" s="166">
        <f>IFERROR(IF(SEMANA29[[#This Row],[Columna14]]=0,0,(CQ20/CP20)),0)</f>
        <v/>
      </c>
      <c r="CS20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0" s="95">
        <f>_xlfn.XLOOKUP(SEMANA29[[#This Row],[COD]],SEMANA2[COD],SEMANA2[Columna33])</f>
        <v/>
      </c>
      <c r="CU20" s="604">
        <f>SUM(CS20,CT20)</f>
        <v/>
      </c>
      <c r="CV20" s="450">
        <f>IF(SEMANA29[[#This Row],[TIPO]]="PREMIO",$O$3,"0,00")</f>
        <v/>
      </c>
      <c r="CW20" s="576" t="n"/>
      <c r="CY20" s="393" t="n">
        <v>13</v>
      </c>
      <c r="CZ20" s="354">
        <f>BN$6</f>
        <v/>
      </c>
      <c r="DB20" s="605">
        <f>SEMANA29[[#This Row],[COD]]</f>
        <v/>
      </c>
      <c r="DC20" s="395">
        <f t="array" ref="DC20">IFERROR(IF(AND(INDEX($E$8:$CE$57, MATCH($C20, $C$8:$C$57, 0), (COLUMNS($DC20:DC20)-1)*5 + 1) = INDEX($E$5:$CE$5, 1, (COLUMNS($DC20:DC20)-1)*5 + 1), INDEX($E$8:$CE$57, MATCH($C20, $C$8:$C$57, 0), (COLUMNS($DC20:DC20)-1)*5 + 4) = "F"), INDEX($CZ$8:$CZ$23, COLUMNS($DC20:DC20)), "0"), "")</f>
        <v/>
      </c>
      <c r="DD20" s="395">
        <f t="array" ref="DD20">IFERROR(IF(AND(INDEX($E$8:$CE$57, MATCH($C20, $C$8:$C$57, 0), (COLUMNS($DC20:DD20)-1)*5 + 1) = INDEX($E$5:$CE$5, 1, (COLUMNS($DC20:DD20)-1)*5 + 1), INDEX($E$8:$CE$57, MATCH($C20, $C$8:$C$57, 0), (COLUMNS($DC20:DD20)-1)*5 + 4) = "F"), INDEX($CZ$8:$CZ$23, COLUMNS($DC20:DD20)), "0"), "")</f>
        <v/>
      </c>
      <c r="DE20" s="395">
        <f t="array" ref="DE20">IFERROR(IF(AND(INDEX($E$8:$CE$57, MATCH($C20, $C$8:$C$57, 0), (COLUMNS($DC20:DE20)-1)*5 + 1) = INDEX($E$5:$CE$5, 1, (COLUMNS($DC20:DE20)-1)*5 + 1), INDEX($E$8:$CE$57, MATCH($C20, $C$8:$C$57, 0), (COLUMNS($DC20:DE20)-1)*5 + 4) = "F"), INDEX($CZ$8:$CZ$23, COLUMNS($DC20:DE20)), "0"), "")</f>
        <v/>
      </c>
      <c r="DF20" s="395">
        <f t="array" ref="DF20">IFERROR(IF(AND(INDEX($E$8:$CE$57, MATCH($C20, $C$8:$C$57, 0), (COLUMNS($DC20:DF20)-1)*5 + 1) = INDEX($E$5:$CE$5, 1, (COLUMNS($DC20:DF20)-1)*5 + 1), INDEX($E$8:$CE$57, MATCH($C20, $C$8:$C$57, 0), (COLUMNS($DC20:DF20)-1)*5 + 4) = "F"), INDEX($CZ$8:$CZ$23, COLUMNS($DC20:DF20)), "0"), "")</f>
        <v/>
      </c>
      <c r="DG20" s="395">
        <f t="array" ref="DG20">IFERROR(IF(AND(INDEX($E$8:$CE$57, MATCH($C20, $C$8:$C$57, 0), (COLUMNS($DC20:DG20)-1)*5 + 1) = INDEX($E$5:$CE$5, 1, (COLUMNS($DC20:DG20)-1)*5 + 1), INDEX($E$8:$CE$57, MATCH($C20, $C$8:$C$57, 0), (COLUMNS($DC20:DG20)-1)*5 + 4) = "F"), INDEX($CZ$8:$CZ$23, COLUMNS($DC20:DG20)), "0"), "")</f>
        <v/>
      </c>
      <c r="DH20" s="395">
        <f t="array" ref="DH20">IFERROR(IF(AND(INDEX($E$8:$CE$57, MATCH($C20, $C$8:$C$57, 0), (COLUMNS($DC20:DH20)-1)*5 + 1) = INDEX($E$5:$CE$5, 1, (COLUMNS($DC20:DH20)-1)*5 + 1), INDEX($E$8:$CE$57, MATCH($C20, $C$8:$C$57, 0), (COLUMNS($DC20:DH20)-1)*5 + 4) = "F"), INDEX($CZ$8:$CZ$23, COLUMNS($DC20:DH20)), "0"), "")</f>
        <v/>
      </c>
      <c r="DI20" s="395">
        <f t="array" ref="DI20">IFERROR(IF(AND(INDEX($E$8:$CE$57, MATCH($C20, $C$8:$C$57, 0), (COLUMNS($DC20:DI20)-1)*5 + 1) = INDEX($E$5:$CE$5, 1, (COLUMNS($DC20:DI20)-1)*5 + 1), INDEX($E$8:$CE$57, MATCH($C20, $C$8:$C$57, 0), (COLUMNS($DC20:DI20)-1)*5 + 4) = "F"), INDEX($CZ$8:$CZ$23, COLUMNS($DC20:DI20)), "0"), "")</f>
        <v/>
      </c>
      <c r="DJ20" s="395">
        <f t="array" ref="DJ20">IFERROR(IF(AND(INDEX($E$8:$CE$57, MATCH($C20, $C$8:$C$57, 0), (COLUMNS($DC20:DJ20)-1)*5 + 1) = INDEX($E$5:$CE$5, 1, (COLUMNS($DC20:DJ20)-1)*5 + 1), INDEX($E$8:$CE$57, MATCH($C20, $C$8:$C$57, 0), (COLUMNS($DC20:DJ20)-1)*5 + 4) = "F"), INDEX($CZ$8:$CZ$23, COLUMNS($DC20:DJ20)), "0"), "")</f>
        <v/>
      </c>
      <c r="DK20" s="395">
        <f t="array" ref="DK20">IFERROR(IF(AND(INDEX($E$8:$CE$57, MATCH($C20, $C$8:$C$57, 0), (COLUMNS($DC20:DK20)-1)*5 + 1) = INDEX($E$5:$CE$5, 1, (COLUMNS($DC20:DK20)-1)*5 + 1), INDEX($E$8:$CE$57, MATCH($C20, $C$8:$C$57, 0), (COLUMNS($DC20:DK20)-1)*5 + 4) = "F"), INDEX($CZ$8:$CZ$23, COLUMNS($DC20:DK20)), "0"), "")</f>
        <v/>
      </c>
      <c r="DL20" s="395">
        <f t="array" ref="DL20">IFERROR(IF(AND(INDEX($E$8:$CE$57, MATCH($C20, $C$8:$C$57, 0), (COLUMNS($DC20:DL20)-1)*5 + 1) = INDEX($E$5:$CE$5, 1, (COLUMNS($DC20:DL20)-1)*5 + 1), INDEX($E$8:$CE$57, MATCH($C20, $C$8:$C$57, 0), (COLUMNS($DC20:DL20)-1)*5 + 4) = "F"), INDEX($CZ$8:$CZ$23, COLUMNS($DC20:DL20)), "0"), "")</f>
        <v/>
      </c>
      <c r="DM20" s="395">
        <f t="array" ref="DM20">IFERROR(IF(AND(INDEX($E$8:$CE$57, MATCH($C20, $C$8:$C$57, 0), (COLUMNS($DC20:DM20)-1)*5 + 1) = INDEX($E$5:$CE$5, 1, (COLUMNS($DC20:DM20)-1)*5 + 1), INDEX($E$8:$CE$57, MATCH($C20, $C$8:$C$57, 0), (COLUMNS($DC20:DM20)-1)*5 + 4) = "F"), INDEX($CZ$8:$CZ$23, COLUMNS($DC20:DM20)), "0"), "")</f>
        <v/>
      </c>
      <c r="DN20" s="395">
        <f t="array" ref="DN20">IFERROR(IF(AND(INDEX($E$8:$CE$57, MATCH($C20, $C$8:$C$57, 0), (COLUMNS($DC20:DN20)-1)*5 + 1) = INDEX($E$5:$CE$5, 1, (COLUMNS($DC20:DN20)-1)*5 + 1), INDEX($E$8:$CE$57, MATCH($C20, $C$8:$C$57, 0), (COLUMNS($DC20:DN20)-1)*5 + 4) = "F"), INDEX($CZ$8:$CZ$23, COLUMNS($DC20:DN20)), "0"), "")</f>
        <v/>
      </c>
      <c r="DO20" s="395">
        <f t="array" ref="DO20">IFERROR(IF(AND(INDEX($E$8:$CE$57, MATCH($C20, $C$8:$C$57, 0), (COLUMNS($DC20:DO20)-1)*5 + 1) = INDEX($E$5:$CE$5, 1, (COLUMNS($DC20:DO20)-1)*5 + 1), INDEX($E$8:$CE$57, MATCH($C20, $C$8:$C$57, 0), (COLUMNS($DC20:DO20)-1)*5 + 4) = "F"), INDEX($CZ$8:$CZ$23, COLUMNS($DC20:DO20)), "0"), "")</f>
        <v/>
      </c>
      <c r="DP20" s="395">
        <f t="array" ref="DP20">IFERROR(IF(AND(INDEX($E$8:$CE$57, MATCH($C20, $C$8:$C$57, 0), (COLUMNS($DC20:DP20)-1)*5 + 1) = INDEX($E$5:$CE$5, 1, (COLUMNS($DC20:DP20)-1)*5 + 1), INDEX($E$8:$CE$57, MATCH($C20, $C$8:$C$57, 0), (COLUMNS($DC20:DP20)-1)*5 + 4) = "F"), INDEX($CZ$8:$CZ$23, COLUMNS($DC20:DP20)), "0"), "")</f>
        <v/>
      </c>
      <c r="DQ20" s="395">
        <f t="array" ref="DQ20">IFERROR(IF(AND(INDEX($E$8:$CE$57, MATCH($C20, $C$8:$C$57, 0), (COLUMNS($DC20:DQ20)-1)*5 + 1) = INDEX($E$5:$CE$5, 1, (COLUMNS($DC20:DQ20)-1)*5 + 1), INDEX($E$8:$CE$57, MATCH($C20, $C$8:$C$57, 0), (COLUMNS($DC20:DQ20)-1)*5 + 4) = "F"), INDEX($CZ$8:$CZ$23, COLUMNS($DC20:DQ20)), "0"), "")</f>
        <v/>
      </c>
      <c r="DR20" s="395">
        <f t="array" ref="DR20">IFERROR(IF(AND(INDEX($E$8:$CE$57, MATCH($C20, $C$8:$C$57, 0), (COLUMNS($DC20:DR20)-1)*5 + 1) = INDEX($E$5:$CE$5, 1, (COLUMNS($DC20:DR20)-1)*5 + 1), INDEX($E$8:$CE$57, MATCH($C20, $C$8:$C$57, 0), (COLUMNS($DC20:DR20)-1)*5 + 4) = "F"), INDEX($CZ$8:$CZ$23, COLUMNS($DC20:DR20)), "0"), "")</f>
        <v/>
      </c>
      <c r="DT20" s="605">
        <f>SEMANA29[[#This Row],[COD]]</f>
        <v/>
      </c>
      <c r="DU20" s="395">
        <f t="array" ref="DU20">IFERROR(IF(AND(INDEX($E$8:$CE$57, MATCH($C20, $C$8:$C$57, 0), (COLUMNS($DU20:DU20)-1)*5 + 1) = INDEX($E$5:$CE$5, 1, (COLUMNS($DU20:DU20)-1)*5 + 1), INDEX($E$8:$CE$57, MATCH($C20, $C$8:$C$57, 0), (COLUMNS($DU20:DU20)-1)*5 + 4) = "SF"), INDEX($CZ$8:$CZ$23, COLUMNS($DU20:DU20)), "0"), "")</f>
        <v/>
      </c>
      <c r="DV20" s="395">
        <f t="array" ref="DV20">IFERROR(IF(AND(INDEX($E$8:$CE$57, MATCH($C20, $C$8:$C$57, 0), (COLUMNS($DU20:DV20)-1)*5 + 1) = INDEX($E$5:$CE$5, 1, (COLUMNS($DU20:DV20)-1)*5 + 1), INDEX($E$8:$CE$57, MATCH($C20, $C$8:$C$57, 0), (COLUMNS($DU20:DV20)-1)*5 + 4) = "SF"), INDEX($CZ$8:$CZ$23, COLUMNS($DU20:DV20)), "0"), "")</f>
        <v/>
      </c>
      <c r="DW20" s="395">
        <f t="array" ref="DW20">IFERROR(IF(AND(INDEX($E$8:$CE$57, MATCH($C20, $C$8:$C$57, 0), (COLUMNS($DU20:DW20)-1)*5 + 1) = INDEX($E$5:$CE$5, 1, (COLUMNS($DU20:DW20)-1)*5 + 1), INDEX($E$8:$CE$57, MATCH($C20, $C$8:$C$57, 0), (COLUMNS($DU20:DW20)-1)*5 + 4) = "SF"), INDEX($CZ$8:$CZ$23, COLUMNS($DU20:DW20)), "0"), "")</f>
        <v/>
      </c>
      <c r="DX20" s="395">
        <f t="array" ref="DX20">IFERROR(IF(AND(INDEX($E$8:$CE$57, MATCH($C20, $C$8:$C$57, 0), (COLUMNS($DU20:DX20)-1)*5 + 1) = INDEX($E$5:$CE$5, 1, (COLUMNS($DU20:DX20)-1)*5 + 1), INDEX($E$8:$CE$57, MATCH($C20, $C$8:$C$57, 0), (COLUMNS($DU20:DX20)-1)*5 + 4) = "SF"), INDEX($CZ$8:$CZ$23, COLUMNS($DU20:DX20)), "0"), "")</f>
        <v/>
      </c>
      <c r="DY20" s="395">
        <f t="array" ref="DY20">IFERROR(IF(AND(INDEX($E$8:$CE$57, MATCH($C20, $C$8:$C$57, 0), (COLUMNS($DU20:DY20)-1)*5 + 1) = INDEX($E$5:$CE$5, 1, (COLUMNS($DU20:DY20)-1)*5 + 1), INDEX($E$8:$CE$57, MATCH($C20, $C$8:$C$57, 0), (COLUMNS($DU20:DY20)-1)*5 + 4) = "SF"), INDEX($CZ$8:$CZ$23, COLUMNS($DU20:DY20)), "0"), "")</f>
        <v/>
      </c>
      <c r="DZ20" s="395">
        <f t="array" ref="DZ20">IFERROR(IF(AND(INDEX($E$8:$CE$57, MATCH($C20, $C$8:$C$57, 0), (COLUMNS($DU20:DZ20)-1)*5 + 1) = INDEX($E$5:$CE$5, 1, (COLUMNS($DU20:DZ20)-1)*5 + 1), INDEX($E$8:$CE$57, MATCH($C20, $C$8:$C$57, 0), (COLUMNS($DU20:DZ20)-1)*5 + 4) = "SF"), INDEX($CZ$8:$CZ$23, COLUMNS($DU20:DZ20)), "0"), "")</f>
        <v/>
      </c>
      <c r="EA20" s="395">
        <f t="array" ref="EA20">IFERROR(IF(AND(INDEX($E$8:$CE$57, MATCH($C20, $C$8:$C$57, 0), (COLUMNS($DU20:EA20)-1)*5 + 1) = INDEX($E$5:$CE$5, 1, (COLUMNS($DU20:EA20)-1)*5 + 1), INDEX($E$8:$CE$57, MATCH($C20, $C$8:$C$57, 0), (COLUMNS($DU20:EA20)-1)*5 + 4) = "SF"), INDEX($CZ$8:$CZ$23, COLUMNS($DU20:EA20)), "0"), "")</f>
        <v/>
      </c>
      <c r="EB20" s="395">
        <f t="array" ref="EB20">IFERROR(IF(AND(INDEX($E$8:$CE$57, MATCH($C20, $C$8:$C$57, 0), (COLUMNS($DU20:EB20)-1)*5 + 1) = INDEX($E$5:$CE$5, 1, (COLUMNS($DU20:EB20)-1)*5 + 1), INDEX($E$8:$CE$57, MATCH($C20, $C$8:$C$57, 0), (COLUMNS($DU20:EB20)-1)*5 + 4) = "SF"), INDEX($CZ$8:$CZ$23, COLUMNS($DU20:EB20)), "0"), "")</f>
        <v/>
      </c>
      <c r="EC20" s="395">
        <f t="array" ref="EC20">IFERROR(IF(AND(INDEX($E$8:$CE$57, MATCH($C20, $C$8:$C$57, 0), (COLUMNS($DU20:EC20)-1)*5 + 1) = INDEX($E$5:$CE$5, 1, (COLUMNS($DU20:EC20)-1)*5 + 1), INDEX($E$8:$CE$57, MATCH($C20, $C$8:$C$57, 0), (COLUMNS($DU20:EC20)-1)*5 + 4) = "SF"), INDEX($CZ$8:$CZ$23, COLUMNS($DU20:EC20)), "0"), "")</f>
        <v/>
      </c>
      <c r="ED20" s="395">
        <f t="array" ref="ED20">IFERROR(IF(AND(INDEX($E$8:$CE$57, MATCH($C20, $C$8:$C$57, 0), (COLUMNS($DU20:ED20)-1)*5 + 1) = INDEX($E$5:$CE$5, 1, (COLUMNS($DU20:ED20)-1)*5 + 1), INDEX($E$8:$CE$57, MATCH($C20, $C$8:$C$57, 0), (COLUMNS($DU20:ED20)-1)*5 + 4) = "SF"), INDEX($CZ$8:$CZ$23, COLUMNS($DU20:ED20)), "0"), "")</f>
        <v/>
      </c>
      <c r="EE20" s="395">
        <f t="array" ref="EE20">IFERROR(IF(AND(INDEX($E$8:$CE$57, MATCH($C20, $C$8:$C$57, 0), (COLUMNS($DU20:EE20)-1)*5 + 1) = INDEX($E$5:$CE$5, 1, (COLUMNS($DU20:EE20)-1)*5 + 1), INDEX($E$8:$CE$57, MATCH($C20, $C$8:$C$57, 0), (COLUMNS($DU20:EE20)-1)*5 + 4) = "SF"), INDEX($CZ$8:$CZ$23, COLUMNS($DU20:EE20)), "0"), "")</f>
        <v/>
      </c>
      <c r="EF20" s="395">
        <f t="array" ref="EF20">IFERROR(IF(AND(INDEX($E$8:$CE$57, MATCH($C20, $C$8:$C$57, 0), (COLUMNS($DU20:EF20)-1)*5 + 1) = INDEX($E$5:$CE$5, 1, (COLUMNS($DU20:EF20)-1)*5 + 1), INDEX($E$8:$CE$57, MATCH($C20, $C$8:$C$57, 0), (COLUMNS($DU20:EF20)-1)*5 + 4) = "SF"), INDEX($CZ$8:$CZ$23, COLUMNS($DU20:EF20)), "0"), "")</f>
        <v/>
      </c>
      <c r="EG20" s="395">
        <f t="array" ref="EG20">IFERROR(IF(AND(INDEX($E$8:$CE$57, MATCH($C20, $C$8:$C$57, 0), (COLUMNS($DU20:EG20)-1)*5 + 1) = INDEX($E$5:$CE$5, 1, (COLUMNS($DU20:EG20)-1)*5 + 1), INDEX($E$8:$CE$57, MATCH($C20, $C$8:$C$57, 0), (COLUMNS($DU20:EG20)-1)*5 + 4) = "SF"), INDEX($CZ$8:$CZ$23, COLUMNS($DU20:EG20)), "0"), "")</f>
        <v/>
      </c>
      <c r="EH20" s="395">
        <f t="array" ref="EH20">IFERROR(IF(AND(INDEX($E$8:$CE$57, MATCH($C20, $C$8:$C$57, 0), (COLUMNS($DU20:EH20)-1)*5 + 1) = INDEX($E$5:$CE$5, 1, (COLUMNS($DU20:EH20)-1)*5 + 1), INDEX($E$8:$CE$57, MATCH($C20, $C$8:$C$57, 0), (COLUMNS($DU20:EH20)-1)*5 + 4) = "SF"), INDEX($CZ$8:$CZ$23, COLUMNS($DU20:EH20)), "0"), "")</f>
        <v/>
      </c>
      <c r="EI20" s="395">
        <f t="array" ref="EI20">IFERROR(IF(AND(INDEX($E$8:$CE$57, MATCH($C20, $C$8:$C$57, 0), (COLUMNS($DU20:EI20)-1)*5 + 1) = INDEX($E$5:$CE$5, 1, (COLUMNS($DU20:EI20)-1)*5 + 1), INDEX($E$8:$CE$57, MATCH($C20, $C$8:$C$57, 0), (COLUMNS($DU20:EI20)-1)*5 + 4) = "SF"), INDEX($CZ$8:$CZ$23, COLUMNS($DU20:EI20)), "0"), "")</f>
        <v/>
      </c>
      <c r="EJ20" s="395">
        <f t="array" ref="EJ20">IFERROR(IF(AND(INDEX($E$8:$CE$57, MATCH($C20, $C$8:$C$57, 0), (COLUMNS($DU20:EJ20)-1)*5 + 1) = INDEX($E$5:$CE$5, 1, (COLUMNS($DU20:EJ20)-1)*5 + 1), INDEX($E$8:$CE$57, MATCH($C20, $C$8:$C$57, 0), (COLUMNS($DU20:EJ20)-1)*5 + 4) = "SF"), INDEX($CZ$8:$CZ$23, COLUMNS($DU20:EJ20)), "0"), "")</f>
        <v/>
      </c>
    </row>
    <row r="21" ht="20.1" customHeight="1" s="568">
      <c r="A21" s="576" t="n"/>
      <c r="B21" s="449">
        <f>IF(SEMANA29[[#This Row],[COD]]&lt;&gt;"",B20+1,"")</f>
        <v/>
      </c>
      <c r="C21" s="622" t="inlineStr">
        <is>
          <t>COD 14</t>
        </is>
      </c>
      <c r="D21" s="415">
        <f t="array" ref="D21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1" s="416" t="n"/>
      <c r="F21" s="418" t="n"/>
      <c r="G21" s="418" t="n"/>
      <c r="H21" s="418" t="n"/>
      <c r="I21" s="602">
        <f>SUM(IF(E21=E$5,4,0),IF(E21&amp;F21=E$5&amp;F$5,1,0),
IF(AND(E21=E$5,F$6&gt;=$D$115),1,0),
IF(AND(F21=E$5,F$6&gt;=$D$115),1,0),
IF(AND(G21=E$5,F$6&gt;=$D$115),1,0),
IF(E21&amp;H21=I$5,1,0),
IF(F21=E$5,2,0),
IF(G21=E$5,1,0),
IF(OR(E21&amp;F21&amp;G21=E$5&amp;F$5&amp;G$5,E21&amp;F21&amp;G21=E$5&amp;G$5&amp;F$5,E21&amp;F21&amp;G21=F$5&amp;E$5&amp;G$5,E21&amp;F21&amp;G21=F$5&amp;G$5&amp;E$5,E21&amp;F21&amp;G21=G$5&amp;E$5&amp;F$5,E21&amp;F21&amp;G21=G$5&amp;F$5&amp;E$5),2,0),IF(AND(E21=E$5,F$6&gt;=$D$129),1,0),IF(AND(F21=E$5,F$6&gt;=$D$129),1,0),IF(AND(G21=E$5,F$6&gt;=$D$129),1,0),IF(E21&amp;H21=H$5,4,0),IF(AND(E21=E$5,F$6&lt;=$D$104),-0.5,0),IF(AND(F21=E$5,F$6&lt;=$D$104),-0.5,0),IF(AND(G21=E$5,F$6&lt;=$D$104),-0.5,0))</f>
        <v/>
      </c>
      <c r="J21" s="416" t="n"/>
      <c r="K21" s="418" t="n"/>
      <c r="L21" s="418" t="n"/>
      <c r="M21" s="418" t="n"/>
      <c r="N21" s="602">
        <f>SUM(IF(J21=J$5,4,0),IF(J21&amp;K21=J$5&amp;K$5,1,0),
IF(AND(J21=J$5,K$6&gt;=$D$115),1,0),
IF(AND(K21=J$5,K$6&gt;=$D$115),1,0),
IF(AND(L21=J$5,K$6&gt;=$D$115),1,0),
IF(J21&amp;M21=N$5,1,0),
IF(K21=J$5,2,0),
IF(L21=J$5,1,0),
IF(OR(J21&amp;K21&amp;L21=J$5&amp;K$5&amp;L$5,J21&amp;K21&amp;L21=J$5&amp;L$5&amp;K$5,J21&amp;K21&amp;L21=K$5&amp;J$5&amp;L$5,J21&amp;K21&amp;L21=K$5&amp;L$5&amp;J$5,J21&amp;K21&amp;L21=L$5&amp;J$5&amp;K$5,J21&amp;K21&amp;L21=L$5&amp;K$5&amp;J$5),2,0),IF(AND(J21=J$5,K$6&gt;=$D$129),1,0),IF(AND(K21=J$5,K$6&gt;=$D$129),1,0),IF(AND(L21=J$5,K$6&gt;=$D$129),1,0),IF(J21&amp;M21=M$5,4,0),IF(AND(J21=J$5,K$6&lt;=$D$104),-0.5,0),IF(AND(K21=J$5,K$6&lt;=$D$104),-0.5,0),IF(AND(L21=J$5,K$6&lt;=$D$104),-0.5,0))</f>
        <v/>
      </c>
      <c r="O21" s="416" t="n"/>
      <c r="P21" s="418" t="n"/>
      <c r="Q21" s="418" t="n"/>
      <c r="R21" s="418" t="n"/>
      <c r="S21" s="602">
        <f>SUM(IF(O21=O$5,4,0),IF(O21&amp;P21=O$5&amp;P$5,1,0),
IF(AND(O21=O$5,P$6&gt;=$D$115),1,0),
IF(AND(P21=O$5,P$6&gt;=$D$115),1,0),
IF(AND(Q21=O$5,P$6&gt;=$D$115),1,0),
IF(O21&amp;R21=S$5,1,0),
IF(P21=O$5,2,0),
IF(Q21=O$5,1,0),
IF(OR(O21&amp;P21&amp;Q21=O$5&amp;P$5&amp;Q$5,O21&amp;P21&amp;Q21=O$5&amp;Q$5&amp;P$5,O21&amp;P21&amp;Q21=P$5&amp;O$5&amp;Q$5,O21&amp;P21&amp;Q21=P$5&amp;Q$5&amp;O$5,O21&amp;P21&amp;Q21=Q$5&amp;O$5&amp;P$5,O21&amp;P21&amp;Q21=Q$5&amp;P$5&amp;O$5),2,0),IF(AND(O21=O$5,P$6&gt;=$D$129),1,0),IF(AND(P21=O$5,P$6&gt;=$D$129),1,0),IF(AND(Q21=O$5,P$6&gt;=$D$129),1,0),IF(O21&amp;R21=R$5,4,0),IF(AND(O21=O$5,P$6&lt;=$D$104),-0.5,0),IF(AND(P21=O$5,P$6&lt;=$D$104),-0.5,0),IF(AND(Q21=O$5,P$6&lt;=$D$104),-0.5,0))</f>
        <v/>
      </c>
      <c r="T21" s="416" t="n"/>
      <c r="U21" s="418" t="n"/>
      <c r="V21" s="418" t="n"/>
      <c r="W21" s="418" t="n"/>
      <c r="X21" s="602">
        <f>SUM(IF(T21=T$5,4,0),IF(T21&amp;U21=T$5&amp;U$5,1,0),
IF(AND(T21=T$5,U$6&gt;=$D$115),1,0),
IF(AND(U21=T$5,U$6&gt;=$D$115),1,0),
IF(AND(V21=T$5,U$6&gt;=$D$115),1,0),
IF(T21&amp;W21=X$5,1,0),
IF(U21=T$5,2,0),
IF(V21=T$5,1,0),
IF(OR(T21&amp;U21&amp;V21=T$5&amp;U$5&amp;V$5,T21&amp;U21&amp;V21=T$5&amp;V$5&amp;U$5,T21&amp;U21&amp;V21=U$5&amp;T$5&amp;V$5,T21&amp;U21&amp;V21=U$5&amp;V$5&amp;T$5,T21&amp;U21&amp;V21=V$5&amp;T$5&amp;U$5,T21&amp;U21&amp;V21=V$5&amp;U$5&amp;T$5),2,0),IF(AND(T21=T$5,U$6&gt;=$D$129),1,0),IF(AND(U21=T$5,U$6&gt;=$D$129),1,0),IF(AND(V21=T$5,U$6&gt;=$D$129),1,0),IF(T21&amp;W21=W$5,4,0),IF(AND(T21=T$5,U$6&lt;=$D$104),-0.5,0),IF(AND(U21=T$5,U$6&lt;=$D$104),-0.5,0),IF(AND(V21=T$5,U$6&lt;=$D$104),-0.5,0))</f>
        <v/>
      </c>
      <c r="Y21" s="416" t="n"/>
      <c r="Z21" s="418" t="n"/>
      <c r="AA21" s="418" t="n"/>
      <c r="AB21" s="418" t="n"/>
      <c r="AC21" s="602">
        <f>SUM(IF(Y21=Y$5,4,0),IF(Y21&amp;Z21=Y$5&amp;Z$5,1,0),
IF(AND(Y21=Y$5,Z$6&gt;=$D$115),1,0),
IF(AND(Z21=Y$5,Z$6&gt;=$D$115),1,0),
IF(AND(AA21=Y$5,Z$6&gt;=$D$115),1,0),
IF(Y21&amp;AB21=AC$5,1,0),
IF(Z21=Y$5,2,0),
IF(AA21=Y$5,1,0),
IF(OR(Y21&amp;Z21&amp;AA21=Y$5&amp;Z$5&amp;AA$5,Y21&amp;Z21&amp;AA21=Y$5&amp;AA$5&amp;Z$5,Y21&amp;Z21&amp;AA21=Z$5&amp;Y$5&amp;AA$5,Y21&amp;Z21&amp;AA21=Z$5&amp;AA$5&amp;Y$5,Y21&amp;Z21&amp;AA21=AA$5&amp;Y$5&amp;Z$5,Y21&amp;Z21&amp;AA21=AA$5&amp;Z$5&amp;Y$5),2,0),IF(AND(Y21=Y$5,Z$6&gt;=$D$129),1,0),IF(AND(Z21=Y$5,Z$6&gt;=$D$129),1,0),IF(AND(AA21=Y$5,Z$6&gt;=$D$129),1,0),IF(Y21&amp;AB21=AB$5,4,0),IF(AND(Y21=Y$5,Z$6&lt;=$D$104),-0.5,0),IF(AND(Z21=Y$5,Z$6&lt;=$D$104),-0.5,0),IF(AND(AA21=Y$5,Z$6&lt;=$D$104),-0.5,0))</f>
        <v/>
      </c>
      <c r="AD21" s="416" t="n"/>
      <c r="AE21" s="418" t="n"/>
      <c r="AF21" s="418" t="n"/>
      <c r="AG21" s="418" t="n"/>
      <c r="AH21" s="602">
        <f>SUM(IF(AD21=AD$5,4,0),IF(AD21&amp;AE21=AD$5&amp;AE$5,1,0),
IF(AND(AD21=AD$5,AE$6&gt;=$D$115),1,0),
IF(AND(AE21=AD$5,AE$6&gt;=$D$115),1,0),
IF(AND(AF21=AD$5,AE$6&gt;=$D$115),1,0),
IF(AD21&amp;AG21=AH$5,1,0),
IF(AE21=AD$5,2,0),
IF(AF21=AD$5,1,0),
IF(OR(AD21&amp;AE21&amp;AF21=AD$5&amp;AE$5&amp;AF$5,AD21&amp;AE21&amp;AF21=AD$5&amp;AF$5&amp;AE$5,AD21&amp;AE21&amp;AF21=AE$5&amp;AD$5&amp;AF$5,AD21&amp;AE21&amp;AF21=AE$5&amp;AF$5&amp;AD$5,AD21&amp;AE21&amp;AF21=AF$5&amp;AD$5&amp;AE$5,AD21&amp;AE21&amp;AF21=AF$5&amp;AE$5&amp;AD$5),2,0),IF(AND(AD21=AD$5,AE$6&gt;=$D$129),1,0),IF(AND(AE21=AD$5,AE$6&gt;=$D$129),1,0),IF(AND(AF21=AD$5,AE$6&gt;=$D$129),1,0),IF(AD21&amp;AG21=AG$5,4,0),IF(AND(AD21=AD$5,AE$6&lt;=$D$104),-0.5,0),IF(AND(AE21=AD$5,AE$6&lt;=$D$104),-0.5,0),IF(AND(AF21=AD$5,AE$6&lt;=$D$104),-0.5,0))</f>
        <v/>
      </c>
      <c r="AI21" s="416" t="n"/>
      <c r="AJ21" s="418" t="n"/>
      <c r="AK21" s="418" t="n"/>
      <c r="AL21" s="418" t="n"/>
      <c r="AM21" s="602">
        <f>SUM(IF(AI21=AI$5,4,0),IF(AI21&amp;AJ21=AI$5&amp;AJ$5,1,0),
IF(AND(AI21=AI$5,AJ$6&gt;=$D$115),1,0),
IF(AND(AJ21=AI$5,AJ$6&gt;=$D$115),1,0),
IF(AND(AK21=AI$5,AJ$6&gt;=$D$115),1,0),
IF(AI21&amp;AL21=AM$5,1,0),
IF(AJ21=AI$5,2,0),
IF(AK21=AI$5,1,0),
IF(OR(AI21&amp;AJ21&amp;AK21=AI$5&amp;AJ$5&amp;AK$5,AI21&amp;AJ21&amp;AK21=AI$5&amp;AK$5&amp;AJ$5,AI21&amp;AJ21&amp;AK21=AJ$5&amp;AI$5&amp;AK$5,AI21&amp;AJ21&amp;AK21=AJ$5&amp;AK$5&amp;AI$5,AI21&amp;AJ21&amp;AK21=AK$5&amp;AI$5&amp;AJ$5,AI21&amp;AJ21&amp;AK21=AK$5&amp;AJ$5&amp;AI$5),2,0),IF(AND(AI21=AI$5,AJ$6&gt;=$D$129),1,0),IF(AND(AJ21=AI$5,AJ$6&gt;=$D$129),1,0),IF(AND(AK21=AI$5,AJ$6&gt;=$D$129),1,0),IF(AI21&amp;AL21=AL$5,4,0),IF(AND(AI21=AI$5,AJ$6&lt;=$D$104),-0.5,0),IF(AND(AJ21=AI$5,AJ$6&lt;=$D$104),-0.5,0),IF(AND(AK21=AI$5,AJ$6&lt;=$D$104),-0.5,0))</f>
        <v/>
      </c>
      <c r="AN21" s="416" t="n"/>
      <c r="AO21" s="418" t="n"/>
      <c r="AP21" s="418" t="n"/>
      <c r="AQ21" s="418" t="n"/>
      <c r="AR21" s="602">
        <f>SUM(IF(AN21=AN$5,4,0),IF(AN21&amp;AO21=AN$5&amp;AO$5,1,0),
IF(AND(AN21=AN$5,AO$6&gt;=$D$115),1,0),
IF(AND(AO21=AN$5,AO$6&gt;=$D$115),1,0),
IF(AND(AP21=AN$5,AO$6&gt;=$D$115),1,0),
IF(AN21&amp;AQ21=AR$5,1,0),
IF(AO21=AN$5,2,0),
IF(AP21=AN$5,1,0),
IF(OR(AN21&amp;AO21&amp;AP21=AN$5&amp;AO$5&amp;AP$5,AN21&amp;AO21&amp;AP21=AN$5&amp;AP$5&amp;AO$5,AN21&amp;AO21&amp;AP21=AO$5&amp;AN$5&amp;AP$5,AN21&amp;AO21&amp;AP21=AO$5&amp;AP$5&amp;AN$5,AN21&amp;AO21&amp;AP21=AP$5&amp;AN$5&amp;AO$5,AN21&amp;AO21&amp;AP21=AP$5&amp;AO$5&amp;AN$5),2,0),IF(AND(AN21=AN$5,AO$6&gt;=$D$129),1,0),IF(AND(AO21=AN$5,AO$6&gt;=$D$129),1,0),IF(AND(AP21=AN$5,AO$6&gt;=$D$129),1,0),IF(AN21&amp;AQ21=AQ$5,4,0),IF(AND(AN21=AN$5,AO$6&lt;=$D$104),-0.5,0),IF(AND(AO21=AN$5,AO$6&lt;=$D$104),-0.5,0),IF(AND(AP21=AN$5,AO$6&lt;=$D$104),-0.5,0))</f>
        <v/>
      </c>
      <c r="AS21" s="416" t="n"/>
      <c r="AT21" s="418" t="n"/>
      <c r="AU21" s="418" t="n"/>
      <c r="AV21" s="418" t="n"/>
      <c r="AW21" s="602">
        <f>SUM(IF(AS21=AS$5,4,0),IF(AS21&amp;AT21=AS$5&amp;AT$5,1,0),
IF(AND(AS21=AS$5,AT$6&gt;=$D$115),1,0),
IF(AND(AT21=AS$5,AT$6&gt;=$D$115),1,0),
IF(AND(AU21=AS$5,AT$6&gt;=$D$115),1,0),
IF(AS21&amp;AV21=AW$5,1,0),
IF(AT21=AS$5,2,0),
IF(AU21=AS$5,1,0),
IF(OR(AS21&amp;AT21&amp;AU21=AS$5&amp;AT$5&amp;AU$5,AS21&amp;AT21&amp;AU21=AS$5&amp;AU$5&amp;AT$5,AS21&amp;AT21&amp;AU21=AT$5&amp;AS$5&amp;AU$5,AS21&amp;AT21&amp;AU21=AT$5&amp;AU$5&amp;AS$5,AS21&amp;AT21&amp;AU21=AU$5&amp;AS$5&amp;AT$5,AS21&amp;AT21&amp;AU21=AU$5&amp;AT$5&amp;AS$5),2,0),IF(AND(AS21=AS$5,AT$6&gt;=$D$129),1,0),IF(AND(AT21=AS$5,AT$6&gt;=$D$129),1,0),IF(AND(AU21=AS$5,AT$6&gt;=$D$129),1,0),IF(AS21&amp;AV21=AV$5,4,0),IF(AND(AS21=AS$5,AT$6&lt;=$D$104),-0.5,0),IF(AND(AT21=AS$5,AT$6&lt;=$D$104),-0.5,0),IF(AND(AU21=AS$5,AT$6&lt;=$D$104),-0.5,0))</f>
        <v/>
      </c>
      <c r="AX21" s="416" t="n"/>
      <c r="AY21" s="418" t="n"/>
      <c r="AZ21" s="418" t="n"/>
      <c r="BA21" s="418" t="n"/>
      <c r="BB21" s="602">
        <f>SUM(IF(AX21=AX$5,4,0),IF(AX21&amp;AY21=AX$5&amp;AY$5,1,0),
IF(AND(AX21=AX$5,AY$6&gt;=$D$115),1,0),
IF(AND(AY21=AX$5,AY$6&gt;=$D$115),1,0),
IF(AND(AZ21=AX$5,AY$6&gt;=$D$115),1,0),
IF(AX21&amp;BA21=BB$5,1,0),
IF(AY21=AX$5,2,0),
IF(AZ21=AX$5,1,0),
IF(OR(AX21&amp;AY21&amp;AZ21=AX$5&amp;AY$5&amp;AZ$5,AX21&amp;AY21&amp;AZ21=AX$5&amp;AZ$5&amp;AY$5,AX21&amp;AY21&amp;AZ21=AY$5&amp;AX$5&amp;AZ$5,AX21&amp;AY21&amp;AZ21=AY$5&amp;AZ$5&amp;AX$5,AX21&amp;AY21&amp;AZ21=AZ$5&amp;AX$5&amp;AY$5,AX21&amp;AY21&amp;AZ21=AZ$5&amp;AY$5&amp;AX$5),2,0),IF(AND(AX21=AX$5,AY$6&gt;=$D$129),1,0),IF(AND(AY21=AX$5,AY$6&gt;=$D$129),1,0),IF(AND(AZ21=AX$5,AY$6&gt;=$D$129),1,0),IF(AX21&amp;BA21=BA$5,4,0),IF(AND(AX21=AX$5,AY$6&lt;=$D$104),-0.5,0),IF(AND(AY21=AX$5,AY$6&lt;=$D$104),-0.5,0),IF(AND(AZ21=AX$5,AY$6&lt;=$D$104),-0.5,0))</f>
        <v/>
      </c>
      <c r="BC21" s="416" t="n"/>
      <c r="BD21" s="418" t="n"/>
      <c r="BE21" s="418" t="n"/>
      <c r="BF21" s="418" t="n"/>
      <c r="BG21" s="602">
        <f>SUM(IF(BC21=BC$5,4,0),IF(BC21&amp;BD21=BC$5&amp;BD$5,1,0),
IF(AND(BC21=BC$5,BD$6&gt;=$D$115),1,0),
IF(AND(BD21=BC$5,BD$6&gt;=$D$115),1,0),
IF(AND(BE21=BC$5,BD$6&gt;=$D$115),1,0),
IF(BC21&amp;BF21=BG$5,1,0),
IF(BD21=BC$5,2,0),
IF(BE21=BC$5,1,0),
IF(OR(BC21&amp;BD21&amp;BE21=BC$5&amp;BD$5&amp;BE$5,BC21&amp;BD21&amp;BE21=BC$5&amp;BE$5&amp;BD$5,BC21&amp;BD21&amp;BE21=BD$5&amp;BC$5&amp;BE$5,BC21&amp;BD21&amp;BE21=BD$5&amp;BE$5&amp;BC$5,BC21&amp;BD21&amp;BE21=BE$5&amp;BC$5&amp;BD$5,BC21&amp;BD21&amp;BE21=BE$5&amp;BD$5&amp;BC$5),2,0),IF(AND(BC21=BC$5,BD$6&gt;=$D$129),1,0),IF(AND(BD21=BC$5,BD$6&gt;=$D$129),1,0),IF(AND(BE21=BC$5,BD$6&gt;=$D$129),1,0),IF(BC21&amp;BF21=BF$5,4,0),IF(AND(BC21=BC$5,BD$6&lt;=$D$104),-0.5,0),IF(AND(BD21=BC$5,BD$6&lt;=$D$104),-0.5,0),IF(AND(BE21=BC$5,BD$6&lt;=$D$104),-0.5,0))</f>
        <v/>
      </c>
      <c r="BH21" s="416" t="n"/>
      <c r="BI21" s="418" t="n"/>
      <c r="BJ21" s="418" t="n"/>
      <c r="BK21" s="418" t="n"/>
      <c r="BL21" s="602">
        <f>SUM(IF(BH21=BH$5,4,0),IF(BH21&amp;BI21=BH$5&amp;BI$5,1,0),
IF(AND(BH21=BH$5,BI$6&gt;=$D$115),1,0),
IF(AND(BI21=BH$5,BI$6&gt;=$D$115),1,0),
IF(AND(BJ21=BH$5,BI$6&gt;=$D$115),1,0),
IF(BH21&amp;BK21=BL$5,1,0),
IF(BI21=BH$5,2,0),
IF(BJ21=BH$5,1,0),
IF(OR(BH21&amp;BI21&amp;BJ21=BH$5&amp;BI$5&amp;BJ$5,BH21&amp;BI21&amp;BJ21=BH$5&amp;BJ$5&amp;BI$5,BH21&amp;BI21&amp;BJ21=BI$5&amp;BH$5&amp;BJ$5,BH21&amp;BI21&amp;BJ21=BI$5&amp;BJ$5&amp;BH$5,BH21&amp;BI21&amp;BJ21=BJ$5&amp;BH$5&amp;BI$5,BH21&amp;BI21&amp;BJ21=BJ$5&amp;BI$5&amp;BH$5),2,0),IF(AND(BH21=BH$5,BI$6&gt;=$D$129),1,0),IF(AND(BI21=BH$5,BI$6&gt;=$D$129),1,0),IF(AND(BJ21=BH$5,BI$6&gt;=$D$129),1,0),IF(BH21&amp;BK21=BK$5,4,0),IF(AND(BH21=BH$5,BI$6&lt;=$D$104),-0.5,0),IF(AND(BI21=BH$5,BI$6&lt;=$D$104),-0.5,0),IF(AND(BJ21=BH$5,BI$6&lt;=$D$104),-0.5,0))</f>
        <v/>
      </c>
      <c r="BM21" s="416" t="n"/>
      <c r="BN21" s="418" t="n"/>
      <c r="BO21" s="418" t="n"/>
      <c r="BP21" s="418" t="n"/>
      <c r="BQ21" s="602">
        <f>SUM(IF(BM21=BM$5,4,0),IF(BM21&amp;BN21=BM$5&amp;BN$5,1,0),
IF(AND(BM21=BM$5,BN$6&gt;=$D$115),1,0),
IF(AND(BN21=BM$5,BN$6&gt;=$D$115),1,0),
IF(AND(BO21=BM$5,BN$6&gt;=$D$115),1,0),
IF(BM21&amp;BP21=BQ$5,1,0),
IF(BN21=BM$5,2,0),
IF(BO21=BM$5,1,0),
IF(OR(BM21&amp;BN21&amp;BO21=BM$5&amp;BN$5&amp;BO$5,BM21&amp;BN21&amp;BO21=BM$5&amp;BO$5&amp;BN$5,BM21&amp;BN21&amp;BO21=BN$5&amp;BM$5&amp;BO$5,BM21&amp;BN21&amp;BO21=BN$5&amp;BO$5&amp;BM$5,BM21&amp;BN21&amp;BO21=BO$5&amp;BM$5&amp;BN$5,BM21&amp;BN21&amp;BO21=BO$5&amp;BN$5&amp;BM$5),2,0),IF(AND(BM21=BM$5,BN$6&gt;=$D$129),1,0),IF(AND(BN21=BM$5,BN$6&gt;=$D$129),1,0),IF(AND(BO21=BM$5,BN$6&gt;=$D$129),1,0),IF(BM21&amp;BP21=BP$5,4,0),IF(AND(BM21=BM$5,BN$6&lt;=$D$104),-0.5,0),IF(AND(BN21=BM$5,BN$6&lt;=$D$104),-0.5,0),IF(AND(BO21=BM$5,BN$6&lt;=$D$104),-0.5,0))</f>
        <v/>
      </c>
      <c r="BR21" s="416" t="n"/>
      <c r="BS21" s="418" t="n"/>
      <c r="BT21" s="418" t="n"/>
      <c r="BU21" s="418" t="n"/>
      <c r="BV21" s="602">
        <f>SUM(IF(BR21=BR$5,4,0),IF(BR21&amp;BS21=BR$5&amp;BS$5,1,0),
IF(AND(BR21=BR$5,BS$6&gt;=$D$115),1,0),
IF(AND(BS21=BR$5,BS$6&gt;=$D$115),1,0),
IF(AND(BT21=BR$5,BS$6&gt;=$D$115),1,0),
IF(BR21&amp;BU21=BV$5,1,0),
IF(BS21=BR$5,2,0),
IF(BT21=BR$5,1,0),
IF(OR(BR21&amp;BS21&amp;BT21=BR$5&amp;BS$5&amp;BT$5,BR21&amp;BS21&amp;BT21=BR$5&amp;BT$5&amp;BS$5,BR21&amp;BS21&amp;BT21=BS$5&amp;BR$5&amp;BT$5,BR21&amp;BS21&amp;BT21=BS$5&amp;BT$5&amp;BR$5,BR21&amp;BS21&amp;BT21=BT$5&amp;BR$5&amp;BS$5,BR21&amp;BS21&amp;BT21=BT$5&amp;BS$5&amp;BR$5),2,0),IF(AND(BR21=BR$5,BS$6&gt;=$D$129),1,0),IF(AND(BS21=BR$5,BS$6&gt;=$D$129),1,0),IF(AND(BT21=BR$5,BS$6&gt;=$D$129),1,0),IF(BR21&amp;BU21=BU$5,4,0),IF(AND(BR21=BR$5,BS$6&lt;=$D$104),-0.5,0),IF(AND(BS21=BR$5,BS$6&lt;=$D$104),-0.5,0),IF(AND(BT21=BR$5,BS$6&lt;=$D$104),-0.5,0))</f>
        <v/>
      </c>
      <c r="BW21" s="416" t="n"/>
      <c r="BX21" s="418" t="n"/>
      <c r="BY21" s="418" t="n"/>
      <c r="BZ21" s="418" t="n"/>
      <c r="CA21" s="602">
        <f>SUM(IF(BW21=BW$5,4,0),IF(BW21&amp;BX21=BW$5&amp;BX$5,1,0),
IF(AND(BW21=BW$5,BX$6&gt;=$D$115),1,0),
IF(AND(BX21=BW$5,BX$6&gt;=$D$115),1,0),
IF(AND(BY21=BW$5,BX$6&gt;=$D$115),1,0),
IF(BW21&amp;BZ21=CA$5,1,0),
IF(BX21=BW$5,2,0),
IF(BY21=BW$5,1,0),
IF(OR(BW21&amp;BX21&amp;BY21=BW$5&amp;BX$5&amp;BY$5,BW21&amp;BX21&amp;BY21=BW$5&amp;BY$5&amp;BX$5,BW21&amp;BX21&amp;BY21=BX$5&amp;BW$5&amp;BY$5,BW21&amp;BX21&amp;BY21=BX$5&amp;BY$5&amp;BW$5,BW21&amp;BX21&amp;BY21=BY$5&amp;BW$5&amp;BX$5,BW21&amp;BX21&amp;BY21=BY$5&amp;BX$5&amp;BW$5),2,0),IF(AND(BW21=BW$5,BX$6&gt;=$D$129),1,0),IF(AND(BX21=BW$5,BX$6&gt;=$D$129),1,0),IF(AND(BY21=BW$5,BX$6&gt;=$D$129),1,0),IF(BW21&amp;BZ21=BZ$5,4,0),IF(AND(BW21=BW$5,BX$6&lt;=$D$104),-0.5,0),IF(AND(BX21=BW$5,BX$6&lt;=$D$104),-0.5,0),IF(AND(BY21=BW$5,BX$6&lt;=$D$104),-0.5,0))</f>
        <v/>
      </c>
      <c r="CB21" s="416" t="n"/>
      <c r="CC21" s="418" t="n"/>
      <c r="CD21" s="418" t="n"/>
      <c r="CE21" s="418" t="n"/>
      <c r="CF21" s="602">
        <f>SUM(IF(CB21=CB$5,4,0),IF(CB21&amp;CC21=CB$5&amp;CC$5,1,0),
IF(AND(CB21=CB$5,CC$6&gt;=$D$115),1,0),
IF(AND(CC21=CB$5,CC$6&gt;=$D$115),1,0),
IF(AND(CD21=CB$5,CC$6&gt;=$D$115),1,0),
IF(CB21&amp;CE21=CF$5,1,0),
IF(CC21=CB$5,2,0),
IF(CD21=CB$5,1,0),
IF(OR(CB21&amp;CC21&amp;CD21=CB$5&amp;CC$5&amp;CD$5,CB21&amp;CC21&amp;CD21=CB$5&amp;CD$5&amp;CC$5,CB21&amp;CC21&amp;CD21=CC$5&amp;CB$5&amp;CD$5,CB21&amp;CC21&amp;CD21=CC$5&amp;CD$5&amp;CB$5,CB21&amp;CC21&amp;CD21=CD$5&amp;CB$5&amp;CC$5,CB21&amp;CC21&amp;CD21=CD$5&amp;CC$5&amp;CB$5),2,0),IF(AND(CB21=CB$5,CC$6&gt;=$D$129),1,0),IF(AND(CC21=CB$5,CC$6&gt;=$D$129),1,0),IF(AND(CD21=CB$5,CC$6&gt;=$D$129),1,0),IF(CB21&amp;CE21=CE$5,4,0),IF(AND(CB21=CB$5,CC$6&lt;=$D$104),-0.5,0),IF(AND(CC21=CB$5,CC$6&lt;=$D$104),-0.5,0),IF(AND(CD21=CB$5,CC$6&lt;=$D$104),-0.5,0))</f>
        <v/>
      </c>
      <c r="CG21" s="164">
        <f>IF(SEMANA29[[#This Row],[1]]="",0,$B$4)</f>
        <v/>
      </c>
      <c r="CH21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1" s="166">
        <f>IF(SEMANA29[[#This Row],[Columna14]]=0,0,(CH21/CG21))</f>
        <v/>
      </c>
      <c r="CJ21" s="165">
        <f>IF(SEMANA29[[#This Row],[1]]="",0,$B$4)</f>
        <v/>
      </c>
      <c r="CK21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1" s="166">
        <f>IF(SEMANA29[[#This Row],[Columna14]]=0,0,(CK21/CJ21))</f>
        <v/>
      </c>
      <c r="CM21" s="164">
        <f>IF(SEMANA29[[#This Row],[1]]="",0,$B$4)</f>
        <v/>
      </c>
      <c r="CN21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1" s="166">
        <f>IF(SEMANA29[[#This Row],[Columna14]]=0,0,(CN21/CM21))</f>
        <v/>
      </c>
      <c r="CP21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1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Row],[Columna25]],$AX$5,BA21,"SF")+COUNTIFS(SEMANA29[[#This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1" s="166">
        <f>IFERROR(IF(SEMANA29[[#This Row],[Columna14]]=0,0,(CQ21/CP21)),0)</f>
        <v/>
      </c>
      <c r="CS21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1" s="95">
        <f>_xlfn.XLOOKUP(SEMANA29[[#This Row],[COD]],SEMANA2[COD],SEMANA2[Columna33])</f>
        <v/>
      </c>
      <c r="CU21" s="604">
        <f>SUM(CS21,CT21)</f>
        <v/>
      </c>
      <c r="CV21" s="450">
        <f>IF(SEMANA29[[#This Row],[TIPO]]="PREMIO",$O$3,"0,00")</f>
        <v/>
      </c>
      <c r="CW21" s="576" t="n"/>
      <c r="CY21" s="393" t="n">
        <v>14</v>
      </c>
      <c r="CZ21" s="354">
        <f>BS$6</f>
        <v/>
      </c>
      <c r="DB21" s="605">
        <f>SEMANA29[[#This Row],[COD]]</f>
        <v/>
      </c>
      <c r="DC21" s="395">
        <f t="array" ref="DC21">IFERROR(IF(AND(INDEX($E$8:$CE$57, MATCH($C21, $C$8:$C$57, 0), (COLUMNS($DC21:DC21)-1)*5 + 1) = INDEX($E$5:$CE$5, 1, (COLUMNS($DC21:DC21)-1)*5 + 1), INDEX($E$8:$CE$57, MATCH($C21, $C$8:$C$57, 0), (COLUMNS($DC21:DC21)-1)*5 + 4) = "F"), INDEX($CZ$8:$CZ$23, COLUMNS($DC21:DC21)), "0"), "")</f>
        <v/>
      </c>
      <c r="DD21" s="395">
        <f t="array" ref="DD21">IFERROR(IF(AND(INDEX($E$8:$CE$57, MATCH($C21, $C$8:$C$57, 0), (COLUMNS($DC21:DD21)-1)*5 + 1) = INDEX($E$5:$CE$5, 1, (COLUMNS($DC21:DD21)-1)*5 + 1), INDEX($E$8:$CE$57, MATCH($C21, $C$8:$C$57, 0), (COLUMNS($DC21:DD21)-1)*5 + 4) = "F"), INDEX($CZ$8:$CZ$23, COLUMNS($DC21:DD21)), "0"), "")</f>
        <v/>
      </c>
      <c r="DE21" s="395">
        <f t="array" ref="DE21">IFERROR(IF(AND(INDEX($E$8:$CE$57, MATCH($C21, $C$8:$C$57, 0), (COLUMNS($DC21:DE21)-1)*5 + 1) = INDEX($E$5:$CE$5, 1, (COLUMNS($DC21:DE21)-1)*5 + 1), INDEX($E$8:$CE$57, MATCH($C21, $C$8:$C$57, 0), (COLUMNS($DC21:DE21)-1)*5 + 4) = "F"), INDEX($CZ$8:$CZ$23, COLUMNS($DC21:DE21)), "0"), "")</f>
        <v/>
      </c>
      <c r="DF21" s="395">
        <f t="array" ref="DF21">IFERROR(IF(AND(INDEX($E$8:$CE$57, MATCH($C21, $C$8:$C$57, 0), (COLUMNS($DC21:DF21)-1)*5 + 1) = INDEX($E$5:$CE$5, 1, (COLUMNS($DC21:DF21)-1)*5 + 1), INDEX($E$8:$CE$57, MATCH($C21, $C$8:$C$57, 0), (COLUMNS($DC21:DF21)-1)*5 + 4) = "F"), INDEX($CZ$8:$CZ$23, COLUMNS($DC21:DF21)), "0"), "")</f>
        <v/>
      </c>
      <c r="DG21" s="395">
        <f t="array" ref="DG21">IFERROR(IF(AND(INDEX($E$8:$CE$57, MATCH($C21, $C$8:$C$57, 0), (COLUMNS($DC21:DG21)-1)*5 + 1) = INDEX($E$5:$CE$5, 1, (COLUMNS($DC21:DG21)-1)*5 + 1), INDEX($E$8:$CE$57, MATCH($C21, $C$8:$C$57, 0), (COLUMNS($DC21:DG21)-1)*5 + 4) = "F"), INDEX($CZ$8:$CZ$23, COLUMNS($DC21:DG21)), "0"), "")</f>
        <v/>
      </c>
      <c r="DH21" s="395">
        <f t="array" ref="DH21">IFERROR(IF(AND(INDEX($E$8:$CE$57, MATCH($C21, $C$8:$C$57, 0), (COLUMNS($DC21:DH21)-1)*5 + 1) = INDEX($E$5:$CE$5, 1, (COLUMNS($DC21:DH21)-1)*5 + 1), INDEX($E$8:$CE$57, MATCH($C21, $C$8:$C$57, 0), (COLUMNS($DC21:DH21)-1)*5 + 4) = "F"), INDEX($CZ$8:$CZ$23, COLUMNS($DC21:DH21)), "0"), "")</f>
        <v/>
      </c>
      <c r="DI21" s="395">
        <f t="array" ref="DI21">IFERROR(IF(AND(INDEX($E$8:$CE$57, MATCH($C21, $C$8:$C$57, 0), (COLUMNS($DC21:DI21)-1)*5 + 1) = INDEX($E$5:$CE$5, 1, (COLUMNS($DC21:DI21)-1)*5 + 1), INDEX($E$8:$CE$57, MATCH($C21, $C$8:$C$57, 0), (COLUMNS($DC21:DI21)-1)*5 + 4) = "F"), INDEX($CZ$8:$CZ$23, COLUMNS($DC21:DI21)), "0"), "")</f>
        <v/>
      </c>
      <c r="DJ21" s="395">
        <f t="array" ref="DJ21">IFERROR(IF(AND(INDEX($E$8:$CE$57, MATCH($C21, $C$8:$C$57, 0), (COLUMNS($DC21:DJ21)-1)*5 + 1) = INDEX($E$5:$CE$5, 1, (COLUMNS($DC21:DJ21)-1)*5 + 1), INDEX($E$8:$CE$57, MATCH($C21, $C$8:$C$57, 0), (COLUMNS($DC21:DJ21)-1)*5 + 4) = "F"), INDEX($CZ$8:$CZ$23, COLUMNS($DC21:DJ21)), "0"), "")</f>
        <v/>
      </c>
      <c r="DK21" s="395">
        <f t="array" ref="DK21">IFERROR(IF(AND(INDEX($E$8:$CE$57, MATCH($C21, $C$8:$C$57, 0), (COLUMNS($DC21:DK21)-1)*5 + 1) = INDEX($E$5:$CE$5, 1, (COLUMNS($DC21:DK21)-1)*5 + 1), INDEX($E$8:$CE$57, MATCH($C21, $C$8:$C$57, 0), (COLUMNS($DC21:DK21)-1)*5 + 4) = "F"), INDEX($CZ$8:$CZ$23, COLUMNS($DC21:DK21)), "0"), "")</f>
        <v/>
      </c>
      <c r="DL21" s="395">
        <f t="array" ref="DL21">IFERROR(IF(AND(INDEX($E$8:$CE$57, MATCH($C21, $C$8:$C$57, 0), (COLUMNS($DC21:DL21)-1)*5 + 1) = INDEX($E$5:$CE$5, 1, (COLUMNS($DC21:DL21)-1)*5 + 1), INDEX($E$8:$CE$57, MATCH($C21, $C$8:$C$57, 0), (COLUMNS($DC21:DL21)-1)*5 + 4) = "F"), INDEX($CZ$8:$CZ$23, COLUMNS($DC21:DL21)), "0"), "")</f>
        <v/>
      </c>
      <c r="DM21" s="395">
        <f t="array" ref="DM21">IFERROR(IF(AND(INDEX($E$8:$CE$57, MATCH($C21, $C$8:$C$57, 0), (COLUMNS($DC21:DM21)-1)*5 + 1) = INDEX($E$5:$CE$5, 1, (COLUMNS($DC21:DM21)-1)*5 + 1), INDEX($E$8:$CE$57, MATCH($C21, $C$8:$C$57, 0), (COLUMNS($DC21:DM21)-1)*5 + 4) = "F"), INDEX($CZ$8:$CZ$23, COLUMNS($DC21:DM21)), "0"), "")</f>
        <v/>
      </c>
      <c r="DN21" s="395">
        <f t="array" ref="DN21">IFERROR(IF(AND(INDEX($E$8:$CE$57, MATCH($C21, $C$8:$C$57, 0), (COLUMNS($DC21:DN21)-1)*5 + 1) = INDEX($E$5:$CE$5, 1, (COLUMNS($DC21:DN21)-1)*5 + 1), INDEX($E$8:$CE$57, MATCH($C21, $C$8:$C$57, 0), (COLUMNS($DC21:DN21)-1)*5 + 4) = "F"), INDEX($CZ$8:$CZ$23, COLUMNS($DC21:DN21)), "0"), "")</f>
        <v/>
      </c>
      <c r="DO21" s="395">
        <f t="array" ref="DO21">IFERROR(IF(AND(INDEX($E$8:$CE$57, MATCH($C21, $C$8:$C$57, 0), (COLUMNS($DC21:DO21)-1)*5 + 1) = INDEX($E$5:$CE$5, 1, (COLUMNS($DC21:DO21)-1)*5 + 1), INDEX($E$8:$CE$57, MATCH($C21, $C$8:$C$57, 0), (COLUMNS($DC21:DO21)-1)*5 + 4) = "F"), INDEX($CZ$8:$CZ$23, COLUMNS($DC21:DO21)), "0"), "")</f>
        <v/>
      </c>
      <c r="DP21" s="395">
        <f t="array" ref="DP21">IFERROR(IF(AND(INDEX($E$8:$CE$57, MATCH($C21, $C$8:$C$57, 0), (COLUMNS($DC21:DP21)-1)*5 + 1) = INDEX($E$5:$CE$5, 1, (COLUMNS($DC21:DP21)-1)*5 + 1), INDEX($E$8:$CE$57, MATCH($C21, $C$8:$C$57, 0), (COLUMNS($DC21:DP21)-1)*5 + 4) = "F"), INDEX($CZ$8:$CZ$23, COLUMNS($DC21:DP21)), "0"), "")</f>
        <v/>
      </c>
      <c r="DQ21" s="395">
        <f t="array" ref="DQ21">IFERROR(IF(AND(INDEX($E$8:$CE$57, MATCH($C21, $C$8:$C$57, 0), (COLUMNS($DC21:DQ21)-1)*5 + 1) = INDEX($E$5:$CE$5, 1, (COLUMNS($DC21:DQ21)-1)*5 + 1), INDEX($E$8:$CE$57, MATCH($C21, $C$8:$C$57, 0), (COLUMNS($DC21:DQ21)-1)*5 + 4) = "F"), INDEX($CZ$8:$CZ$23, COLUMNS($DC21:DQ21)), "0"), "")</f>
        <v/>
      </c>
      <c r="DR21" s="395">
        <f t="array" ref="DR21">IFERROR(IF(AND(INDEX($E$8:$CE$57, MATCH($C21, $C$8:$C$57, 0), (COLUMNS($DC21:DR21)-1)*5 + 1) = INDEX($E$5:$CE$5, 1, (COLUMNS($DC21:DR21)-1)*5 + 1), INDEX($E$8:$CE$57, MATCH($C21, $C$8:$C$57, 0), (COLUMNS($DC21:DR21)-1)*5 + 4) = "F"), INDEX($CZ$8:$CZ$23, COLUMNS($DC21:DR21)), "0"), "")</f>
        <v/>
      </c>
      <c r="DT21" s="605">
        <f>SEMANA29[[#This Row],[COD]]</f>
        <v/>
      </c>
      <c r="DU21" s="395">
        <f t="array" ref="DU21">IFERROR(IF(AND(INDEX($E$8:$CE$57, MATCH($C21, $C$8:$C$57, 0), (COLUMNS($DU21:DU21)-1)*5 + 1) = INDEX($E$5:$CE$5, 1, (COLUMNS($DU21:DU21)-1)*5 + 1), INDEX($E$8:$CE$57, MATCH($C21, $C$8:$C$57, 0), (COLUMNS($DU21:DU21)-1)*5 + 4) = "SF"), INDEX($CZ$8:$CZ$23, COLUMNS($DU21:DU21)), "0"), "")</f>
        <v/>
      </c>
      <c r="DV21" s="395">
        <f t="array" ref="DV21">IFERROR(IF(AND(INDEX($E$8:$CE$57, MATCH($C21, $C$8:$C$57, 0), (COLUMNS($DU21:DV21)-1)*5 + 1) = INDEX($E$5:$CE$5, 1, (COLUMNS($DU21:DV21)-1)*5 + 1), INDEX($E$8:$CE$57, MATCH($C21, $C$8:$C$57, 0), (COLUMNS($DU21:DV21)-1)*5 + 4) = "SF"), INDEX($CZ$8:$CZ$23, COLUMNS($DU21:DV21)), "0"), "")</f>
        <v/>
      </c>
      <c r="DW21" s="395">
        <f t="array" ref="DW21">IFERROR(IF(AND(INDEX($E$8:$CE$57, MATCH($C21, $C$8:$C$57, 0), (COLUMNS($DU21:DW21)-1)*5 + 1) = INDEX($E$5:$CE$5, 1, (COLUMNS($DU21:DW21)-1)*5 + 1), INDEX($E$8:$CE$57, MATCH($C21, $C$8:$C$57, 0), (COLUMNS($DU21:DW21)-1)*5 + 4) = "SF"), INDEX($CZ$8:$CZ$23, COLUMNS($DU21:DW21)), "0"), "")</f>
        <v/>
      </c>
      <c r="DX21" s="395">
        <f t="array" ref="DX21">IFERROR(IF(AND(INDEX($E$8:$CE$57, MATCH($C21, $C$8:$C$57, 0), (COLUMNS($DU21:DX21)-1)*5 + 1) = INDEX($E$5:$CE$5, 1, (COLUMNS($DU21:DX21)-1)*5 + 1), INDEX($E$8:$CE$57, MATCH($C21, $C$8:$C$57, 0), (COLUMNS($DU21:DX21)-1)*5 + 4) = "SF"), INDEX($CZ$8:$CZ$23, COLUMNS($DU21:DX21)), "0"), "")</f>
        <v/>
      </c>
      <c r="DY21" s="395">
        <f t="array" ref="DY21">IFERROR(IF(AND(INDEX($E$8:$CE$57, MATCH($C21, $C$8:$C$57, 0), (COLUMNS($DU21:DY21)-1)*5 + 1) = INDEX($E$5:$CE$5, 1, (COLUMNS($DU21:DY21)-1)*5 + 1), INDEX($E$8:$CE$57, MATCH($C21, $C$8:$C$57, 0), (COLUMNS($DU21:DY21)-1)*5 + 4) = "SF"), INDEX($CZ$8:$CZ$23, COLUMNS($DU21:DY21)), "0"), "")</f>
        <v/>
      </c>
      <c r="DZ21" s="395">
        <f t="array" ref="DZ21">IFERROR(IF(AND(INDEX($E$8:$CE$57, MATCH($C21, $C$8:$C$57, 0), (COLUMNS($DU21:DZ21)-1)*5 + 1) = INDEX($E$5:$CE$5, 1, (COLUMNS($DU21:DZ21)-1)*5 + 1), INDEX($E$8:$CE$57, MATCH($C21, $C$8:$C$57, 0), (COLUMNS($DU21:DZ21)-1)*5 + 4) = "SF"), INDEX($CZ$8:$CZ$23, COLUMNS($DU21:DZ21)), "0"), "")</f>
        <v/>
      </c>
      <c r="EA21" s="395">
        <f t="array" ref="EA21">IFERROR(IF(AND(INDEX($E$8:$CE$57, MATCH($C21, $C$8:$C$57, 0), (COLUMNS($DU21:EA21)-1)*5 + 1) = INDEX($E$5:$CE$5, 1, (COLUMNS($DU21:EA21)-1)*5 + 1), INDEX($E$8:$CE$57, MATCH($C21, $C$8:$C$57, 0), (COLUMNS($DU21:EA21)-1)*5 + 4) = "SF"), INDEX($CZ$8:$CZ$23, COLUMNS($DU21:EA21)), "0"), "")</f>
        <v/>
      </c>
      <c r="EB21" s="395">
        <f t="array" ref="EB21">IFERROR(IF(AND(INDEX($E$8:$CE$57, MATCH($C21, $C$8:$C$57, 0), (COLUMNS($DU21:EB21)-1)*5 + 1) = INDEX($E$5:$CE$5, 1, (COLUMNS($DU21:EB21)-1)*5 + 1), INDEX($E$8:$CE$57, MATCH($C21, $C$8:$C$57, 0), (COLUMNS($DU21:EB21)-1)*5 + 4) = "SF"), INDEX($CZ$8:$CZ$23, COLUMNS($DU21:EB21)), "0"), "")</f>
        <v/>
      </c>
      <c r="EC21" s="395">
        <f t="array" ref="EC21">IFERROR(IF(AND(INDEX($E$8:$CE$57, MATCH($C21, $C$8:$C$57, 0), (COLUMNS($DU21:EC21)-1)*5 + 1) = INDEX($E$5:$CE$5, 1, (COLUMNS($DU21:EC21)-1)*5 + 1), INDEX($E$8:$CE$57, MATCH($C21, $C$8:$C$57, 0), (COLUMNS($DU21:EC21)-1)*5 + 4) = "SF"), INDEX($CZ$8:$CZ$23, COLUMNS($DU21:EC21)), "0"), "")</f>
        <v/>
      </c>
      <c r="ED21" s="395">
        <f t="array" ref="ED21">IFERROR(IF(AND(INDEX($E$8:$CE$57, MATCH($C21, $C$8:$C$57, 0), (COLUMNS($DU21:ED21)-1)*5 + 1) = INDEX($E$5:$CE$5, 1, (COLUMNS($DU21:ED21)-1)*5 + 1), INDEX($E$8:$CE$57, MATCH($C21, $C$8:$C$57, 0), (COLUMNS($DU21:ED21)-1)*5 + 4) = "SF"), INDEX($CZ$8:$CZ$23, COLUMNS($DU21:ED21)), "0"), "")</f>
        <v/>
      </c>
      <c r="EE21" s="395">
        <f t="array" ref="EE21">IFERROR(IF(AND(INDEX($E$8:$CE$57, MATCH($C21, $C$8:$C$57, 0), (COLUMNS($DU21:EE21)-1)*5 + 1) = INDEX($E$5:$CE$5, 1, (COLUMNS($DU21:EE21)-1)*5 + 1), INDEX($E$8:$CE$57, MATCH($C21, $C$8:$C$57, 0), (COLUMNS($DU21:EE21)-1)*5 + 4) = "SF"), INDEX($CZ$8:$CZ$23, COLUMNS($DU21:EE21)), "0"), "")</f>
        <v/>
      </c>
      <c r="EF21" s="395">
        <f t="array" ref="EF21">IFERROR(IF(AND(INDEX($E$8:$CE$57, MATCH($C21, $C$8:$C$57, 0), (COLUMNS($DU21:EF21)-1)*5 + 1) = INDEX($E$5:$CE$5, 1, (COLUMNS($DU21:EF21)-1)*5 + 1), INDEX($E$8:$CE$57, MATCH($C21, $C$8:$C$57, 0), (COLUMNS($DU21:EF21)-1)*5 + 4) = "SF"), INDEX($CZ$8:$CZ$23, COLUMNS($DU21:EF21)), "0"), "")</f>
        <v/>
      </c>
      <c r="EG21" s="395">
        <f t="array" ref="EG21">IFERROR(IF(AND(INDEX($E$8:$CE$57, MATCH($C21, $C$8:$C$57, 0), (COLUMNS($DU21:EG21)-1)*5 + 1) = INDEX($E$5:$CE$5, 1, (COLUMNS($DU21:EG21)-1)*5 + 1), INDEX($E$8:$CE$57, MATCH($C21, $C$8:$C$57, 0), (COLUMNS($DU21:EG21)-1)*5 + 4) = "SF"), INDEX($CZ$8:$CZ$23, COLUMNS($DU21:EG21)), "0"), "")</f>
        <v/>
      </c>
      <c r="EH21" s="395">
        <f t="array" ref="EH21">IFERROR(IF(AND(INDEX($E$8:$CE$57, MATCH($C21, $C$8:$C$57, 0), (COLUMNS($DU21:EH21)-1)*5 + 1) = INDEX($E$5:$CE$5, 1, (COLUMNS($DU21:EH21)-1)*5 + 1), INDEX($E$8:$CE$57, MATCH($C21, $C$8:$C$57, 0), (COLUMNS($DU21:EH21)-1)*5 + 4) = "SF"), INDEX($CZ$8:$CZ$23, COLUMNS($DU21:EH21)), "0"), "")</f>
        <v/>
      </c>
      <c r="EI21" s="395">
        <f t="array" ref="EI21">IFERROR(IF(AND(INDEX($E$8:$CE$57, MATCH($C21, $C$8:$C$57, 0), (COLUMNS($DU21:EI21)-1)*5 + 1) = INDEX($E$5:$CE$5, 1, (COLUMNS($DU21:EI21)-1)*5 + 1), INDEX($E$8:$CE$57, MATCH($C21, $C$8:$C$57, 0), (COLUMNS($DU21:EI21)-1)*5 + 4) = "SF"), INDEX($CZ$8:$CZ$23, COLUMNS($DU21:EI21)), "0"), "")</f>
        <v/>
      </c>
      <c r="EJ21" s="395">
        <f t="array" ref="EJ21">IFERROR(IF(AND(INDEX($E$8:$CE$57, MATCH($C21, $C$8:$C$57, 0), (COLUMNS($DU21:EJ21)-1)*5 + 1) = INDEX($E$5:$CE$5, 1, (COLUMNS($DU21:EJ21)-1)*5 + 1), INDEX($E$8:$CE$57, MATCH($C21, $C$8:$C$57, 0), (COLUMNS($DU21:EJ21)-1)*5 + 4) = "SF"), INDEX($CZ$8:$CZ$23, COLUMNS($DU21:EJ21)), "0"), "")</f>
        <v/>
      </c>
    </row>
    <row r="22" ht="20.1" customHeight="1" s="568">
      <c r="A22" s="576" t="n"/>
      <c r="B22" s="449">
        <f>IF(SEMANA29[[#This Row],[COD]]&lt;&gt;"",B21+1,"")</f>
        <v/>
      </c>
      <c r="C22" s="622" t="inlineStr">
        <is>
          <t>COD 15</t>
        </is>
      </c>
      <c r="D22" s="415">
        <f t="array" ref="D22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2" s="416" t="n"/>
      <c r="F22" s="418" t="n"/>
      <c r="G22" s="418" t="n"/>
      <c r="H22" s="418" t="n"/>
      <c r="I22" s="602">
        <f>SUM(IF(E22=E$5,4,0),IF(E22&amp;F22=E$5&amp;F$5,1,0),
IF(AND(E22=E$5,F$6&gt;=$D$115),1,0),
IF(AND(F22=E$5,F$6&gt;=$D$115),1,0),
IF(AND(G22=E$5,F$6&gt;=$D$115),1,0),
IF(E22&amp;H22=I$5,1,0),
IF(F22=E$5,2,0),
IF(G22=E$5,1,0),
IF(OR(E22&amp;F22&amp;G22=E$5&amp;F$5&amp;G$5,E22&amp;F22&amp;G22=E$5&amp;G$5&amp;F$5,E22&amp;F22&amp;G22=F$5&amp;E$5&amp;G$5,E22&amp;F22&amp;G22=F$5&amp;G$5&amp;E$5,E22&amp;F22&amp;G22=G$5&amp;E$5&amp;F$5,E22&amp;F22&amp;G22=G$5&amp;F$5&amp;E$5),2,0),IF(AND(E22=E$5,F$6&gt;=$D$129),1,0),IF(AND(F22=E$5,F$6&gt;=$D$129),1,0),IF(AND(G22=E$5,F$6&gt;=$D$129),1,0),IF(E22&amp;H22=H$5,4,0),IF(AND(E22=E$5,F$6&lt;=$D$104),-0.5,0),IF(AND(F22=E$5,F$6&lt;=$D$104),-0.5,0),IF(AND(G22=E$5,F$6&lt;=$D$104),-0.5,0))</f>
        <v/>
      </c>
      <c r="J22" s="416" t="n"/>
      <c r="K22" s="418" t="n"/>
      <c r="L22" s="418" t="n"/>
      <c r="M22" s="418" t="n"/>
      <c r="N22" s="602">
        <f>SUM(IF(J22=J$5,4,0),IF(J22&amp;K22=J$5&amp;K$5,1,0),
IF(AND(J22=J$5,K$6&gt;=$D$115),1,0),
IF(AND(K22=J$5,K$6&gt;=$D$115),1,0),
IF(AND(L22=J$5,K$6&gt;=$D$115),1,0),
IF(J22&amp;M22=N$5,1,0),
IF(K22=J$5,2,0),
IF(L22=J$5,1,0),
IF(OR(J22&amp;K22&amp;L22=J$5&amp;K$5&amp;L$5,J22&amp;K22&amp;L22=J$5&amp;L$5&amp;K$5,J22&amp;K22&amp;L22=K$5&amp;J$5&amp;L$5,J22&amp;K22&amp;L22=K$5&amp;L$5&amp;J$5,J22&amp;K22&amp;L22=L$5&amp;J$5&amp;K$5,J22&amp;K22&amp;L22=L$5&amp;K$5&amp;J$5),2,0),IF(AND(J22=J$5,K$6&gt;=$D$129),1,0),IF(AND(K22=J$5,K$6&gt;=$D$129),1,0),IF(AND(L22=J$5,K$6&gt;=$D$129),1,0),IF(J22&amp;M22=M$5,4,0),IF(AND(J22=J$5,K$6&lt;=$D$104),-0.5,0),IF(AND(K22=J$5,K$6&lt;=$D$104),-0.5,0),IF(AND(L22=J$5,K$6&lt;=$D$104),-0.5,0))</f>
        <v/>
      </c>
      <c r="O22" s="416" t="n"/>
      <c r="P22" s="418" t="n"/>
      <c r="Q22" s="418" t="n"/>
      <c r="R22" s="418" t="n"/>
      <c r="S22" s="602">
        <f>SUM(IF(O22=O$5,4,0),IF(O22&amp;P22=O$5&amp;P$5,1,0),
IF(AND(O22=O$5,P$6&gt;=$D$115),1,0),
IF(AND(P22=O$5,P$6&gt;=$D$115),1,0),
IF(AND(Q22=O$5,P$6&gt;=$D$115),1,0),
IF(O22&amp;R22=S$5,1,0),
IF(P22=O$5,2,0),
IF(Q22=O$5,1,0),
IF(OR(O22&amp;P22&amp;Q22=O$5&amp;P$5&amp;Q$5,O22&amp;P22&amp;Q22=O$5&amp;Q$5&amp;P$5,O22&amp;P22&amp;Q22=P$5&amp;O$5&amp;Q$5,O22&amp;P22&amp;Q22=P$5&amp;Q$5&amp;O$5,O22&amp;P22&amp;Q22=Q$5&amp;O$5&amp;P$5,O22&amp;P22&amp;Q22=Q$5&amp;P$5&amp;O$5),2,0),IF(AND(O22=O$5,P$6&gt;=$D$129),1,0),IF(AND(P22=O$5,P$6&gt;=$D$129),1,0),IF(AND(Q22=O$5,P$6&gt;=$D$129),1,0),IF(O22&amp;R22=R$5,4,0),IF(AND(O22=O$5,P$6&lt;=$D$104),-0.5,0),IF(AND(P22=O$5,P$6&lt;=$D$104),-0.5,0),IF(AND(Q22=O$5,P$6&lt;=$D$104),-0.5,0))</f>
        <v/>
      </c>
      <c r="T22" s="416" t="n"/>
      <c r="U22" s="418" t="n"/>
      <c r="V22" s="418" t="n"/>
      <c r="W22" s="418" t="n"/>
      <c r="X22" s="602">
        <f>SUM(IF(T22=T$5,4,0),IF(T22&amp;U22=T$5&amp;U$5,1,0),
IF(AND(T22=T$5,U$6&gt;=$D$115),1,0),
IF(AND(U22=T$5,U$6&gt;=$D$115),1,0),
IF(AND(V22=T$5,U$6&gt;=$D$115),1,0),
IF(T22&amp;W22=X$5,1,0),
IF(U22=T$5,2,0),
IF(V22=T$5,1,0),
IF(OR(T22&amp;U22&amp;V22=T$5&amp;U$5&amp;V$5,T22&amp;U22&amp;V22=T$5&amp;V$5&amp;U$5,T22&amp;U22&amp;V22=U$5&amp;T$5&amp;V$5,T22&amp;U22&amp;V22=U$5&amp;V$5&amp;T$5,T22&amp;U22&amp;V22=V$5&amp;T$5&amp;U$5,T22&amp;U22&amp;V22=V$5&amp;U$5&amp;T$5),2,0),IF(AND(T22=T$5,U$6&gt;=$D$129),1,0),IF(AND(U22=T$5,U$6&gt;=$D$129),1,0),IF(AND(V22=T$5,U$6&gt;=$D$129),1,0),IF(T22&amp;W22=W$5,4,0),IF(AND(T22=T$5,U$6&lt;=$D$104),-0.5,0),IF(AND(U22=T$5,U$6&lt;=$D$104),-0.5,0),IF(AND(V22=T$5,U$6&lt;=$D$104),-0.5,0))</f>
        <v/>
      </c>
      <c r="Y22" s="416" t="n"/>
      <c r="Z22" s="418" t="n"/>
      <c r="AA22" s="418" t="n"/>
      <c r="AB22" s="418" t="n"/>
      <c r="AC22" s="602">
        <f>SUM(IF(Y22=Y$5,4,0),IF(Y22&amp;Z22=Y$5&amp;Z$5,1,0),
IF(AND(Y22=Y$5,Z$6&gt;=$D$115),1,0),
IF(AND(Z22=Y$5,Z$6&gt;=$D$115),1,0),
IF(AND(AA22=Y$5,Z$6&gt;=$D$115),1,0),
IF(Y22&amp;AB22=AC$5,1,0),
IF(Z22=Y$5,2,0),
IF(AA22=Y$5,1,0),
IF(OR(Y22&amp;Z22&amp;AA22=Y$5&amp;Z$5&amp;AA$5,Y22&amp;Z22&amp;AA22=Y$5&amp;AA$5&amp;Z$5,Y22&amp;Z22&amp;AA22=Z$5&amp;Y$5&amp;AA$5,Y22&amp;Z22&amp;AA22=Z$5&amp;AA$5&amp;Y$5,Y22&amp;Z22&amp;AA22=AA$5&amp;Y$5&amp;Z$5,Y22&amp;Z22&amp;AA22=AA$5&amp;Z$5&amp;Y$5),2,0),IF(AND(Y22=Y$5,Z$6&gt;=$D$129),1,0),IF(AND(Z22=Y$5,Z$6&gt;=$D$129),1,0),IF(AND(AA22=Y$5,Z$6&gt;=$D$129),1,0),IF(Y22&amp;AB22=AB$5,4,0),IF(AND(Y22=Y$5,Z$6&lt;=$D$104),-0.5,0),IF(AND(Z22=Y$5,Z$6&lt;=$D$104),-0.5,0),IF(AND(AA22=Y$5,Z$6&lt;=$D$104),-0.5,0))</f>
        <v/>
      </c>
      <c r="AD22" s="416" t="n"/>
      <c r="AE22" s="418" t="n"/>
      <c r="AF22" s="418" t="n"/>
      <c r="AG22" s="418" t="n"/>
      <c r="AH22" s="602">
        <f>SUM(IF(AD22=AD$5,4,0),IF(AD22&amp;AE22=AD$5&amp;AE$5,1,0),
IF(AND(AD22=AD$5,AE$6&gt;=$D$115),1,0),
IF(AND(AE22=AD$5,AE$6&gt;=$D$115),1,0),
IF(AND(AF22=AD$5,AE$6&gt;=$D$115),1,0),
IF(AD22&amp;AG22=AH$5,1,0),
IF(AE22=AD$5,2,0),
IF(AF22=AD$5,1,0),
IF(OR(AD22&amp;AE22&amp;AF22=AD$5&amp;AE$5&amp;AF$5,AD22&amp;AE22&amp;AF22=AD$5&amp;AF$5&amp;AE$5,AD22&amp;AE22&amp;AF22=AE$5&amp;AD$5&amp;AF$5,AD22&amp;AE22&amp;AF22=AE$5&amp;AF$5&amp;AD$5,AD22&amp;AE22&amp;AF22=AF$5&amp;AD$5&amp;AE$5,AD22&amp;AE22&amp;AF22=AF$5&amp;AE$5&amp;AD$5),2,0),IF(AND(AD22=AD$5,AE$6&gt;=$D$129),1,0),IF(AND(AE22=AD$5,AE$6&gt;=$D$129),1,0),IF(AND(AF22=AD$5,AE$6&gt;=$D$129),1,0),IF(AD22&amp;AG22=AG$5,4,0),IF(AND(AD22=AD$5,AE$6&lt;=$D$104),-0.5,0),IF(AND(AE22=AD$5,AE$6&lt;=$D$104),-0.5,0),IF(AND(AF22=AD$5,AE$6&lt;=$D$104),-0.5,0))</f>
        <v/>
      </c>
      <c r="AI22" s="416" t="n"/>
      <c r="AJ22" s="418" t="n"/>
      <c r="AK22" s="418" t="n"/>
      <c r="AL22" s="418" t="n"/>
      <c r="AM22" s="602">
        <f>SUM(IF(AI22=AI$5,4,0),IF(AI22&amp;AJ22=AI$5&amp;AJ$5,1,0),
IF(AND(AI22=AI$5,AJ$6&gt;=$D$115),1,0),
IF(AND(AJ22=AI$5,AJ$6&gt;=$D$115),1,0),
IF(AND(AK22=AI$5,AJ$6&gt;=$D$115),1,0),
IF(AI22&amp;AL22=AM$5,1,0),
IF(AJ22=AI$5,2,0),
IF(AK22=AI$5,1,0),
IF(OR(AI22&amp;AJ22&amp;AK22=AI$5&amp;AJ$5&amp;AK$5,AI22&amp;AJ22&amp;AK22=AI$5&amp;AK$5&amp;AJ$5,AI22&amp;AJ22&amp;AK22=AJ$5&amp;AI$5&amp;AK$5,AI22&amp;AJ22&amp;AK22=AJ$5&amp;AK$5&amp;AI$5,AI22&amp;AJ22&amp;AK22=AK$5&amp;AI$5&amp;AJ$5,AI22&amp;AJ22&amp;AK22=AK$5&amp;AJ$5&amp;AI$5),2,0),IF(AND(AI22=AI$5,AJ$6&gt;=$D$129),1,0),IF(AND(AJ22=AI$5,AJ$6&gt;=$D$129),1,0),IF(AND(AK22=AI$5,AJ$6&gt;=$D$129),1,0),IF(AI22&amp;AL22=AL$5,4,0),IF(AND(AI22=AI$5,AJ$6&lt;=$D$104),-0.5,0),IF(AND(AJ22=AI$5,AJ$6&lt;=$D$104),-0.5,0),IF(AND(AK22=AI$5,AJ$6&lt;=$D$104),-0.5,0))</f>
        <v/>
      </c>
      <c r="AN22" s="416" t="n"/>
      <c r="AO22" s="418" t="n"/>
      <c r="AP22" s="418" t="n"/>
      <c r="AQ22" s="418" t="n"/>
      <c r="AR22" s="602">
        <f>SUM(IF(AN22=AN$5,4,0),IF(AN22&amp;AO22=AN$5&amp;AO$5,1,0),
IF(AND(AN22=AN$5,AO$6&gt;=$D$115),1,0),
IF(AND(AO22=AN$5,AO$6&gt;=$D$115),1,0),
IF(AND(AP22=AN$5,AO$6&gt;=$D$115),1,0),
IF(AN22&amp;AQ22=AR$5,1,0),
IF(AO22=AN$5,2,0),
IF(AP22=AN$5,1,0),
IF(OR(AN22&amp;AO22&amp;AP22=AN$5&amp;AO$5&amp;AP$5,AN22&amp;AO22&amp;AP22=AN$5&amp;AP$5&amp;AO$5,AN22&amp;AO22&amp;AP22=AO$5&amp;AN$5&amp;AP$5,AN22&amp;AO22&amp;AP22=AO$5&amp;AP$5&amp;AN$5,AN22&amp;AO22&amp;AP22=AP$5&amp;AN$5&amp;AO$5,AN22&amp;AO22&amp;AP22=AP$5&amp;AO$5&amp;AN$5),2,0),IF(AND(AN22=AN$5,AO$6&gt;=$D$129),1,0),IF(AND(AO22=AN$5,AO$6&gt;=$D$129),1,0),IF(AND(AP22=AN$5,AO$6&gt;=$D$129),1,0),IF(AN22&amp;AQ22=AQ$5,4,0),IF(AND(AN22=AN$5,AO$6&lt;=$D$104),-0.5,0),IF(AND(AO22=AN$5,AO$6&lt;=$D$104),-0.5,0),IF(AND(AP22=AN$5,AO$6&lt;=$D$104),-0.5,0))</f>
        <v/>
      </c>
      <c r="AS22" s="416" t="n"/>
      <c r="AT22" s="418" t="n"/>
      <c r="AU22" s="418" t="n"/>
      <c r="AV22" s="418" t="n"/>
      <c r="AW22" s="602">
        <f>SUM(IF(AS22=AS$5,4,0),IF(AS22&amp;AT22=AS$5&amp;AT$5,1,0),
IF(AND(AS22=AS$5,AT$6&gt;=$D$115),1,0),
IF(AND(AT22=AS$5,AT$6&gt;=$D$115),1,0),
IF(AND(AU22=AS$5,AT$6&gt;=$D$115),1,0),
IF(AS22&amp;AV22=AW$5,1,0),
IF(AT22=AS$5,2,0),
IF(AU22=AS$5,1,0),
IF(OR(AS22&amp;AT22&amp;AU22=AS$5&amp;AT$5&amp;AU$5,AS22&amp;AT22&amp;AU22=AS$5&amp;AU$5&amp;AT$5,AS22&amp;AT22&amp;AU22=AT$5&amp;AS$5&amp;AU$5,AS22&amp;AT22&amp;AU22=AT$5&amp;AU$5&amp;AS$5,AS22&amp;AT22&amp;AU22=AU$5&amp;AS$5&amp;AT$5,AS22&amp;AT22&amp;AU22=AU$5&amp;AT$5&amp;AS$5),2,0),IF(AND(AS22=AS$5,AT$6&gt;=$D$129),1,0),IF(AND(AT22=AS$5,AT$6&gt;=$D$129),1,0),IF(AND(AU22=AS$5,AT$6&gt;=$D$129),1,0),IF(AS22&amp;AV22=AV$5,4,0),IF(AND(AS22=AS$5,AT$6&lt;=$D$104),-0.5,0),IF(AND(AT22=AS$5,AT$6&lt;=$D$104),-0.5,0),IF(AND(AU22=AS$5,AT$6&lt;=$D$104),-0.5,0))</f>
        <v/>
      </c>
      <c r="AX22" s="416" t="n"/>
      <c r="AY22" s="418" t="n"/>
      <c r="AZ22" s="418" t="n"/>
      <c r="BA22" s="418" t="n"/>
      <c r="BB22" s="602">
        <f>SUM(IF(AX22=AX$5,4,0),IF(AX22&amp;AY22=AX$5&amp;AY$5,1,0),
IF(AND(AX22=AX$5,AY$6&gt;=$D$115),1,0),
IF(AND(AY22=AX$5,AY$6&gt;=$D$115),1,0),
IF(AND(AZ22=AX$5,AY$6&gt;=$D$115),1,0),
IF(AX22&amp;BA22=BB$5,1,0),
IF(AY22=AX$5,2,0),
IF(AZ22=AX$5,1,0),
IF(OR(AX22&amp;AY22&amp;AZ22=AX$5&amp;AY$5&amp;AZ$5,AX22&amp;AY22&amp;AZ22=AX$5&amp;AZ$5&amp;AY$5,AX22&amp;AY22&amp;AZ22=AY$5&amp;AX$5&amp;AZ$5,AX22&amp;AY22&amp;AZ22=AY$5&amp;AZ$5&amp;AX$5,AX22&amp;AY22&amp;AZ22=AZ$5&amp;AX$5&amp;AY$5,AX22&amp;AY22&amp;AZ22=AZ$5&amp;AY$5&amp;AX$5),2,0),IF(AND(AX22=AX$5,AY$6&gt;=$D$129),1,0),IF(AND(AY22=AX$5,AY$6&gt;=$D$129),1,0),IF(AND(AZ22=AX$5,AY$6&gt;=$D$129),1,0),IF(AX22&amp;BA22=BA$5,4,0),IF(AND(AX22=AX$5,AY$6&lt;=$D$104),-0.5,0),IF(AND(AY22=AX$5,AY$6&lt;=$D$104),-0.5,0),IF(AND(AZ22=AX$5,AY$6&lt;=$D$104),-0.5,0))</f>
        <v/>
      </c>
      <c r="BC22" s="416" t="n"/>
      <c r="BD22" s="418" t="n"/>
      <c r="BE22" s="418" t="n"/>
      <c r="BF22" s="418" t="n"/>
      <c r="BG22" s="602">
        <f>SUM(IF(BC22=BC$5,4,0),IF(BC22&amp;BD22=BC$5&amp;BD$5,1,0),
IF(AND(BC22=BC$5,BD$6&gt;=$D$115),1,0),
IF(AND(BD22=BC$5,BD$6&gt;=$D$115),1,0),
IF(AND(BE22=BC$5,BD$6&gt;=$D$115),1,0),
IF(BC22&amp;BF22=BG$5,1,0),
IF(BD22=BC$5,2,0),
IF(BE22=BC$5,1,0),
IF(OR(BC22&amp;BD22&amp;BE22=BC$5&amp;BD$5&amp;BE$5,BC22&amp;BD22&amp;BE22=BC$5&amp;BE$5&amp;BD$5,BC22&amp;BD22&amp;BE22=BD$5&amp;BC$5&amp;BE$5,BC22&amp;BD22&amp;BE22=BD$5&amp;BE$5&amp;BC$5,BC22&amp;BD22&amp;BE22=BE$5&amp;BC$5&amp;BD$5,BC22&amp;BD22&amp;BE22=BE$5&amp;BD$5&amp;BC$5),2,0),IF(AND(BC22=BC$5,BD$6&gt;=$D$129),1,0),IF(AND(BD22=BC$5,BD$6&gt;=$D$129),1,0),IF(AND(BE22=BC$5,BD$6&gt;=$D$129),1,0),IF(BC22&amp;BF22=BF$5,4,0),IF(AND(BC22=BC$5,BD$6&lt;=$D$104),-0.5,0),IF(AND(BD22=BC$5,BD$6&lt;=$D$104),-0.5,0),IF(AND(BE22=BC$5,BD$6&lt;=$D$104),-0.5,0))</f>
        <v/>
      </c>
      <c r="BH22" s="416" t="n"/>
      <c r="BI22" s="418" t="n"/>
      <c r="BJ22" s="418" t="n"/>
      <c r="BK22" s="418" t="n"/>
      <c r="BL22" s="602">
        <f>SUM(IF(BH22=BH$5,4,0),IF(BH22&amp;BI22=BH$5&amp;BI$5,1,0),
IF(AND(BH22=BH$5,BI$6&gt;=$D$115),1,0),
IF(AND(BI22=BH$5,BI$6&gt;=$D$115),1,0),
IF(AND(BJ22=BH$5,BI$6&gt;=$D$115),1,0),
IF(BH22&amp;BK22=BL$5,1,0),
IF(BI22=BH$5,2,0),
IF(BJ22=BH$5,1,0),
IF(OR(BH22&amp;BI22&amp;BJ22=BH$5&amp;BI$5&amp;BJ$5,BH22&amp;BI22&amp;BJ22=BH$5&amp;BJ$5&amp;BI$5,BH22&amp;BI22&amp;BJ22=BI$5&amp;BH$5&amp;BJ$5,BH22&amp;BI22&amp;BJ22=BI$5&amp;BJ$5&amp;BH$5,BH22&amp;BI22&amp;BJ22=BJ$5&amp;BH$5&amp;BI$5,BH22&amp;BI22&amp;BJ22=BJ$5&amp;BI$5&amp;BH$5),2,0),IF(AND(BH22=BH$5,BI$6&gt;=$D$129),1,0),IF(AND(BI22=BH$5,BI$6&gt;=$D$129),1,0),IF(AND(BJ22=BH$5,BI$6&gt;=$D$129),1,0),IF(BH22&amp;BK22=BK$5,4,0),IF(AND(BH22=BH$5,BI$6&lt;=$D$104),-0.5,0),IF(AND(BI22=BH$5,BI$6&lt;=$D$104),-0.5,0),IF(AND(BJ22=BH$5,BI$6&lt;=$D$104),-0.5,0))</f>
        <v/>
      </c>
      <c r="BM22" s="416" t="n"/>
      <c r="BN22" s="418" t="n"/>
      <c r="BO22" s="418" t="n"/>
      <c r="BP22" s="418" t="n"/>
      <c r="BQ22" s="602">
        <f>SUM(IF(BM22=BM$5,4,0),IF(BM22&amp;BN22=BM$5&amp;BN$5,1,0),
IF(AND(BM22=BM$5,BN$6&gt;=$D$115),1,0),
IF(AND(BN22=BM$5,BN$6&gt;=$D$115),1,0),
IF(AND(BO22=BM$5,BN$6&gt;=$D$115),1,0),
IF(BM22&amp;BP22=BQ$5,1,0),
IF(BN22=BM$5,2,0),
IF(BO22=BM$5,1,0),
IF(OR(BM22&amp;BN22&amp;BO22=BM$5&amp;BN$5&amp;BO$5,BM22&amp;BN22&amp;BO22=BM$5&amp;BO$5&amp;BN$5,BM22&amp;BN22&amp;BO22=BN$5&amp;BM$5&amp;BO$5,BM22&amp;BN22&amp;BO22=BN$5&amp;BO$5&amp;BM$5,BM22&amp;BN22&amp;BO22=BO$5&amp;BM$5&amp;BN$5,BM22&amp;BN22&amp;BO22=BO$5&amp;BN$5&amp;BM$5),2,0),IF(AND(BM22=BM$5,BN$6&gt;=$D$129),1,0),IF(AND(BN22=BM$5,BN$6&gt;=$D$129),1,0),IF(AND(BO22=BM$5,BN$6&gt;=$D$129),1,0),IF(BM22&amp;BP22=BP$5,4,0),IF(AND(BM22=BM$5,BN$6&lt;=$D$104),-0.5,0),IF(AND(BN22=BM$5,BN$6&lt;=$D$104),-0.5,0),IF(AND(BO22=BM$5,BN$6&lt;=$D$104),-0.5,0))</f>
        <v/>
      </c>
      <c r="BR22" s="416" t="n"/>
      <c r="BS22" s="418" t="n"/>
      <c r="BT22" s="418" t="n"/>
      <c r="BU22" s="418" t="n"/>
      <c r="BV22" s="602">
        <f>SUM(IF(BR22=BR$5,4,0),IF(BR22&amp;BS22=BR$5&amp;BS$5,1,0),
IF(AND(BR22=BR$5,BS$6&gt;=$D$115),1,0),
IF(AND(BS22=BR$5,BS$6&gt;=$D$115),1,0),
IF(AND(BT22=BR$5,BS$6&gt;=$D$115),1,0),
IF(BR22&amp;BU22=BV$5,1,0),
IF(BS22=BR$5,2,0),
IF(BT22=BR$5,1,0),
IF(OR(BR22&amp;BS22&amp;BT22=BR$5&amp;BS$5&amp;BT$5,BR22&amp;BS22&amp;BT22=BR$5&amp;BT$5&amp;BS$5,BR22&amp;BS22&amp;BT22=BS$5&amp;BR$5&amp;BT$5,BR22&amp;BS22&amp;BT22=BS$5&amp;BT$5&amp;BR$5,BR22&amp;BS22&amp;BT22=BT$5&amp;BR$5&amp;BS$5,BR22&amp;BS22&amp;BT22=BT$5&amp;BS$5&amp;BR$5),2,0),IF(AND(BR22=BR$5,BS$6&gt;=$D$129),1,0),IF(AND(BS22=BR$5,BS$6&gt;=$D$129),1,0),IF(AND(BT22=BR$5,BS$6&gt;=$D$129),1,0),IF(BR22&amp;BU22=BU$5,4,0),IF(AND(BR22=BR$5,BS$6&lt;=$D$104),-0.5,0),IF(AND(BS22=BR$5,BS$6&lt;=$D$104),-0.5,0),IF(AND(BT22=BR$5,BS$6&lt;=$D$104),-0.5,0))</f>
        <v/>
      </c>
      <c r="BW22" s="416" t="n"/>
      <c r="BX22" s="418" t="n"/>
      <c r="BY22" s="418" t="n"/>
      <c r="BZ22" s="418" t="n"/>
      <c r="CA22" s="602">
        <f>SUM(IF(BW22=BW$5,4,0),IF(BW22&amp;BX22=BW$5&amp;BX$5,1,0),
IF(AND(BW22=BW$5,BX$6&gt;=$D$115),1,0),
IF(AND(BX22=BW$5,BX$6&gt;=$D$115),1,0),
IF(AND(BY22=BW$5,BX$6&gt;=$D$115),1,0),
IF(BW22&amp;BZ22=CA$5,1,0),
IF(BX22=BW$5,2,0),
IF(BY22=BW$5,1,0),
IF(OR(BW22&amp;BX22&amp;BY22=BW$5&amp;BX$5&amp;BY$5,BW22&amp;BX22&amp;BY22=BW$5&amp;BY$5&amp;BX$5,BW22&amp;BX22&amp;BY22=BX$5&amp;BW$5&amp;BY$5,BW22&amp;BX22&amp;BY22=BX$5&amp;BY$5&amp;BW$5,BW22&amp;BX22&amp;BY22=BY$5&amp;BW$5&amp;BX$5,BW22&amp;BX22&amp;BY22=BY$5&amp;BX$5&amp;BW$5),2,0),IF(AND(BW22=BW$5,BX$6&gt;=$D$129),1,0),IF(AND(BX22=BW$5,BX$6&gt;=$D$129),1,0),IF(AND(BY22=BW$5,BX$6&gt;=$D$129),1,0),IF(BW22&amp;BZ22=BZ$5,4,0),IF(AND(BW22=BW$5,BX$6&lt;=$D$104),-0.5,0),IF(AND(BX22=BW$5,BX$6&lt;=$D$104),-0.5,0),IF(AND(BY22=BW$5,BX$6&lt;=$D$104),-0.5,0))</f>
        <v/>
      </c>
      <c r="CB22" s="416" t="n"/>
      <c r="CC22" s="418" t="n"/>
      <c r="CD22" s="418" t="n"/>
      <c r="CE22" s="418" t="n"/>
      <c r="CF22" s="602">
        <f>SUM(IF(CB22=CB$5,4,0),IF(CB22&amp;CC22=CB$5&amp;CC$5,1,0),
IF(AND(CB22=CB$5,CC$6&gt;=$D$115),1,0),
IF(AND(CC22=CB$5,CC$6&gt;=$D$115),1,0),
IF(AND(CD22=CB$5,CC$6&gt;=$D$115),1,0),
IF(CB22&amp;CE22=CF$5,1,0),
IF(CC22=CB$5,2,0),
IF(CD22=CB$5,1,0),
IF(OR(CB22&amp;CC22&amp;CD22=CB$5&amp;CC$5&amp;CD$5,CB22&amp;CC22&amp;CD22=CB$5&amp;CD$5&amp;CC$5,CB22&amp;CC22&amp;CD22=CC$5&amp;CB$5&amp;CD$5,CB22&amp;CC22&amp;CD22=CC$5&amp;CD$5&amp;CB$5,CB22&amp;CC22&amp;CD22=CD$5&amp;CB$5&amp;CC$5,CB22&amp;CC22&amp;CD22=CD$5&amp;CC$5&amp;CB$5),2,0),IF(AND(CB22=CB$5,CC$6&gt;=$D$129),1,0),IF(AND(CC22=CB$5,CC$6&gt;=$D$129),1,0),IF(AND(CD22=CB$5,CC$6&gt;=$D$129),1,0),IF(CB22&amp;CE22=CE$5,4,0),IF(AND(CB22=CB$5,CC$6&lt;=$D$104),-0.5,0),IF(AND(CC22=CB$5,CC$6&lt;=$D$104),-0.5,0),IF(AND(CD22=CB$5,CC$6&lt;=$D$104),-0.5,0))</f>
        <v/>
      </c>
      <c r="CG22" s="164">
        <f>IF(SEMANA29[[#This Row],[1]]="",0,$B$4)</f>
        <v/>
      </c>
      <c r="CH22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2" s="166">
        <f>IF(SEMANA29[[#This Row],[Columna14]]=0,0,(CH22/CG22))</f>
        <v/>
      </c>
      <c r="CJ22" s="165">
        <f>IF(SEMANA29[[#This Row],[1]]="",0,$B$4)</f>
        <v/>
      </c>
      <c r="CK22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2" s="166">
        <f>IF(SEMANA29[[#This Row],[Columna14]]=0,0,(CK22/CJ22))</f>
        <v/>
      </c>
      <c r="CM22" s="164">
        <f>IF(SEMANA29[[#This Row],[1]]="",0,$B$4)</f>
        <v/>
      </c>
      <c r="CN22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2" s="166">
        <f>IF(SEMANA29[[#This Row],[Columna14]]=0,0,(CN22/CM22))</f>
        <v/>
      </c>
      <c r="CP22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2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Row],[Columna25]],$AX$5,BA22,"SF")+COUNTIFS(SEMANA29[[#This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2" s="166">
        <f>IFERROR(IF(SEMANA29[[#This Row],[Columna14]]=0,0,(CQ22/CP22)),0)</f>
        <v/>
      </c>
      <c r="CS22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2" s="95">
        <f>_xlfn.XLOOKUP(SEMANA29[[#This Row],[COD]],SEMANA2[COD],SEMANA2[Columna33])</f>
        <v/>
      </c>
      <c r="CU22" s="604">
        <f>SUM(CS22,CT22)</f>
        <v/>
      </c>
      <c r="CV22" s="450">
        <f>IF(SEMANA29[[#This Row],[TIPO]]="PREMIO",$O$3,"0,00")</f>
        <v/>
      </c>
      <c r="CW22" s="576" t="n"/>
      <c r="CY22" s="393" t="n">
        <v>15</v>
      </c>
      <c r="CZ22" s="354">
        <f>BX$6</f>
        <v/>
      </c>
      <c r="DB22" s="605">
        <f>SEMANA29[[#This Row],[COD]]</f>
        <v/>
      </c>
      <c r="DC22" s="395">
        <f t="array" ref="DC22">IFERROR(IF(AND(INDEX($E$8:$CE$57, MATCH($C22, $C$8:$C$57, 0), (COLUMNS($DC22:DC22)-1)*5 + 1) = INDEX($E$5:$CE$5, 1, (COLUMNS($DC22:DC22)-1)*5 + 1), INDEX($E$8:$CE$57, MATCH($C22, $C$8:$C$57, 0), (COLUMNS($DC22:DC22)-1)*5 + 4) = "F"), INDEX($CZ$8:$CZ$23, COLUMNS($DC22:DC22)), "0"), "")</f>
        <v/>
      </c>
      <c r="DD22" s="395">
        <f t="array" ref="DD22">IFERROR(IF(AND(INDEX($E$8:$CE$57, MATCH($C22, $C$8:$C$57, 0), (COLUMNS($DC22:DD22)-1)*5 + 1) = INDEX($E$5:$CE$5, 1, (COLUMNS($DC22:DD22)-1)*5 + 1), INDEX($E$8:$CE$57, MATCH($C22, $C$8:$C$57, 0), (COLUMNS($DC22:DD22)-1)*5 + 4) = "F"), INDEX($CZ$8:$CZ$23, COLUMNS($DC22:DD22)), "0"), "")</f>
        <v/>
      </c>
      <c r="DE22" s="395">
        <f t="array" ref="DE22">IFERROR(IF(AND(INDEX($E$8:$CE$57, MATCH($C22, $C$8:$C$57, 0), (COLUMNS($DC22:DE22)-1)*5 + 1) = INDEX($E$5:$CE$5, 1, (COLUMNS($DC22:DE22)-1)*5 + 1), INDEX($E$8:$CE$57, MATCH($C22, $C$8:$C$57, 0), (COLUMNS($DC22:DE22)-1)*5 + 4) = "F"), INDEX($CZ$8:$CZ$23, COLUMNS($DC22:DE22)), "0"), "")</f>
        <v/>
      </c>
      <c r="DF22" s="395">
        <f t="array" ref="DF22">IFERROR(IF(AND(INDEX($E$8:$CE$57, MATCH($C22, $C$8:$C$57, 0), (COLUMNS($DC22:DF22)-1)*5 + 1) = INDEX($E$5:$CE$5, 1, (COLUMNS($DC22:DF22)-1)*5 + 1), INDEX($E$8:$CE$57, MATCH($C22, $C$8:$C$57, 0), (COLUMNS($DC22:DF22)-1)*5 + 4) = "F"), INDEX($CZ$8:$CZ$23, COLUMNS($DC22:DF22)), "0"), "")</f>
        <v/>
      </c>
      <c r="DG22" s="395">
        <f t="array" ref="DG22">IFERROR(IF(AND(INDEX($E$8:$CE$57, MATCH($C22, $C$8:$C$57, 0), (COLUMNS($DC22:DG22)-1)*5 + 1) = INDEX($E$5:$CE$5, 1, (COLUMNS($DC22:DG22)-1)*5 + 1), INDEX($E$8:$CE$57, MATCH($C22, $C$8:$C$57, 0), (COLUMNS($DC22:DG22)-1)*5 + 4) = "F"), INDEX($CZ$8:$CZ$23, COLUMNS($DC22:DG22)), "0"), "")</f>
        <v/>
      </c>
      <c r="DH22" s="395">
        <f t="array" ref="DH22">IFERROR(IF(AND(INDEX($E$8:$CE$57, MATCH($C22, $C$8:$C$57, 0), (COLUMNS($DC22:DH22)-1)*5 + 1) = INDEX($E$5:$CE$5, 1, (COLUMNS($DC22:DH22)-1)*5 + 1), INDEX($E$8:$CE$57, MATCH($C22, $C$8:$C$57, 0), (COLUMNS($DC22:DH22)-1)*5 + 4) = "F"), INDEX($CZ$8:$CZ$23, COLUMNS($DC22:DH22)), "0"), "")</f>
        <v/>
      </c>
      <c r="DI22" s="395">
        <f t="array" ref="DI22">IFERROR(IF(AND(INDEX($E$8:$CE$57, MATCH($C22, $C$8:$C$57, 0), (COLUMNS($DC22:DI22)-1)*5 + 1) = INDEX($E$5:$CE$5, 1, (COLUMNS($DC22:DI22)-1)*5 + 1), INDEX($E$8:$CE$57, MATCH($C22, $C$8:$C$57, 0), (COLUMNS($DC22:DI22)-1)*5 + 4) = "F"), INDEX($CZ$8:$CZ$23, COLUMNS($DC22:DI22)), "0"), "")</f>
        <v/>
      </c>
      <c r="DJ22" s="395">
        <f t="array" ref="DJ22">IFERROR(IF(AND(INDEX($E$8:$CE$57, MATCH($C22, $C$8:$C$57, 0), (COLUMNS($DC22:DJ22)-1)*5 + 1) = INDEX($E$5:$CE$5, 1, (COLUMNS($DC22:DJ22)-1)*5 + 1), INDEX($E$8:$CE$57, MATCH($C22, $C$8:$C$57, 0), (COLUMNS($DC22:DJ22)-1)*5 + 4) = "F"), INDEX($CZ$8:$CZ$23, COLUMNS($DC22:DJ22)), "0"), "")</f>
        <v/>
      </c>
      <c r="DK22" s="395">
        <f t="array" ref="DK22">IFERROR(IF(AND(INDEX($E$8:$CE$57, MATCH($C22, $C$8:$C$57, 0), (COLUMNS($DC22:DK22)-1)*5 + 1) = INDEX($E$5:$CE$5, 1, (COLUMNS($DC22:DK22)-1)*5 + 1), INDEX($E$8:$CE$57, MATCH($C22, $C$8:$C$57, 0), (COLUMNS($DC22:DK22)-1)*5 + 4) = "F"), INDEX($CZ$8:$CZ$23, COLUMNS($DC22:DK22)), "0"), "")</f>
        <v/>
      </c>
      <c r="DL22" s="395">
        <f t="array" ref="DL22">IFERROR(IF(AND(INDEX($E$8:$CE$57, MATCH($C22, $C$8:$C$57, 0), (COLUMNS($DC22:DL22)-1)*5 + 1) = INDEX($E$5:$CE$5, 1, (COLUMNS($DC22:DL22)-1)*5 + 1), INDEX($E$8:$CE$57, MATCH($C22, $C$8:$C$57, 0), (COLUMNS($DC22:DL22)-1)*5 + 4) = "F"), INDEX($CZ$8:$CZ$23, COLUMNS($DC22:DL22)), "0"), "")</f>
        <v/>
      </c>
      <c r="DM22" s="395">
        <f t="array" ref="DM22">IFERROR(IF(AND(INDEX($E$8:$CE$57, MATCH($C22, $C$8:$C$57, 0), (COLUMNS($DC22:DM22)-1)*5 + 1) = INDEX($E$5:$CE$5, 1, (COLUMNS($DC22:DM22)-1)*5 + 1), INDEX($E$8:$CE$57, MATCH($C22, $C$8:$C$57, 0), (COLUMNS($DC22:DM22)-1)*5 + 4) = "F"), INDEX($CZ$8:$CZ$23, COLUMNS($DC22:DM22)), "0"), "")</f>
        <v/>
      </c>
      <c r="DN22" s="395">
        <f t="array" ref="DN22">IFERROR(IF(AND(INDEX($E$8:$CE$57, MATCH($C22, $C$8:$C$57, 0), (COLUMNS($DC22:DN22)-1)*5 + 1) = INDEX($E$5:$CE$5, 1, (COLUMNS($DC22:DN22)-1)*5 + 1), INDEX($E$8:$CE$57, MATCH($C22, $C$8:$C$57, 0), (COLUMNS($DC22:DN22)-1)*5 + 4) = "F"), INDEX($CZ$8:$CZ$23, COLUMNS($DC22:DN22)), "0"), "")</f>
        <v/>
      </c>
      <c r="DO22" s="395">
        <f t="array" ref="DO22">IFERROR(IF(AND(INDEX($E$8:$CE$57, MATCH($C22, $C$8:$C$57, 0), (COLUMNS($DC22:DO22)-1)*5 + 1) = INDEX($E$5:$CE$5, 1, (COLUMNS($DC22:DO22)-1)*5 + 1), INDEX($E$8:$CE$57, MATCH($C22, $C$8:$C$57, 0), (COLUMNS($DC22:DO22)-1)*5 + 4) = "F"), INDEX($CZ$8:$CZ$23, COLUMNS($DC22:DO22)), "0"), "")</f>
        <v/>
      </c>
      <c r="DP22" s="395">
        <f t="array" ref="DP22">IFERROR(IF(AND(INDEX($E$8:$CE$57, MATCH($C22, $C$8:$C$57, 0), (COLUMNS($DC22:DP22)-1)*5 + 1) = INDEX($E$5:$CE$5, 1, (COLUMNS($DC22:DP22)-1)*5 + 1), INDEX($E$8:$CE$57, MATCH($C22, $C$8:$C$57, 0), (COLUMNS($DC22:DP22)-1)*5 + 4) = "F"), INDEX($CZ$8:$CZ$23, COLUMNS($DC22:DP22)), "0"), "")</f>
        <v/>
      </c>
      <c r="DQ22" s="395">
        <f t="array" ref="DQ22">IFERROR(IF(AND(INDEX($E$8:$CE$57, MATCH($C22, $C$8:$C$57, 0), (COLUMNS($DC22:DQ22)-1)*5 + 1) = INDEX($E$5:$CE$5, 1, (COLUMNS($DC22:DQ22)-1)*5 + 1), INDEX($E$8:$CE$57, MATCH($C22, $C$8:$C$57, 0), (COLUMNS($DC22:DQ22)-1)*5 + 4) = "F"), INDEX($CZ$8:$CZ$23, COLUMNS($DC22:DQ22)), "0"), "")</f>
        <v/>
      </c>
      <c r="DR22" s="395">
        <f t="array" ref="DR22">IFERROR(IF(AND(INDEX($E$8:$CE$57, MATCH($C22, $C$8:$C$57, 0), (COLUMNS($DC22:DR22)-1)*5 + 1) = INDEX($E$5:$CE$5, 1, (COLUMNS($DC22:DR22)-1)*5 + 1), INDEX($E$8:$CE$57, MATCH($C22, $C$8:$C$57, 0), (COLUMNS($DC22:DR22)-1)*5 + 4) = "F"), INDEX($CZ$8:$CZ$23, COLUMNS($DC22:DR22)), "0"), "")</f>
        <v/>
      </c>
      <c r="DT22" s="605">
        <f>SEMANA29[[#This Row],[COD]]</f>
        <v/>
      </c>
      <c r="DU22" s="395">
        <f t="array" ref="DU22">IFERROR(IF(AND(INDEX($E$8:$CE$57, MATCH($C22, $C$8:$C$57, 0), (COLUMNS($DU22:DU22)-1)*5 + 1) = INDEX($E$5:$CE$5, 1, (COLUMNS($DU22:DU22)-1)*5 + 1), INDEX($E$8:$CE$57, MATCH($C22, $C$8:$C$57, 0), (COLUMNS($DU22:DU22)-1)*5 + 4) = "SF"), INDEX($CZ$8:$CZ$23, COLUMNS($DU22:DU22)), "0"), "")</f>
        <v/>
      </c>
      <c r="DV22" s="395">
        <f t="array" ref="DV22">IFERROR(IF(AND(INDEX($E$8:$CE$57, MATCH($C22, $C$8:$C$57, 0), (COLUMNS($DU22:DV22)-1)*5 + 1) = INDEX($E$5:$CE$5, 1, (COLUMNS($DU22:DV22)-1)*5 + 1), INDEX($E$8:$CE$57, MATCH($C22, $C$8:$C$57, 0), (COLUMNS($DU22:DV22)-1)*5 + 4) = "SF"), INDEX($CZ$8:$CZ$23, COLUMNS($DU22:DV22)), "0"), "")</f>
        <v/>
      </c>
      <c r="DW22" s="395">
        <f t="array" ref="DW22">IFERROR(IF(AND(INDEX($E$8:$CE$57, MATCH($C22, $C$8:$C$57, 0), (COLUMNS($DU22:DW22)-1)*5 + 1) = INDEX($E$5:$CE$5, 1, (COLUMNS($DU22:DW22)-1)*5 + 1), INDEX($E$8:$CE$57, MATCH($C22, $C$8:$C$57, 0), (COLUMNS($DU22:DW22)-1)*5 + 4) = "SF"), INDEX($CZ$8:$CZ$23, COLUMNS($DU22:DW22)), "0"), "")</f>
        <v/>
      </c>
      <c r="DX22" s="395">
        <f t="array" ref="DX22">IFERROR(IF(AND(INDEX($E$8:$CE$57, MATCH($C22, $C$8:$C$57, 0), (COLUMNS($DU22:DX22)-1)*5 + 1) = INDEX($E$5:$CE$5, 1, (COLUMNS($DU22:DX22)-1)*5 + 1), INDEX($E$8:$CE$57, MATCH($C22, $C$8:$C$57, 0), (COLUMNS($DU22:DX22)-1)*5 + 4) = "SF"), INDEX($CZ$8:$CZ$23, COLUMNS($DU22:DX22)), "0"), "")</f>
        <v/>
      </c>
      <c r="DY22" s="395">
        <f t="array" ref="DY22">IFERROR(IF(AND(INDEX($E$8:$CE$57, MATCH($C22, $C$8:$C$57, 0), (COLUMNS($DU22:DY22)-1)*5 + 1) = INDEX($E$5:$CE$5, 1, (COLUMNS($DU22:DY22)-1)*5 + 1), INDEX($E$8:$CE$57, MATCH($C22, $C$8:$C$57, 0), (COLUMNS($DU22:DY22)-1)*5 + 4) = "SF"), INDEX($CZ$8:$CZ$23, COLUMNS($DU22:DY22)), "0"), "")</f>
        <v/>
      </c>
      <c r="DZ22" s="395">
        <f t="array" ref="DZ22">IFERROR(IF(AND(INDEX($E$8:$CE$57, MATCH($C22, $C$8:$C$57, 0), (COLUMNS($DU22:DZ22)-1)*5 + 1) = INDEX($E$5:$CE$5, 1, (COLUMNS($DU22:DZ22)-1)*5 + 1), INDEX($E$8:$CE$57, MATCH($C22, $C$8:$C$57, 0), (COLUMNS($DU22:DZ22)-1)*5 + 4) = "SF"), INDEX($CZ$8:$CZ$23, COLUMNS($DU22:DZ22)), "0"), "")</f>
        <v/>
      </c>
      <c r="EA22" s="395">
        <f t="array" ref="EA22">IFERROR(IF(AND(INDEX($E$8:$CE$57, MATCH($C22, $C$8:$C$57, 0), (COLUMNS($DU22:EA22)-1)*5 + 1) = INDEX($E$5:$CE$5, 1, (COLUMNS($DU22:EA22)-1)*5 + 1), INDEX($E$8:$CE$57, MATCH($C22, $C$8:$C$57, 0), (COLUMNS($DU22:EA22)-1)*5 + 4) = "SF"), INDEX($CZ$8:$CZ$23, COLUMNS($DU22:EA22)), "0"), "")</f>
        <v/>
      </c>
      <c r="EB22" s="395">
        <f t="array" ref="EB22">IFERROR(IF(AND(INDEX($E$8:$CE$57, MATCH($C22, $C$8:$C$57, 0), (COLUMNS($DU22:EB22)-1)*5 + 1) = INDEX($E$5:$CE$5, 1, (COLUMNS($DU22:EB22)-1)*5 + 1), INDEX($E$8:$CE$57, MATCH($C22, $C$8:$C$57, 0), (COLUMNS($DU22:EB22)-1)*5 + 4) = "SF"), INDEX($CZ$8:$CZ$23, COLUMNS($DU22:EB22)), "0"), "")</f>
        <v/>
      </c>
      <c r="EC22" s="395">
        <f t="array" ref="EC22">IFERROR(IF(AND(INDEX($E$8:$CE$57, MATCH($C22, $C$8:$C$57, 0), (COLUMNS($DU22:EC22)-1)*5 + 1) = INDEX($E$5:$CE$5, 1, (COLUMNS($DU22:EC22)-1)*5 + 1), INDEX($E$8:$CE$57, MATCH($C22, $C$8:$C$57, 0), (COLUMNS($DU22:EC22)-1)*5 + 4) = "SF"), INDEX($CZ$8:$CZ$23, COLUMNS($DU22:EC22)), "0"), "")</f>
        <v/>
      </c>
      <c r="ED22" s="395">
        <f t="array" ref="ED22">IFERROR(IF(AND(INDEX($E$8:$CE$57, MATCH($C22, $C$8:$C$57, 0), (COLUMNS($DU22:ED22)-1)*5 + 1) = INDEX($E$5:$CE$5, 1, (COLUMNS($DU22:ED22)-1)*5 + 1), INDEX($E$8:$CE$57, MATCH($C22, $C$8:$C$57, 0), (COLUMNS($DU22:ED22)-1)*5 + 4) = "SF"), INDEX($CZ$8:$CZ$23, COLUMNS($DU22:ED22)), "0"), "")</f>
        <v/>
      </c>
      <c r="EE22" s="395">
        <f t="array" ref="EE22">IFERROR(IF(AND(INDEX($E$8:$CE$57, MATCH($C22, $C$8:$C$57, 0), (COLUMNS($DU22:EE22)-1)*5 + 1) = INDEX($E$5:$CE$5, 1, (COLUMNS($DU22:EE22)-1)*5 + 1), INDEX($E$8:$CE$57, MATCH($C22, $C$8:$C$57, 0), (COLUMNS($DU22:EE22)-1)*5 + 4) = "SF"), INDEX($CZ$8:$CZ$23, COLUMNS($DU22:EE22)), "0"), "")</f>
        <v/>
      </c>
      <c r="EF22" s="395">
        <f t="array" ref="EF22">IFERROR(IF(AND(INDEX($E$8:$CE$57, MATCH($C22, $C$8:$C$57, 0), (COLUMNS($DU22:EF22)-1)*5 + 1) = INDEX($E$5:$CE$5, 1, (COLUMNS($DU22:EF22)-1)*5 + 1), INDEX($E$8:$CE$57, MATCH($C22, $C$8:$C$57, 0), (COLUMNS($DU22:EF22)-1)*5 + 4) = "SF"), INDEX($CZ$8:$CZ$23, COLUMNS($DU22:EF22)), "0"), "")</f>
        <v/>
      </c>
      <c r="EG22" s="395">
        <f t="array" ref="EG22">IFERROR(IF(AND(INDEX($E$8:$CE$57, MATCH($C22, $C$8:$C$57, 0), (COLUMNS($DU22:EG22)-1)*5 + 1) = INDEX($E$5:$CE$5, 1, (COLUMNS($DU22:EG22)-1)*5 + 1), INDEX($E$8:$CE$57, MATCH($C22, $C$8:$C$57, 0), (COLUMNS($DU22:EG22)-1)*5 + 4) = "SF"), INDEX($CZ$8:$CZ$23, COLUMNS($DU22:EG22)), "0"), "")</f>
        <v/>
      </c>
      <c r="EH22" s="395">
        <f t="array" ref="EH22">IFERROR(IF(AND(INDEX($E$8:$CE$57, MATCH($C22, $C$8:$C$57, 0), (COLUMNS($DU22:EH22)-1)*5 + 1) = INDEX($E$5:$CE$5, 1, (COLUMNS($DU22:EH22)-1)*5 + 1), INDEX($E$8:$CE$57, MATCH($C22, $C$8:$C$57, 0), (COLUMNS($DU22:EH22)-1)*5 + 4) = "SF"), INDEX($CZ$8:$CZ$23, COLUMNS($DU22:EH22)), "0"), "")</f>
        <v/>
      </c>
      <c r="EI22" s="395">
        <f t="array" ref="EI22">IFERROR(IF(AND(INDEX($E$8:$CE$57, MATCH($C22, $C$8:$C$57, 0), (COLUMNS($DU22:EI22)-1)*5 + 1) = INDEX($E$5:$CE$5, 1, (COLUMNS($DU22:EI22)-1)*5 + 1), INDEX($E$8:$CE$57, MATCH($C22, $C$8:$C$57, 0), (COLUMNS($DU22:EI22)-1)*5 + 4) = "SF"), INDEX($CZ$8:$CZ$23, COLUMNS($DU22:EI22)), "0"), "")</f>
        <v/>
      </c>
      <c r="EJ22" s="395">
        <f t="array" ref="EJ22">IFERROR(IF(AND(INDEX($E$8:$CE$57, MATCH($C22, $C$8:$C$57, 0), (COLUMNS($DU22:EJ22)-1)*5 + 1) = INDEX($E$5:$CE$5, 1, (COLUMNS($DU22:EJ22)-1)*5 + 1), INDEX($E$8:$CE$57, MATCH($C22, $C$8:$C$57, 0), (COLUMNS($DU22:EJ22)-1)*5 + 4) = "SF"), INDEX($CZ$8:$CZ$23, COLUMNS($DU22:EJ22)), "0"), "")</f>
        <v/>
      </c>
    </row>
    <row r="23" ht="20.1" customHeight="1" s="568">
      <c r="A23" s="576" t="n"/>
      <c r="B23" s="449">
        <f>IF(SEMANA29[[#This Row],[COD]]&lt;&gt;"",B22+1,"")</f>
        <v/>
      </c>
      <c r="C23" s="622" t="inlineStr">
        <is>
          <t>COD 16</t>
        </is>
      </c>
      <c r="D23" s="415">
        <f t="array" ref="D23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3" s="416" t="n"/>
      <c r="F23" s="417" t="n"/>
      <c r="G23" s="417" t="n"/>
      <c r="H23" s="417" t="n"/>
      <c r="I23" s="602">
        <f>SUM(IF(E23=E$5,4,0),IF(E23&amp;F23=E$5&amp;F$5,1,0),
IF(AND(E23=E$5,F$6&gt;=$D$115),1,0),
IF(AND(F23=E$5,F$6&gt;=$D$115),1,0),
IF(AND(G23=E$5,F$6&gt;=$D$115),1,0),
IF(E23&amp;H23=I$5,1,0),
IF(F23=E$5,2,0),
IF(G23=E$5,1,0),
IF(OR(E23&amp;F23&amp;G23=E$5&amp;F$5&amp;G$5,E23&amp;F23&amp;G23=E$5&amp;G$5&amp;F$5,E23&amp;F23&amp;G23=F$5&amp;E$5&amp;G$5,E23&amp;F23&amp;G23=F$5&amp;G$5&amp;E$5,E23&amp;F23&amp;G23=G$5&amp;E$5&amp;F$5,E23&amp;F23&amp;G23=G$5&amp;F$5&amp;E$5),2,0),IF(AND(E23=E$5,F$6&gt;=$D$129),1,0),IF(AND(F23=E$5,F$6&gt;=$D$129),1,0),IF(AND(G23=E$5,F$6&gt;=$D$129),1,0),IF(E23&amp;H23=H$5,4,0),IF(AND(E23=E$5,F$6&lt;=$D$104),-0.5,0),IF(AND(F23=E$5,F$6&lt;=$D$104),-0.5,0),IF(AND(G23=E$5,F$6&lt;=$D$104),-0.5,0))</f>
        <v/>
      </c>
      <c r="J23" s="416" t="n"/>
      <c r="K23" s="417" t="n"/>
      <c r="L23" s="417" t="n"/>
      <c r="M23" s="417" t="n"/>
      <c r="N23" s="602">
        <f>SUM(IF(J23=J$5,4,0),IF(J23&amp;K23=J$5&amp;K$5,1,0),
IF(AND(J23=J$5,K$6&gt;=$D$115),1,0),
IF(AND(K23=J$5,K$6&gt;=$D$115),1,0),
IF(AND(L23=J$5,K$6&gt;=$D$115),1,0),
IF(J23&amp;M23=N$5,1,0),
IF(K23=J$5,2,0),
IF(L23=J$5,1,0),
IF(OR(J23&amp;K23&amp;L23=J$5&amp;K$5&amp;L$5,J23&amp;K23&amp;L23=J$5&amp;L$5&amp;K$5,J23&amp;K23&amp;L23=K$5&amp;J$5&amp;L$5,J23&amp;K23&amp;L23=K$5&amp;L$5&amp;J$5,J23&amp;K23&amp;L23=L$5&amp;J$5&amp;K$5,J23&amp;K23&amp;L23=L$5&amp;K$5&amp;J$5),2,0),IF(AND(J23=J$5,K$6&gt;=$D$129),1,0),IF(AND(K23=J$5,K$6&gt;=$D$129),1,0),IF(AND(L23=J$5,K$6&gt;=$D$129),1,0),IF(J23&amp;M23=M$5,4,0),IF(AND(J23=J$5,K$6&lt;=$D$104),-0.5,0),IF(AND(K23=J$5,K$6&lt;=$D$104),-0.5,0),IF(AND(L23=J$5,K$6&lt;=$D$104),-0.5,0))</f>
        <v/>
      </c>
      <c r="O23" s="416" t="n"/>
      <c r="P23" s="417" t="n"/>
      <c r="Q23" s="417" t="n"/>
      <c r="R23" s="417" t="n"/>
      <c r="S23" s="602">
        <f>SUM(IF(O23=O$5,4,0),IF(O23&amp;P23=O$5&amp;P$5,1,0),
IF(AND(O23=O$5,P$6&gt;=$D$115),1,0),
IF(AND(P23=O$5,P$6&gt;=$D$115),1,0),
IF(AND(Q23=O$5,P$6&gt;=$D$115),1,0),
IF(O23&amp;R23=S$5,1,0),
IF(P23=O$5,2,0),
IF(Q23=O$5,1,0),
IF(OR(O23&amp;P23&amp;Q23=O$5&amp;P$5&amp;Q$5,O23&amp;P23&amp;Q23=O$5&amp;Q$5&amp;P$5,O23&amp;P23&amp;Q23=P$5&amp;O$5&amp;Q$5,O23&amp;P23&amp;Q23=P$5&amp;Q$5&amp;O$5,O23&amp;P23&amp;Q23=Q$5&amp;O$5&amp;P$5,O23&amp;P23&amp;Q23=Q$5&amp;P$5&amp;O$5),2,0),IF(AND(O23=O$5,P$6&gt;=$D$129),1,0),IF(AND(P23=O$5,P$6&gt;=$D$129),1,0),IF(AND(Q23=O$5,P$6&gt;=$D$129),1,0),IF(O23&amp;R23=R$5,4,0),IF(AND(O23=O$5,P$6&lt;=$D$104),-0.5,0),IF(AND(P23=O$5,P$6&lt;=$D$104),-0.5,0),IF(AND(Q23=O$5,P$6&lt;=$D$104),-0.5,0))</f>
        <v/>
      </c>
      <c r="T23" s="416" t="n"/>
      <c r="U23" s="417" t="n"/>
      <c r="V23" s="417" t="n"/>
      <c r="W23" s="417" t="n"/>
      <c r="X23" s="602">
        <f>SUM(IF(T23=T$5,4,0),IF(T23&amp;U23=T$5&amp;U$5,1,0),
IF(AND(T23=T$5,U$6&gt;=$D$115),1,0),
IF(AND(U23=T$5,U$6&gt;=$D$115),1,0),
IF(AND(V23=T$5,U$6&gt;=$D$115),1,0),
IF(T23&amp;W23=X$5,1,0),
IF(U23=T$5,2,0),
IF(V23=T$5,1,0),
IF(OR(T23&amp;U23&amp;V23=T$5&amp;U$5&amp;V$5,T23&amp;U23&amp;V23=T$5&amp;V$5&amp;U$5,T23&amp;U23&amp;V23=U$5&amp;T$5&amp;V$5,T23&amp;U23&amp;V23=U$5&amp;V$5&amp;T$5,T23&amp;U23&amp;V23=V$5&amp;T$5&amp;U$5,T23&amp;U23&amp;V23=V$5&amp;U$5&amp;T$5),2,0),IF(AND(T23=T$5,U$6&gt;=$D$129),1,0),IF(AND(U23=T$5,U$6&gt;=$D$129),1,0),IF(AND(V23=T$5,U$6&gt;=$D$129),1,0),IF(T23&amp;W23=W$5,4,0),IF(AND(T23=T$5,U$6&lt;=$D$104),-0.5,0),IF(AND(U23=T$5,U$6&lt;=$D$104),-0.5,0),IF(AND(V23=T$5,U$6&lt;=$D$104),-0.5,0))</f>
        <v/>
      </c>
      <c r="Y23" s="416" t="n"/>
      <c r="Z23" s="417" t="n"/>
      <c r="AA23" s="417" t="n"/>
      <c r="AB23" s="417" t="n"/>
      <c r="AC23" s="602">
        <f>SUM(IF(Y23=Y$5,4,0),IF(Y23&amp;Z23=Y$5&amp;Z$5,1,0),
IF(AND(Y23=Y$5,Z$6&gt;=$D$115),1,0),
IF(AND(Z23=Y$5,Z$6&gt;=$D$115),1,0),
IF(AND(AA23=Y$5,Z$6&gt;=$D$115),1,0),
IF(Y23&amp;AB23=AC$5,1,0),
IF(Z23=Y$5,2,0),
IF(AA23=Y$5,1,0),
IF(OR(Y23&amp;Z23&amp;AA23=Y$5&amp;Z$5&amp;AA$5,Y23&amp;Z23&amp;AA23=Y$5&amp;AA$5&amp;Z$5,Y23&amp;Z23&amp;AA23=Z$5&amp;Y$5&amp;AA$5,Y23&amp;Z23&amp;AA23=Z$5&amp;AA$5&amp;Y$5,Y23&amp;Z23&amp;AA23=AA$5&amp;Y$5&amp;Z$5,Y23&amp;Z23&amp;AA23=AA$5&amp;Z$5&amp;Y$5),2,0),IF(AND(Y23=Y$5,Z$6&gt;=$D$129),1,0),IF(AND(Z23=Y$5,Z$6&gt;=$D$129),1,0),IF(AND(AA23=Y$5,Z$6&gt;=$D$129),1,0),IF(Y23&amp;AB23=AB$5,4,0),IF(AND(Y23=Y$5,Z$6&lt;=$D$104),-0.5,0),IF(AND(Z23=Y$5,Z$6&lt;=$D$104),-0.5,0),IF(AND(AA23=Y$5,Z$6&lt;=$D$104),-0.5,0))</f>
        <v/>
      </c>
      <c r="AD23" s="416" t="n"/>
      <c r="AE23" s="417" t="n"/>
      <c r="AF23" s="417" t="n"/>
      <c r="AG23" s="417" t="n"/>
      <c r="AH23" s="602">
        <f>SUM(IF(AD23=AD$5,4,0),IF(AD23&amp;AE23=AD$5&amp;AE$5,1,0),
IF(AND(AD23=AD$5,AE$6&gt;=$D$115),1,0),
IF(AND(AE23=AD$5,AE$6&gt;=$D$115),1,0),
IF(AND(AF23=AD$5,AE$6&gt;=$D$115),1,0),
IF(AD23&amp;AG23=AH$5,1,0),
IF(AE23=AD$5,2,0),
IF(AF23=AD$5,1,0),
IF(OR(AD23&amp;AE23&amp;AF23=AD$5&amp;AE$5&amp;AF$5,AD23&amp;AE23&amp;AF23=AD$5&amp;AF$5&amp;AE$5,AD23&amp;AE23&amp;AF23=AE$5&amp;AD$5&amp;AF$5,AD23&amp;AE23&amp;AF23=AE$5&amp;AF$5&amp;AD$5,AD23&amp;AE23&amp;AF23=AF$5&amp;AD$5&amp;AE$5,AD23&amp;AE23&amp;AF23=AF$5&amp;AE$5&amp;AD$5),2,0),IF(AND(AD23=AD$5,AE$6&gt;=$D$129),1,0),IF(AND(AE23=AD$5,AE$6&gt;=$D$129),1,0),IF(AND(AF23=AD$5,AE$6&gt;=$D$129),1,0),IF(AD23&amp;AG23=AG$5,4,0),IF(AND(AD23=AD$5,AE$6&lt;=$D$104),-0.5,0),IF(AND(AE23=AD$5,AE$6&lt;=$D$104),-0.5,0),IF(AND(AF23=AD$5,AE$6&lt;=$D$104),-0.5,0))</f>
        <v/>
      </c>
      <c r="AI23" s="416" t="n"/>
      <c r="AJ23" s="417" t="n"/>
      <c r="AK23" s="417" t="n"/>
      <c r="AL23" s="417" t="n"/>
      <c r="AM23" s="602">
        <f>SUM(IF(AI23=AI$5,4,0),IF(AI23&amp;AJ23=AI$5&amp;AJ$5,1,0),
IF(AND(AI23=AI$5,AJ$6&gt;=$D$115),1,0),
IF(AND(AJ23=AI$5,AJ$6&gt;=$D$115),1,0),
IF(AND(AK23=AI$5,AJ$6&gt;=$D$115),1,0),
IF(AI23&amp;AL23=AM$5,1,0),
IF(AJ23=AI$5,2,0),
IF(AK23=AI$5,1,0),
IF(OR(AI23&amp;AJ23&amp;AK23=AI$5&amp;AJ$5&amp;AK$5,AI23&amp;AJ23&amp;AK23=AI$5&amp;AK$5&amp;AJ$5,AI23&amp;AJ23&amp;AK23=AJ$5&amp;AI$5&amp;AK$5,AI23&amp;AJ23&amp;AK23=AJ$5&amp;AK$5&amp;AI$5,AI23&amp;AJ23&amp;AK23=AK$5&amp;AI$5&amp;AJ$5,AI23&amp;AJ23&amp;AK23=AK$5&amp;AJ$5&amp;AI$5),2,0),IF(AND(AI23=AI$5,AJ$6&gt;=$D$129),1,0),IF(AND(AJ23=AI$5,AJ$6&gt;=$D$129),1,0),IF(AND(AK23=AI$5,AJ$6&gt;=$D$129),1,0),IF(AI23&amp;AL23=AL$5,4,0),IF(AND(AI23=AI$5,AJ$6&lt;=$D$104),-0.5,0),IF(AND(AJ23=AI$5,AJ$6&lt;=$D$104),-0.5,0),IF(AND(AK23=AI$5,AJ$6&lt;=$D$104),-0.5,0))</f>
        <v/>
      </c>
      <c r="AN23" s="416" t="n"/>
      <c r="AO23" s="417" t="n"/>
      <c r="AP23" s="417" t="n"/>
      <c r="AQ23" s="417" t="n"/>
      <c r="AR23" s="602">
        <f>SUM(IF(AN23=AN$5,4,0),IF(AN23&amp;AO23=AN$5&amp;AO$5,1,0),
IF(AND(AN23=AN$5,AO$6&gt;=$D$115),1,0),
IF(AND(AO23=AN$5,AO$6&gt;=$D$115),1,0),
IF(AND(AP23=AN$5,AO$6&gt;=$D$115),1,0),
IF(AN23&amp;AQ23=AR$5,1,0),
IF(AO23=AN$5,2,0),
IF(AP23=AN$5,1,0),
IF(OR(AN23&amp;AO23&amp;AP23=AN$5&amp;AO$5&amp;AP$5,AN23&amp;AO23&amp;AP23=AN$5&amp;AP$5&amp;AO$5,AN23&amp;AO23&amp;AP23=AO$5&amp;AN$5&amp;AP$5,AN23&amp;AO23&amp;AP23=AO$5&amp;AP$5&amp;AN$5,AN23&amp;AO23&amp;AP23=AP$5&amp;AN$5&amp;AO$5,AN23&amp;AO23&amp;AP23=AP$5&amp;AO$5&amp;AN$5),2,0),IF(AND(AN23=AN$5,AO$6&gt;=$D$129),1,0),IF(AND(AO23=AN$5,AO$6&gt;=$D$129),1,0),IF(AND(AP23=AN$5,AO$6&gt;=$D$129),1,0),IF(AN23&amp;AQ23=AQ$5,4,0),IF(AND(AN23=AN$5,AO$6&lt;=$D$104),-0.5,0),IF(AND(AO23=AN$5,AO$6&lt;=$D$104),-0.5,0),IF(AND(AP23=AN$5,AO$6&lt;=$D$104),-0.5,0))</f>
        <v/>
      </c>
      <c r="AS23" s="416" t="n"/>
      <c r="AT23" s="417" t="n"/>
      <c r="AU23" s="417" t="n"/>
      <c r="AV23" s="417" t="n"/>
      <c r="AW23" s="602">
        <f>SUM(IF(AS23=AS$5,4,0),IF(AS23&amp;AT23=AS$5&amp;AT$5,1,0),
IF(AND(AS23=AS$5,AT$6&gt;=$D$115),1,0),
IF(AND(AT23=AS$5,AT$6&gt;=$D$115),1,0),
IF(AND(AU23=AS$5,AT$6&gt;=$D$115),1,0),
IF(AS23&amp;AV23=AW$5,1,0),
IF(AT23=AS$5,2,0),
IF(AU23=AS$5,1,0),
IF(OR(AS23&amp;AT23&amp;AU23=AS$5&amp;AT$5&amp;AU$5,AS23&amp;AT23&amp;AU23=AS$5&amp;AU$5&amp;AT$5,AS23&amp;AT23&amp;AU23=AT$5&amp;AS$5&amp;AU$5,AS23&amp;AT23&amp;AU23=AT$5&amp;AU$5&amp;AS$5,AS23&amp;AT23&amp;AU23=AU$5&amp;AS$5&amp;AT$5,AS23&amp;AT23&amp;AU23=AU$5&amp;AT$5&amp;AS$5),2,0),IF(AND(AS23=AS$5,AT$6&gt;=$D$129),1,0),IF(AND(AT23=AS$5,AT$6&gt;=$D$129),1,0),IF(AND(AU23=AS$5,AT$6&gt;=$D$129),1,0),IF(AS23&amp;AV23=AV$5,4,0),IF(AND(AS23=AS$5,AT$6&lt;=$D$104),-0.5,0),IF(AND(AT23=AS$5,AT$6&lt;=$D$104),-0.5,0),IF(AND(AU23=AS$5,AT$6&lt;=$D$104),-0.5,0))</f>
        <v/>
      </c>
      <c r="AX23" s="416" t="n"/>
      <c r="AY23" s="417" t="n"/>
      <c r="AZ23" s="417" t="n"/>
      <c r="BA23" s="417" t="n"/>
      <c r="BB23" s="602">
        <f>SUM(IF(AX23=AX$5,4,0),IF(AX23&amp;AY23=AX$5&amp;AY$5,1,0),
IF(AND(AX23=AX$5,AY$6&gt;=$D$115),1,0),
IF(AND(AY23=AX$5,AY$6&gt;=$D$115),1,0),
IF(AND(AZ23=AX$5,AY$6&gt;=$D$115),1,0),
IF(AX23&amp;BA23=BB$5,1,0),
IF(AY23=AX$5,2,0),
IF(AZ23=AX$5,1,0),
IF(OR(AX23&amp;AY23&amp;AZ23=AX$5&amp;AY$5&amp;AZ$5,AX23&amp;AY23&amp;AZ23=AX$5&amp;AZ$5&amp;AY$5,AX23&amp;AY23&amp;AZ23=AY$5&amp;AX$5&amp;AZ$5,AX23&amp;AY23&amp;AZ23=AY$5&amp;AZ$5&amp;AX$5,AX23&amp;AY23&amp;AZ23=AZ$5&amp;AX$5&amp;AY$5,AX23&amp;AY23&amp;AZ23=AZ$5&amp;AY$5&amp;AX$5),2,0),IF(AND(AX23=AX$5,AY$6&gt;=$D$129),1,0),IF(AND(AY23=AX$5,AY$6&gt;=$D$129),1,0),IF(AND(AZ23=AX$5,AY$6&gt;=$D$129),1,0),IF(AX23&amp;BA23=BA$5,4,0),IF(AND(AX23=AX$5,AY$6&lt;=$D$104),-0.5,0),IF(AND(AY23=AX$5,AY$6&lt;=$D$104),-0.5,0),IF(AND(AZ23=AX$5,AY$6&lt;=$D$104),-0.5,0))</f>
        <v/>
      </c>
      <c r="BC23" s="416" t="n"/>
      <c r="BD23" s="417" t="n"/>
      <c r="BE23" s="417" t="n"/>
      <c r="BF23" s="417" t="n"/>
      <c r="BG23" s="602">
        <f>SUM(IF(BC23=BC$5,4,0),IF(BC23&amp;BD23=BC$5&amp;BD$5,1,0),
IF(AND(BC23=BC$5,BD$6&gt;=$D$115),1,0),
IF(AND(BD23=BC$5,BD$6&gt;=$D$115),1,0),
IF(AND(BE23=BC$5,BD$6&gt;=$D$115),1,0),
IF(BC23&amp;BF23=BG$5,1,0),
IF(BD23=BC$5,2,0),
IF(BE23=BC$5,1,0),
IF(OR(BC23&amp;BD23&amp;BE23=BC$5&amp;BD$5&amp;BE$5,BC23&amp;BD23&amp;BE23=BC$5&amp;BE$5&amp;BD$5,BC23&amp;BD23&amp;BE23=BD$5&amp;BC$5&amp;BE$5,BC23&amp;BD23&amp;BE23=BD$5&amp;BE$5&amp;BC$5,BC23&amp;BD23&amp;BE23=BE$5&amp;BC$5&amp;BD$5,BC23&amp;BD23&amp;BE23=BE$5&amp;BD$5&amp;BC$5),2,0),IF(AND(BC23=BC$5,BD$6&gt;=$D$129),1,0),IF(AND(BD23=BC$5,BD$6&gt;=$D$129),1,0),IF(AND(BE23=BC$5,BD$6&gt;=$D$129),1,0),IF(BC23&amp;BF23=BF$5,4,0),IF(AND(BC23=BC$5,BD$6&lt;=$D$104),-0.5,0),IF(AND(BD23=BC$5,BD$6&lt;=$D$104),-0.5,0),IF(AND(BE23=BC$5,BD$6&lt;=$D$104),-0.5,0))</f>
        <v/>
      </c>
      <c r="BH23" s="416" t="n"/>
      <c r="BI23" s="417" t="n"/>
      <c r="BJ23" s="417" t="n"/>
      <c r="BK23" s="417" t="n"/>
      <c r="BL23" s="602">
        <f>SUM(IF(BH23=BH$5,4,0),IF(BH23&amp;BI23=BH$5&amp;BI$5,1,0),
IF(AND(BH23=BH$5,BI$6&gt;=$D$115),1,0),
IF(AND(BI23=BH$5,BI$6&gt;=$D$115),1,0),
IF(AND(BJ23=BH$5,BI$6&gt;=$D$115),1,0),
IF(BH23&amp;BK23=BL$5,1,0),
IF(BI23=BH$5,2,0),
IF(BJ23=BH$5,1,0),
IF(OR(BH23&amp;BI23&amp;BJ23=BH$5&amp;BI$5&amp;BJ$5,BH23&amp;BI23&amp;BJ23=BH$5&amp;BJ$5&amp;BI$5,BH23&amp;BI23&amp;BJ23=BI$5&amp;BH$5&amp;BJ$5,BH23&amp;BI23&amp;BJ23=BI$5&amp;BJ$5&amp;BH$5,BH23&amp;BI23&amp;BJ23=BJ$5&amp;BH$5&amp;BI$5,BH23&amp;BI23&amp;BJ23=BJ$5&amp;BI$5&amp;BH$5),2,0),IF(AND(BH23=BH$5,BI$6&gt;=$D$129),1,0),IF(AND(BI23=BH$5,BI$6&gt;=$D$129),1,0),IF(AND(BJ23=BH$5,BI$6&gt;=$D$129),1,0),IF(BH23&amp;BK23=BK$5,4,0),IF(AND(BH23=BH$5,BI$6&lt;=$D$104),-0.5,0),IF(AND(BI23=BH$5,BI$6&lt;=$D$104),-0.5,0),IF(AND(BJ23=BH$5,BI$6&lt;=$D$104),-0.5,0))</f>
        <v/>
      </c>
      <c r="BM23" s="416" t="n"/>
      <c r="BN23" s="417" t="n"/>
      <c r="BO23" s="417" t="n"/>
      <c r="BP23" s="417" t="n"/>
      <c r="BQ23" s="602">
        <f>SUM(IF(BM23=BM$5,4,0),IF(BM23&amp;BN23=BM$5&amp;BN$5,1,0),
IF(AND(BM23=BM$5,BN$6&gt;=$D$115),1,0),
IF(AND(BN23=BM$5,BN$6&gt;=$D$115),1,0),
IF(AND(BO23=BM$5,BN$6&gt;=$D$115),1,0),
IF(BM23&amp;BP23=BQ$5,1,0),
IF(BN23=BM$5,2,0),
IF(BO23=BM$5,1,0),
IF(OR(BM23&amp;BN23&amp;BO23=BM$5&amp;BN$5&amp;BO$5,BM23&amp;BN23&amp;BO23=BM$5&amp;BO$5&amp;BN$5,BM23&amp;BN23&amp;BO23=BN$5&amp;BM$5&amp;BO$5,BM23&amp;BN23&amp;BO23=BN$5&amp;BO$5&amp;BM$5,BM23&amp;BN23&amp;BO23=BO$5&amp;BM$5&amp;BN$5,BM23&amp;BN23&amp;BO23=BO$5&amp;BN$5&amp;BM$5),2,0),IF(AND(BM23=BM$5,BN$6&gt;=$D$129),1,0),IF(AND(BN23=BM$5,BN$6&gt;=$D$129),1,0),IF(AND(BO23=BM$5,BN$6&gt;=$D$129),1,0),IF(BM23&amp;BP23=BP$5,4,0),IF(AND(BM23=BM$5,BN$6&lt;=$D$104),-0.5,0),IF(AND(BN23=BM$5,BN$6&lt;=$D$104),-0.5,0),IF(AND(BO23=BM$5,BN$6&lt;=$D$104),-0.5,0))</f>
        <v/>
      </c>
      <c r="BR23" s="416" t="n"/>
      <c r="BS23" s="417" t="n"/>
      <c r="BT23" s="417" t="n"/>
      <c r="BU23" s="417" t="n"/>
      <c r="BV23" s="602">
        <f>SUM(IF(BR23=BR$5,4,0),IF(BR23&amp;BS23=BR$5&amp;BS$5,1,0),
IF(AND(BR23=BR$5,BS$6&gt;=$D$115),1,0),
IF(AND(BS23=BR$5,BS$6&gt;=$D$115),1,0),
IF(AND(BT23=BR$5,BS$6&gt;=$D$115),1,0),
IF(BR23&amp;BU23=BV$5,1,0),
IF(BS23=BR$5,2,0),
IF(BT23=BR$5,1,0),
IF(OR(BR23&amp;BS23&amp;BT23=BR$5&amp;BS$5&amp;BT$5,BR23&amp;BS23&amp;BT23=BR$5&amp;BT$5&amp;BS$5,BR23&amp;BS23&amp;BT23=BS$5&amp;BR$5&amp;BT$5,BR23&amp;BS23&amp;BT23=BS$5&amp;BT$5&amp;BR$5,BR23&amp;BS23&amp;BT23=BT$5&amp;BR$5&amp;BS$5,BR23&amp;BS23&amp;BT23=BT$5&amp;BS$5&amp;BR$5),2,0),IF(AND(BR23=BR$5,BS$6&gt;=$D$129),1,0),IF(AND(BS23=BR$5,BS$6&gt;=$D$129),1,0),IF(AND(BT23=BR$5,BS$6&gt;=$D$129),1,0),IF(BR23&amp;BU23=BU$5,4,0),IF(AND(BR23=BR$5,BS$6&lt;=$D$104),-0.5,0),IF(AND(BS23=BR$5,BS$6&lt;=$D$104),-0.5,0),IF(AND(BT23=BR$5,BS$6&lt;=$D$104),-0.5,0))</f>
        <v/>
      </c>
      <c r="BW23" s="416" t="n"/>
      <c r="BX23" s="417" t="n"/>
      <c r="BY23" s="417" t="n"/>
      <c r="BZ23" s="417" t="n"/>
      <c r="CA23" s="602">
        <f>SUM(IF(BW23=BW$5,4,0),IF(BW23&amp;BX23=BW$5&amp;BX$5,1,0),
IF(AND(BW23=BW$5,BX$6&gt;=$D$115),1,0),
IF(AND(BX23=BW$5,BX$6&gt;=$D$115),1,0),
IF(AND(BY23=BW$5,BX$6&gt;=$D$115),1,0),
IF(BW23&amp;BZ23=CA$5,1,0),
IF(BX23=BW$5,2,0),
IF(BY23=BW$5,1,0),
IF(OR(BW23&amp;BX23&amp;BY23=BW$5&amp;BX$5&amp;BY$5,BW23&amp;BX23&amp;BY23=BW$5&amp;BY$5&amp;BX$5,BW23&amp;BX23&amp;BY23=BX$5&amp;BW$5&amp;BY$5,BW23&amp;BX23&amp;BY23=BX$5&amp;BY$5&amp;BW$5,BW23&amp;BX23&amp;BY23=BY$5&amp;BW$5&amp;BX$5,BW23&amp;BX23&amp;BY23=BY$5&amp;BX$5&amp;BW$5),2,0),IF(AND(BW23=BW$5,BX$6&gt;=$D$129),1,0),IF(AND(BX23=BW$5,BX$6&gt;=$D$129),1,0),IF(AND(BY23=BW$5,BX$6&gt;=$D$129),1,0),IF(BW23&amp;BZ23=BZ$5,4,0),IF(AND(BW23=BW$5,BX$6&lt;=$D$104),-0.5,0),IF(AND(BX23=BW$5,BX$6&lt;=$D$104),-0.5,0),IF(AND(BY23=BW$5,BX$6&lt;=$D$104),-0.5,0))</f>
        <v/>
      </c>
      <c r="CB23" s="416" t="n"/>
      <c r="CC23" s="417" t="n"/>
      <c r="CD23" s="417" t="n"/>
      <c r="CE23" s="417" t="n"/>
      <c r="CF23" s="602">
        <f>SUM(IF(CB23=CB$5,4,0),IF(CB23&amp;CC23=CB$5&amp;CC$5,1,0),
IF(AND(CB23=CB$5,CC$6&gt;=$D$115),1,0),
IF(AND(CC23=CB$5,CC$6&gt;=$D$115),1,0),
IF(AND(CD23=CB$5,CC$6&gt;=$D$115),1,0),
IF(CB23&amp;CE23=CF$5,1,0),
IF(CC23=CB$5,2,0),
IF(CD23=CB$5,1,0),
IF(OR(CB23&amp;CC23&amp;CD23=CB$5&amp;CC$5&amp;CD$5,CB23&amp;CC23&amp;CD23=CB$5&amp;CD$5&amp;CC$5,CB23&amp;CC23&amp;CD23=CC$5&amp;CB$5&amp;CD$5,CB23&amp;CC23&amp;CD23=CC$5&amp;CD$5&amp;CB$5,CB23&amp;CC23&amp;CD23=CD$5&amp;CB$5&amp;CC$5,CB23&amp;CC23&amp;CD23=CD$5&amp;CC$5&amp;CB$5),2,0),IF(AND(CB23=CB$5,CC$6&gt;=$D$129),1,0),IF(AND(CC23=CB$5,CC$6&gt;=$D$129),1,0),IF(AND(CD23=CB$5,CC$6&gt;=$D$129),1,0),IF(CB23&amp;CE23=CE$5,4,0),IF(AND(CB23=CB$5,CC$6&lt;=$D$104),-0.5,0),IF(AND(CC23=CB$5,CC$6&lt;=$D$104),-0.5,0),IF(AND(CD23=CB$5,CC$6&lt;=$D$104),-0.5,0))</f>
        <v/>
      </c>
      <c r="CG23" s="164">
        <f>IF(SEMANA29[[#This Row],[1]]="",0,$B$4)</f>
        <v/>
      </c>
      <c r="CH23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3" s="166">
        <f>IF(SEMANA29[[#This Row],[Columna14]]=0,0,(CH23/CG23))</f>
        <v/>
      </c>
      <c r="CJ23" s="165">
        <f>IF(SEMANA29[[#This Row],[1]]="",0,$B$4)</f>
        <v/>
      </c>
      <c r="CK23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3" s="166">
        <f>IF(SEMANA29[[#This Row],[Columna14]]=0,0,(CK23/CJ23))</f>
        <v/>
      </c>
      <c r="CM23" s="164">
        <f>IF(SEMANA29[[#This Row],[1]]="",0,$B$4)</f>
        <v/>
      </c>
      <c r="CN23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3" s="166">
        <f>IF(SEMANA29[[#This Row],[Columna14]]=0,0,(CN23/CM23))</f>
        <v/>
      </c>
      <c r="CP23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3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Row],[Columna25]],$AX$5,BA23,"SF")+COUNTIFS(SEMANA29[[#This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3" s="166">
        <f>IFERROR(IF(SEMANA29[[#This Row],[Columna14]]=0,0,(CQ23/CP23)),0)</f>
        <v/>
      </c>
      <c r="CS23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3" s="95">
        <f>_xlfn.XLOOKUP(SEMANA29[[#This Row],[COD]],SEMANA2[COD],SEMANA2[Columna33])</f>
        <v/>
      </c>
      <c r="CU23" s="604">
        <f>SUM(CS23,CT23)</f>
        <v/>
      </c>
      <c r="CV23" s="450">
        <f>IF(SEMANA29[[#This Row],[TIPO]]="PREMIO",$O$3,"0,00")</f>
        <v/>
      </c>
      <c r="CW23" s="576" t="n"/>
      <c r="CY23" s="393" t="n">
        <v>16</v>
      </c>
      <c r="CZ23" s="354">
        <f>CC$6</f>
        <v/>
      </c>
      <c r="DB23" s="605">
        <f>SEMANA29[[#This Row],[COD]]</f>
        <v/>
      </c>
      <c r="DC23" s="395">
        <f t="array" ref="DC23">IFERROR(IF(AND(INDEX($E$8:$CE$57, MATCH($C23, $C$8:$C$57, 0), (COLUMNS($DC23:DC23)-1)*5 + 1) = INDEX($E$5:$CE$5, 1, (COLUMNS($DC23:DC23)-1)*5 + 1), INDEX($E$8:$CE$57, MATCH($C23, $C$8:$C$57, 0), (COLUMNS($DC23:DC23)-1)*5 + 4) = "F"), INDEX($CZ$8:$CZ$23, COLUMNS($DC23:DC23)), "0"), "")</f>
        <v/>
      </c>
      <c r="DD23" s="395">
        <f t="array" ref="DD23">IFERROR(IF(AND(INDEX($E$8:$CE$57, MATCH($C23, $C$8:$C$57, 0), (COLUMNS($DC23:DD23)-1)*5 + 1) = INDEX($E$5:$CE$5, 1, (COLUMNS($DC23:DD23)-1)*5 + 1), INDEX($E$8:$CE$57, MATCH($C23, $C$8:$C$57, 0), (COLUMNS($DC23:DD23)-1)*5 + 4) = "F"), INDEX($CZ$8:$CZ$23, COLUMNS($DC23:DD23)), "0"), "")</f>
        <v/>
      </c>
      <c r="DE23" s="395">
        <f t="array" ref="DE23">IFERROR(IF(AND(INDEX($E$8:$CE$57, MATCH($C23, $C$8:$C$57, 0), (COLUMNS($DC23:DE23)-1)*5 + 1) = INDEX($E$5:$CE$5, 1, (COLUMNS($DC23:DE23)-1)*5 + 1), INDEX($E$8:$CE$57, MATCH($C23, $C$8:$C$57, 0), (COLUMNS($DC23:DE23)-1)*5 + 4) = "F"), INDEX($CZ$8:$CZ$23, COLUMNS($DC23:DE23)), "0"), "")</f>
        <v/>
      </c>
      <c r="DF23" s="395">
        <f t="array" ref="DF23">IFERROR(IF(AND(INDEX($E$8:$CE$57, MATCH($C23, $C$8:$C$57, 0), (COLUMNS($DC23:DF23)-1)*5 + 1) = INDEX($E$5:$CE$5, 1, (COLUMNS($DC23:DF23)-1)*5 + 1), INDEX($E$8:$CE$57, MATCH($C23, $C$8:$C$57, 0), (COLUMNS($DC23:DF23)-1)*5 + 4) = "F"), INDEX($CZ$8:$CZ$23, COLUMNS($DC23:DF23)), "0"), "")</f>
        <v/>
      </c>
      <c r="DG23" s="395">
        <f t="array" ref="DG23">IFERROR(IF(AND(INDEX($E$8:$CE$57, MATCH($C23, $C$8:$C$57, 0), (COLUMNS($DC23:DG23)-1)*5 + 1) = INDEX($E$5:$CE$5, 1, (COLUMNS($DC23:DG23)-1)*5 + 1), INDEX($E$8:$CE$57, MATCH($C23, $C$8:$C$57, 0), (COLUMNS($DC23:DG23)-1)*5 + 4) = "F"), INDEX($CZ$8:$CZ$23, COLUMNS($DC23:DG23)), "0"), "")</f>
        <v/>
      </c>
      <c r="DH23" s="395">
        <f t="array" ref="DH23">IFERROR(IF(AND(INDEX($E$8:$CE$57, MATCH($C23, $C$8:$C$57, 0), (COLUMNS($DC23:DH23)-1)*5 + 1) = INDEX($E$5:$CE$5, 1, (COLUMNS($DC23:DH23)-1)*5 + 1), INDEX($E$8:$CE$57, MATCH($C23, $C$8:$C$57, 0), (COLUMNS($DC23:DH23)-1)*5 + 4) = "F"), INDEX($CZ$8:$CZ$23, COLUMNS($DC23:DH23)), "0"), "")</f>
        <v/>
      </c>
      <c r="DI23" s="395">
        <f t="array" ref="DI23">IFERROR(IF(AND(INDEX($E$8:$CE$57, MATCH($C23, $C$8:$C$57, 0), (COLUMNS($DC23:DI23)-1)*5 + 1) = INDEX($E$5:$CE$5, 1, (COLUMNS($DC23:DI23)-1)*5 + 1), INDEX($E$8:$CE$57, MATCH($C23, $C$8:$C$57, 0), (COLUMNS($DC23:DI23)-1)*5 + 4) = "F"), INDEX($CZ$8:$CZ$23, COLUMNS($DC23:DI23)), "0"), "")</f>
        <v/>
      </c>
      <c r="DJ23" s="395">
        <f t="array" ref="DJ23">IFERROR(IF(AND(INDEX($E$8:$CE$57, MATCH($C23, $C$8:$C$57, 0), (COLUMNS($DC23:DJ23)-1)*5 + 1) = INDEX($E$5:$CE$5, 1, (COLUMNS($DC23:DJ23)-1)*5 + 1), INDEX($E$8:$CE$57, MATCH($C23, $C$8:$C$57, 0), (COLUMNS($DC23:DJ23)-1)*5 + 4) = "F"), INDEX($CZ$8:$CZ$23, COLUMNS($DC23:DJ23)), "0"), "")</f>
        <v/>
      </c>
      <c r="DK23" s="395">
        <f t="array" ref="DK23">IFERROR(IF(AND(INDEX($E$8:$CE$57, MATCH($C23, $C$8:$C$57, 0), (COLUMNS($DC23:DK23)-1)*5 + 1) = INDEX($E$5:$CE$5, 1, (COLUMNS($DC23:DK23)-1)*5 + 1), INDEX($E$8:$CE$57, MATCH($C23, $C$8:$C$57, 0), (COLUMNS($DC23:DK23)-1)*5 + 4) = "F"), INDEX($CZ$8:$CZ$23, COLUMNS($DC23:DK23)), "0"), "")</f>
        <v/>
      </c>
      <c r="DL23" s="395">
        <f t="array" ref="DL23">IFERROR(IF(AND(INDEX($E$8:$CE$57, MATCH($C23, $C$8:$C$57, 0), (COLUMNS($DC23:DL23)-1)*5 + 1) = INDEX($E$5:$CE$5, 1, (COLUMNS($DC23:DL23)-1)*5 + 1), INDEX($E$8:$CE$57, MATCH($C23, $C$8:$C$57, 0), (COLUMNS($DC23:DL23)-1)*5 + 4) = "F"), INDEX($CZ$8:$CZ$23, COLUMNS($DC23:DL23)), "0"), "")</f>
        <v/>
      </c>
      <c r="DM23" s="395">
        <f t="array" ref="DM23">IFERROR(IF(AND(INDEX($E$8:$CE$57, MATCH($C23, $C$8:$C$57, 0), (COLUMNS($DC23:DM23)-1)*5 + 1) = INDEX($E$5:$CE$5, 1, (COLUMNS($DC23:DM23)-1)*5 + 1), INDEX($E$8:$CE$57, MATCH($C23, $C$8:$C$57, 0), (COLUMNS($DC23:DM23)-1)*5 + 4) = "F"), INDEX($CZ$8:$CZ$23, COLUMNS($DC23:DM23)), "0"), "")</f>
        <v/>
      </c>
      <c r="DN23" s="395">
        <f t="array" ref="DN23">IFERROR(IF(AND(INDEX($E$8:$CE$57, MATCH($C23, $C$8:$C$57, 0), (COLUMNS($DC23:DN23)-1)*5 + 1) = INDEX($E$5:$CE$5, 1, (COLUMNS($DC23:DN23)-1)*5 + 1), INDEX($E$8:$CE$57, MATCH($C23, $C$8:$C$57, 0), (COLUMNS($DC23:DN23)-1)*5 + 4) = "F"), INDEX($CZ$8:$CZ$23, COLUMNS($DC23:DN23)), "0"), "")</f>
        <v/>
      </c>
      <c r="DO23" s="395">
        <f t="array" ref="DO23">IFERROR(IF(AND(INDEX($E$8:$CE$57, MATCH($C23, $C$8:$C$57, 0), (COLUMNS($DC23:DO23)-1)*5 + 1) = INDEX($E$5:$CE$5, 1, (COLUMNS($DC23:DO23)-1)*5 + 1), INDEX($E$8:$CE$57, MATCH($C23, $C$8:$C$57, 0), (COLUMNS($DC23:DO23)-1)*5 + 4) = "F"), INDEX($CZ$8:$CZ$23, COLUMNS($DC23:DO23)), "0"), "")</f>
        <v/>
      </c>
      <c r="DP23" s="395">
        <f t="array" ref="DP23">IFERROR(IF(AND(INDEX($E$8:$CE$57, MATCH($C23, $C$8:$C$57, 0), (COLUMNS($DC23:DP23)-1)*5 + 1) = INDEX($E$5:$CE$5, 1, (COLUMNS($DC23:DP23)-1)*5 + 1), INDEX($E$8:$CE$57, MATCH($C23, $C$8:$C$57, 0), (COLUMNS($DC23:DP23)-1)*5 + 4) = "F"), INDEX($CZ$8:$CZ$23, COLUMNS($DC23:DP23)), "0"), "")</f>
        <v/>
      </c>
      <c r="DQ23" s="395">
        <f t="array" ref="DQ23">IFERROR(IF(AND(INDEX($E$8:$CE$57, MATCH($C23, $C$8:$C$57, 0), (COLUMNS($DC23:DQ23)-1)*5 + 1) = INDEX($E$5:$CE$5, 1, (COLUMNS($DC23:DQ23)-1)*5 + 1), INDEX($E$8:$CE$57, MATCH($C23, $C$8:$C$57, 0), (COLUMNS($DC23:DQ23)-1)*5 + 4) = "F"), INDEX($CZ$8:$CZ$23, COLUMNS($DC23:DQ23)), "0"), "")</f>
        <v/>
      </c>
      <c r="DR23" s="395">
        <f t="array" ref="DR23">IFERROR(IF(AND(INDEX($E$8:$CE$57, MATCH($C23, $C$8:$C$57, 0), (COLUMNS($DC23:DR23)-1)*5 + 1) = INDEX($E$5:$CE$5, 1, (COLUMNS($DC23:DR23)-1)*5 + 1), INDEX($E$8:$CE$57, MATCH($C23, $C$8:$C$57, 0), (COLUMNS($DC23:DR23)-1)*5 + 4) = "F"), INDEX($CZ$8:$CZ$23, COLUMNS($DC23:DR23)), "0"), "")</f>
        <v/>
      </c>
      <c r="DT23" s="605">
        <f>SEMANA29[[#This Row],[COD]]</f>
        <v/>
      </c>
      <c r="DU23" s="395">
        <f t="array" ref="DU23">IFERROR(IF(AND(INDEX($E$8:$CE$57, MATCH($C23, $C$8:$C$57, 0), (COLUMNS($DU23:DU23)-1)*5 + 1) = INDEX($E$5:$CE$5, 1, (COLUMNS($DU23:DU23)-1)*5 + 1), INDEX($E$8:$CE$57, MATCH($C23, $C$8:$C$57, 0), (COLUMNS($DU23:DU23)-1)*5 + 4) = "SF"), INDEX($CZ$8:$CZ$23, COLUMNS($DU23:DU23)), "0"), "")</f>
        <v/>
      </c>
      <c r="DV23" s="395">
        <f t="array" ref="DV23">IFERROR(IF(AND(INDEX($E$8:$CE$57, MATCH($C23, $C$8:$C$57, 0), (COLUMNS($DU23:DV23)-1)*5 + 1) = INDEX($E$5:$CE$5, 1, (COLUMNS($DU23:DV23)-1)*5 + 1), INDEX($E$8:$CE$57, MATCH($C23, $C$8:$C$57, 0), (COLUMNS($DU23:DV23)-1)*5 + 4) = "SF"), INDEX($CZ$8:$CZ$23, COLUMNS($DU23:DV23)), "0"), "")</f>
        <v/>
      </c>
      <c r="DW23" s="395">
        <f t="array" ref="DW23">IFERROR(IF(AND(INDEX($E$8:$CE$57, MATCH($C23, $C$8:$C$57, 0), (COLUMNS($DU23:DW23)-1)*5 + 1) = INDEX($E$5:$CE$5, 1, (COLUMNS($DU23:DW23)-1)*5 + 1), INDEX($E$8:$CE$57, MATCH($C23, $C$8:$C$57, 0), (COLUMNS($DU23:DW23)-1)*5 + 4) = "SF"), INDEX($CZ$8:$CZ$23, COLUMNS($DU23:DW23)), "0"), "")</f>
        <v/>
      </c>
      <c r="DX23" s="395">
        <f t="array" ref="DX23">IFERROR(IF(AND(INDEX($E$8:$CE$57, MATCH($C23, $C$8:$C$57, 0), (COLUMNS($DU23:DX23)-1)*5 + 1) = INDEX($E$5:$CE$5, 1, (COLUMNS($DU23:DX23)-1)*5 + 1), INDEX($E$8:$CE$57, MATCH($C23, $C$8:$C$57, 0), (COLUMNS($DU23:DX23)-1)*5 + 4) = "SF"), INDEX($CZ$8:$CZ$23, COLUMNS($DU23:DX23)), "0"), "")</f>
        <v/>
      </c>
      <c r="DY23" s="395">
        <f t="array" ref="DY23">IFERROR(IF(AND(INDEX($E$8:$CE$57, MATCH($C23, $C$8:$C$57, 0), (COLUMNS($DU23:DY23)-1)*5 + 1) = INDEX($E$5:$CE$5, 1, (COLUMNS($DU23:DY23)-1)*5 + 1), INDEX($E$8:$CE$57, MATCH($C23, $C$8:$C$57, 0), (COLUMNS($DU23:DY23)-1)*5 + 4) = "SF"), INDEX($CZ$8:$CZ$23, COLUMNS($DU23:DY23)), "0"), "")</f>
        <v/>
      </c>
      <c r="DZ23" s="395">
        <f t="array" ref="DZ23">IFERROR(IF(AND(INDEX($E$8:$CE$57, MATCH($C23, $C$8:$C$57, 0), (COLUMNS($DU23:DZ23)-1)*5 + 1) = INDEX($E$5:$CE$5, 1, (COLUMNS($DU23:DZ23)-1)*5 + 1), INDEX($E$8:$CE$57, MATCH($C23, $C$8:$C$57, 0), (COLUMNS($DU23:DZ23)-1)*5 + 4) = "SF"), INDEX($CZ$8:$CZ$23, COLUMNS($DU23:DZ23)), "0"), "")</f>
        <v/>
      </c>
      <c r="EA23" s="395">
        <f t="array" ref="EA23">IFERROR(IF(AND(INDEX($E$8:$CE$57, MATCH($C23, $C$8:$C$57, 0), (COLUMNS($DU23:EA23)-1)*5 + 1) = INDEX($E$5:$CE$5, 1, (COLUMNS($DU23:EA23)-1)*5 + 1), INDEX($E$8:$CE$57, MATCH($C23, $C$8:$C$57, 0), (COLUMNS($DU23:EA23)-1)*5 + 4) = "SF"), INDEX($CZ$8:$CZ$23, COLUMNS($DU23:EA23)), "0"), "")</f>
        <v/>
      </c>
      <c r="EB23" s="395">
        <f t="array" ref="EB23">IFERROR(IF(AND(INDEX($E$8:$CE$57, MATCH($C23, $C$8:$C$57, 0), (COLUMNS($DU23:EB23)-1)*5 + 1) = INDEX($E$5:$CE$5, 1, (COLUMNS($DU23:EB23)-1)*5 + 1), INDEX($E$8:$CE$57, MATCH($C23, $C$8:$C$57, 0), (COLUMNS($DU23:EB23)-1)*5 + 4) = "SF"), INDEX($CZ$8:$CZ$23, COLUMNS($DU23:EB23)), "0"), "")</f>
        <v/>
      </c>
      <c r="EC23" s="395">
        <f t="array" ref="EC23">IFERROR(IF(AND(INDEX($E$8:$CE$57, MATCH($C23, $C$8:$C$57, 0), (COLUMNS($DU23:EC23)-1)*5 + 1) = INDEX($E$5:$CE$5, 1, (COLUMNS($DU23:EC23)-1)*5 + 1), INDEX($E$8:$CE$57, MATCH($C23, $C$8:$C$57, 0), (COLUMNS($DU23:EC23)-1)*5 + 4) = "SF"), INDEX($CZ$8:$CZ$23, COLUMNS($DU23:EC23)), "0"), "")</f>
        <v/>
      </c>
      <c r="ED23" s="395">
        <f t="array" ref="ED23">IFERROR(IF(AND(INDEX($E$8:$CE$57, MATCH($C23, $C$8:$C$57, 0), (COLUMNS($DU23:ED23)-1)*5 + 1) = INDEX($E$5:$CE$5, 1, (COLUMNS($DU23:ED23)-1)*5 + 1), INDEX($E$8:$CE$57, MATCH($C23, $C$8:$C$57, 0), (COLUMNS($DU23:ED23)-1)*5 + 4) = "SF"), INDEX($CZ$8:$CZ$23, COLUMNS($DU23:ED23)), "0"), "")</f>
        <v/>
      </c>
      <c r="EE23" s="395">
        <f t="array" ref="EE23">IFERROR(IF(AND(INDEX($E$8:$CE$57, MATCH($C23, $C$8:$C$57, 0), (COLUMNS($DU23:EE23)-1)*5 + 1) = INDEX($E$5:$CE$5, 1, (COLUMNS($DU23:EE23)-1)*5 + 1), INDEX($E$8:$CE$57, MATCH($C23, $C$8:$C$57, 0), (COLUMNS($DU23:EE23)-1)*5 + 4) = "SF"), INDEX($CZ$8:$CZ$23, COLUMNS($DU23:EE23)), "0"), "")</f>
        <v/>
      </c>
      <c r="EF23" s="395">
        <f t="array" ref="EF23">IFERROR(IF(AND(INDEX($E$8:$CE$57, MATCH($C23, $C$8:$C$57, 0), (COLUMNS($DU23:EF23)-1)*5 + 1) = INDEX($E$5:$CE$5, 1, (COLUMNS($DU23:EF23)-1)*5 + 1), INDEX($E$8:$CE$57, MATCH($C23, $C$8:$C$57, 0), (COLUMNS($DU23:EF23)-1)*5 + 4) = "SF"), INDEX($CZ$8:$CZ$23, COLUMNS($DU23:EF23)), "0"), "")</f>
        <v/>
      </c>
      <c r="EG23" s="395">
        <f t="array" ref="EG23">IFERROR(IF(AND(INDEX($E$8:$CE$57, MATCH($C23, $C$8:$C$57, 0), (COLUMNS($DU23:EG23)-1)*5 + 1) = INDEX($E$5:$CE$5, 1, (COLUMNS($DU23:EG23)-1)*5 + 1), INDEX($E$8:$CE$57, MATCH($C23, $C$8:$C$57, 0), (COLUMNS($DU23:EG23)-1)*5 + 4) = "SF"), INDEX($CZ$8:$CZ$23, COLUMNS($DU23:EG23)), "0"), "")</f>
        <v/>
      </c>
      <c r="EH23" s="395">
        <f t="array" ref="EH23">IFERROR(IF(AND(INDEX($E$8:$CE$57, MATCH($C23, $C$8:$C$57, 0), (COLUMNS($DU23:EH23)-1)*5 + 1) = INDEX($E$5:$CE$5, 1, (COLUMNS($DU23:EH23)-1)*5 + 1), INDEX($E$8:$CE$57, MATCH($C23, $C$8:$C$57, 0), (COLUMNS($DU23:EH23)-1)*5 + 4) = "SF"), INDEX($CZ$8:$CZ$23, COLUMNS($DU23:EH23)), "0"), "")</f>
        <v/>
      </c>
      <c r="EI23" s="395">
        <f t="array" ref="EI23">IFERROR(IF(AND(INDEX($E$8:$CE$57, MATCH($C23, $C$8:$C$57, 0), (COLUMNS($DU23:EI23)-1)*5 + 1) = INDEX($E$5:$CE$5, 1, (COLUMNS($DU23:EI23)-1)*5 + 1), INDEX($E$8:$CE$57, MATCH($C23, $C$8:$C$57, 0), (COLUMNS($DU23:EI23)-1)*5 + 4) = "SF"), INDEX($CZ$8:$CZ$23, COLUMNS($DU23:EI23)), "0"), "")</f>
        <v/>
      </c>
      <c r="EJ23" s="395">
        <f t="array" ref="EJ23">IFERROR(IF(AND(INDEX($E$8:$CE$57, MATCH($C23, $C$8:$C$57, 0), (COLUMNS($DU23:EJ23)-1)*5 + 1) = INDEX($E$5:$CE$5, 1, (COLUMNS($DU23:EJ23)-1)*5 + 1), INDEX($E$8:$CE$57, MATCH($C23, $C$8:$C$57, 0), (COLUMNS($DU23:EJ23)-1)*5 + 4) = "SF"), INDEX($CZ$8:$CZ$23, COLUMNS($DU23:EJ23)), "0"), "")</f>
        <v/>
      </c>
    </row>
    <row r="24" ht="20.1" customHeight="1" s="568">
      <c r="A24" s="576" t="n"/>
      <c r="B24" s="449">
        <f>IF(SEMANA29[[#This Row],[COD]]&lt;&gt;"",B23+1,"")</f>
        <v/>
      </c>
      <c r="C24" s="622" t="inlineStr">
        <is>
          <t>COD 17</t>
        </is>
      </c>
      <c r="D24" s="415">
        <f t="array" ref="D24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4" s="416" t="n"/>
      <c r="F24" s="417" t="n"/>
      <c r="G24" s="417" t="n"/>
      <c r="H24" s="417" t="n"/>
      <c r="I24" s="602">
        <f>SUM(IF(E24=E$5,4,0),IF(E24&amp;F24=E$5&amp;F$5,1,0),
IF(AND(E24=E$5,F$6&gt;=$D$115),1,0),
IF(AND(F24=E$5,F$6&gt;=$D$115),1,0),
IF(AND(G24=E$5,F$6&gt;=$D$115),1,0),
IF(E24&amp;H24=I$5,1,0),
IF(F24=E$5,2,0),
IF(G24=E$5,1,0),
IF(OR(E24&amp;F24&amp;G24=E$5&amp;F$5&amp;G$5,E24&amp;F24&amp;G24=E$5&amp;G$5&amp;F$5,E24&amp;F24&amp;G24=F$5&amp;E$5&amp;G$5,E24&amp;F24&amp;G24=F$5&amp;G$5&amp;E$5,E24&amp;F24&amp;G24=G$5&amp;E$5&amp;F$5,E24&amp;F24&amp;G24=G$5&amp;F$5&amp;E$5),2,0),IF(AND(E24=E$5,F$6&gt;=$D$129),1,0),IF(AND(F24=E$5,F$6&gt;=$D$129),1,0),IF(AND(G24=E$5,F$6&gt;=$D$129),1,0),IF(E24&amp;H24=H$5,4,0),IF(AND(E24=E$5,F$6&lt;=$D$104),-0.5,0),IF(AND(F24=E$5,F$6&lt;=$D$104),-0.5,0),IF(AND(G24=E$5,F$6&lt;=$D$104),-0.5,0))</f>
        <v/>
      </c>
      <c r="J24" s="416" t="n"/>
      <c r="K24" s="417" t="n"/>
      <c r="L24" s="417" t="n"/>
      <c r="M24" s="417" t="n"/>
      <c r="N24" s="602">
        <f>SUM(IF(J24=J$5,4,0),IF(J24&amp;K24=J$5&amp;K$5,1,0),
IF(AND(J24=J$5,K$6&gt;=$D$115),1,0),
IF(AND(K24=J$5,K$6&gt;=$D$115),1,0),
IF(AND(L24=J$5,K$6&gt;=$D$115),1,0),
IF(J24&amp;M24=N$5,1,0),
IF(K24=J$5,2,0),
IF(L24=J$5,1,0),
IF(OR(J24&amp;K24&amp;L24=J$5&amp;K$5&amp;L$5,J24&amp;K24&amp;L24=J$5&amp;L$5&amp;K$5,J24&amp;K24&amp;L24=K$5&amp;J$5&amp;L$5,J24&amp;K24&amp;L24=K$5&amp;L$5&amp;J$5,J24&amp;K24&amp;L24=L$5&amp;J$5&amp;K$5,J24&amp;K24&amp;L24=L$5&amp;K$5&amp;J$5),2,0),IF(AND(J24=J$5,K$6&gt;=$D$129),1,0),IF(AND(K24=J$5,K$6&gt;=$D$129),1,0),IF(AND(L24=J$5,K$6&gt;=$D$129),1,0),IF(J24&amp;M24=M$5,4,0),IF(AND(J24=J$5,K$6&lt;=$D$104),-0.5,0),IF(AND(K24=J$5,K$6&lt;=$D$104),-0.5,0),IF(AND(L24=J$5,K$6&lt;=$D$104),-0.5,0))</f>
        <v/>
      </c>
      <c r="O24" s="416" t="n"/>
      <c r="P24" s="417" t="n"/>
      <c r="Q24" s="417" t="n"/>
      <c r="R24" s="417" t="n"/>
      <c r="S24" s="602">
        <f>SUM(IF(O24=O$5,4,0),IF(O24&amp;P24=O$5&amp;P$5,1,0),
IF(AND(O24=O$5,P$6&gt;=$D$115),1,0),
IF(AND(P24=O$5,P$6&gt;=$D$115),1,0),
IF(AND(Q24=O$5,P$6&gt;=$D$115),1,0),
IF(O24&amp;R24=S$5,1,0),
IF(P24=O$5,2,0),
IF(Q24=O$5,1,0),
IF(OR(O24&amp;P24&amp;Q24=O$5&amp;P$5&amp;Q$5,O24&amp;P24&amp;Q24=O$5&amp;Q$5&amp;P$5,O24&amp;P24&amp;Q24=P$5&amp;O$5&amp;Q$5,O24&amp;P24&amp;Q24=P$5&amp;Q$5&amp;O$5,O24&amp;P24&amp;Q24=Q$5&amp;O$5&amp;P$5,O24&amp;P24&amp;Q24=Q$5&amp;P$5&amp;O$5),2,0),IF(AND(O24=O$5,P$6&gt;=$D$129),1,0),IF(AND(P24=O$5,P$6&gt;=$D$129),1,0),IF(AND(Q24=O$5,P$6&gt;=$D$129),1,0),IF(O24&amp;R24=R$5,4,0),IF(AND(O24=O$5,P$6&lt;=$D$104),-0.5,0),IF(AND(P24=O$5,P$6&lt;=$D$104),-0.5,0),IF(AND(Q24=O$5,P$6&lt;=$D$104),-0.5,0))</f>
        <v/>
      </c>
      <c r="T24" s="416" t="n"/>
      <c r="U24" s="417" t="n"/>
      <c r="V24" s="417" t="n"/>
      <c r="W24" s="417" t="n"/>
      <c r="X24" s="602">
        <f>SUM(IF(T24=T$5,4,0),IF(T24&amp;U24=T$5&amp;U$5,1,0),
IF(AND(T24=T$5,U$6&gt;=$D$115),1,0),
IF(AND(U24=T$5,U$6&gt;=$D$115),1,0),
IF(AND(V24=T$5,U$6&gt;=$D$115),1,0),
IF(T24&amp;W24=X$5,1,0),
IF(U24=T$5,2,0),
IF(V24=T$5,1,0),
IF(OR(T24&amp;U24&amp;V24=T$5&amp;U$5&amp;V$5,T24&amp;U24&amp;V24=T$5&amp;V$5&amp;U$5,T24&amp;U24&amp;V24=U$5&amp;T$5&amp;V$5,T24&amp;U24&amp;V24=U$5&amp;V$5&amp;T$5,T24&amp;U24&amp;V24=V$5&amp;T$5&amp;U$5,T24&amp;U24&amp;V24=V$5&amp;U$5&amp;T$5),2,0),IF(AND(T24=T$5,U$6&gt;=$D$129),1,0),IF(AND(U24=T$5,U$6&gt;=$D$129),1,0),IF(AND(V24=T$5,U$6&gt;=$D$129),1,0),IF(T24&amp;W24=W$5,4,0),IF(AND(T24=T$5,U$6&lt;=$D$104),-0.5,0),IF(AND(U24=T$5,U$6&lt;=$D$104),-0.5,0),IF(AND(V24=T$5,U$6&lt;=$D$104),-0.5,0))</f>
        <v/>
      </c>
      <c r="Y24" s="416" t="n"/>
      <c r="Z24" s="417" t="n"/>
      <c r="AA24" s="417" t="n"/>
      <c r="AB24" s="417" t="n"/>
      <c r="AC24" s="602">
        <f>SUM(IF(Y24=Y$5,4,0),IF(Y24&amp;Z24=Y$5&amp;Z$5,1,0),
IF(AND(Y24=Y$5,Z$6&gt;=$D$115),1,0),
IF(AND(Z24=Y$5,Z$6&gt;=$D$115),1,0),
IF(AND(AA24=Y$5,Z$6&gt;=$D$115),1,0),
IF(Y24&amp;AB24=AC$5,1,0),
IF(Z24=Y$5,2,0),
IF(AA24=Y$5,1,0),
IF(OR(Y24&amp;Z24&amp;AA24=Y$5&amp;Z$5&amp;AA$5,Y24&amp;Z24&amp;AA24=Y$5&amp;AA$5&amp;Z$5,Y24&amp;Z24&amp;AA24=Z$5&amp;Y$5&amp;AA$5,Y24&amp;Z24&amp;AA24=Z$5&amp;AA$5&amp;Y$5,Y24&amp;Z24&amp;AA24=AA$5&amp;Y$5&amp;Z$5,Y24&amp;Z24&amp;AA24=AA$5&amp;Z$5&amp;Y$5),2,0),IF(AND(Y24=Y$5,Z$6&gt;=$D$129),1,0),IF(AND(Z24=Y$5,Z$6&gt;=$D$129),1,0),IF(AND(AA24=Y$5,Z$6&gt;=$D$129),1,0),IF(Y24&amp;AB24=AB$5,4,0),IF(AND(Y24=Y$5,Z$6&lt;=$D$104),-0.5,0),IF(AND(Z24=Y$5,Z$6&lt;=$D$104),-0.5,0),IF(AND(AA24=Y$5,Z$6&lt;=$D$104),-0.5,0))</f>
        <v/>
      </c>
      <c r="AD24" s="416" t="n"/>
      <c r="AE24" s="417" t="n"/>
      <c r="AF24" s="417" t="n"/>
      <c r="AG24" s="417" t="n"/>
      <c r="AH24" s="602">
        <f>SUM(IF(AD24=AD$5,4,0),IF(AD24&amp;AE24=AD$5&amp;AE$5,1,0),
IF(AND(AD24=AD$5,AE$6&gt;=$D$115),1,0),
IF(AND(AE24=AD$5,AE$6&gt;=$D$115),1,0),
IF(AND(AF24=AD$5,AE$6&gt;=$D$115),1,0),
IF(AD24&amp;AG24=AH$5,1,0),
IF(AE24=AD$5,2,0),
IF(AF24=AD$5,1,0),
IF(OR(AD24&amp;AE24&amp;AF24=AD$5&amp;AE$5&amp;AF$5,AD24&amp;AE24&amp;AF24=AD$5&amp;AF$5&amp;AE$5,AD24&amp;AE24&amp;AF24=AE$5&amp;AD$5&amp;AF$5,AD24&amp;AE24&amp;AF24=AE$5&amp;AF$5&amp;AD$5,AD24&amp;AE24&amp;AF24=AF$5&amp;AD$5&amp;AE$5,AD24&amp;AE24&amp;AF24=AF$5&amp;AE$5&amp;AD$5),2,0),IF(AND(AD24=AD$5,AE$6&gt;=$D$129),1,0),IF(AND(AE24=AD$5,AE$6&gt;=$D$129),1,0),IF(AND(AF24=AD$5,AE$6&gt;=$D$129),1,0),IF(AD24&amp;AG24=AG$5,4,0),IF(AND(AD24=AD$5,AE$6&lt;=$D$104),-0.5,0),IF(AND(AE24=AD$5,AE$6&lt;=$D$104),-0.5,0),IF(AND(AF24=AD$5,AE$6&lt;=$D$104),-0.5,0))</f>
        <v/>
      </c>
      <c r="AI24" s="416" t="n"/>
      <c r="AJ24" s="417" t="n"/>
      <c r="AK24" s="417" t="n"/>
      <c r="AL24" s="417" t="n"/>
      <c r="AM24" s="602">
        <f>SUM(IF(AI24=AI$5,4,0),IF(AI24&amp;AJ24=AI$5&amp;AJ$5,1,0),
IF(AND(AI24=AI$5,AJ$6&gt;=$D$115),1,0),
IF(AND(AJ24=AI$5,AJ$6&gt;=$D$115),1,0),
IF(AND(AK24=AI$5,AJ$6&gt;=$D$115),1,0),
IF(AI24&amp;AL24=AM$5,1,0),
IF(AJ24=AI$5,2,0),
IF(AK24=AI$5,1,0),
IF(OR(AI24&amp;AJ24&amp;AK24=AI$5&amp;AJ$5&amp;AK$5,AI24&amp;AJ24&amp;AK24=AI$5&amp;AK$5&amp;AJ$5,AI24&amp;AJ24&amp;AK24=AJ$5&amp;AI$5&amp;AK$5,AI24&amp;AJ24&amp;AK24=AJ$5&amp;AK$5&amp;AI$5,AI24&amp;AJ24&amp;AK24=AK$5&amp;AI$5&amp;AJ$5,AI24&amp;AJ24&amp;AK24=AK$5&amp;AJ$5&amp;AI$5),2,0),IF(AND(AI24=AI$5,AJ$6&gt;=$D$129),1,0),IF(AND(AJ24=AI$5,AJ$6&gt;=$D$129),1,0),IF(AND(AK24=AI$5,AJ$6&gt;=$D$129),1,0),IF(AI24&amp;AL24=AL$5,4,0),IF(AND(AI24=AI$5,AJ$6&lt;=$D$104),-0.5,0),IF(AND(AJ24=AI$5,AJ$6&lt;=$D$104),-0.5,0),IF(AND(AK24=AI$5,AJ$6&lt;=$D$104),-0.5,0))</f>
        <v/>
      </c>
      <c r="AN24" s="416" t="n"/>
      <c r="AO24" s="417" t="n"/>
      <c r="AP24" s="417" t="n"/>
      <c r="AQ24" s="417" t="n"/>
      <c r="AR24" s="602">
        <f>SUM(IF(AN24=AN$5,4,0),IF(AN24&amp;AO24=AN$5&amp;AO$5,1,0),
IF(AND(AN24=AN$5,AO$6&gt;=$D$115),1,0),
IF(AND(AO24=AN$5,AO$6&gt;=$D$115),1,0),
IF(AND(AP24=AN$5,AO$6&gt;=$D$115),1,0),
IF(AN24&amp;AQ24=AR$5,1,0),
IF(AO24=AN$5,2,0),
IF(AP24=AN$5,1,0),
IF(OR(AN24&amp;AO24&amp;AP24=AN$5&amp;AO$5&amp;AP$5,AN24&amp;AO24&amp;AP24=AN$5&amp;AP$5&amp;AO$5,AN24&amp;AO24&amp;AP24=AO$5&amp;AN$5&amp;AP$5,AN24&amp;AO24&amp;AP24=AO$5&amp;AP$5&amp;AN$5,AN24&amp;AO24&amp;AP24=AP$5&amp;AN$5&amp;AO$5,AN24&amp;AO24&amp;AP24=AP$5&amp;AO$5&amp;AN$5),2,0),IF(AND(AN24=AN$5,AO$6&gt;=$D$129),1,0),IF(AND(AO24=AN$5,AO$6&gt;=$D$129),1,0),IF(AND(AP24=AN$5,AO$6&gt;=$D$129),1,0),IF(AN24&amp;AQ24=AQ$5,4,0),IF(AND(AN24=AN$5,AO$6&lt;=$D$104),-0.5,0),IF(AND(AO24=AN$5,AO$6&lt;=$D$104),-0.5,0),IF(AND(AP24=AN$5,AO$6&lt;=$D$104),-0.5,0))</f>
        <v/>
      </c>
      <c r="AS24" s="416" t="n"/>
      <c r="AT24" s="417" t="n"/>
      <c r="AU24" s="417" t="n"/>
      <c r="AV24" s="417" t="n"/>
      <c r="AW24" s="602">
        <f>SUM(IF(AS24=AS$5,4,0),IF(AS24&amp;AT24=AS$5&amp;AT$5,1,0),
IF(AND(AS24=AS$5,AT$6&gt;=$D$115),1,0),
IF(AND(AT24=AS$5,AT$6&gt;=$D$115),1,0),
IF(AND(AU24=AS$5,AT$6&gt;=$D$115),1,0),
IF(AS24&amp;AV24=AW$5,1,0),
IF(AT24=AS$5,2,0),
IF(AU24=AS$5,1,0),
IF(OR(AS24&amp;AT24&amp;AU24=AS$5&amp;AT$5&amp;AU$5,AS24&amp;AT24&amp;AU24=AS$5&amp;AU$5&amp;AT$5,AS24&amp;AT24&amp;AU24=AT$5&amp;AS$5&amp;AU$5,AS24&amp;AT24&amp;AU24=AT$5&amp;AU$5&amp;AS$5,AS24&amp;AT24&amp;AU24=AU$5&amp;AS$5&amp;AT$5,AS24&amp;AT24&amp;AU24=AU$5&amp;AT$5&amp;AS$5),2,0),IF(AND(AS24=AS$5,AT$6&gt;=$D$129),1,0),IF(AND(AT24=AS$5,AT$6&gt;=$D$129),1,0),IF(AND(AU24=AS$5,AT$6&gt;=$D$129),1,0),IF(AS24&amp;AV24=AV$5,4,0),IF(AND(AS24=AS$5,AT$6&lt;=$D$104),-0.5,0),IF(AND(AT24=AS$5,AT$6&lt;=$D$104),-0.5,0),IF(AND(AU24=AS$5,AT$6&lt;=$D$104),-0.5,0))</f>
        <v/>
      </c>
      <c r="AX24" s="416" t="n"/>
      <c r="AY24" s="417" t="n"/>
      <c r="AZ24" s="417" t="n"/>
      <c r="BA24" s="417" t="n"/>
      <c r="BB24" s="602">
        <f>SUM(IF(AX24=AX$5,4,0),IF(AX24&amp;AY24=AX$5&amp;AY$5,1,0),
IF(AND(AX24=AX$5,AY$6&gt;=$D$115),1,0),
IF(AND(AY24=AX$5,AY$6&gt;=$D$115),1,0),
IF(AND(AZ24=AX$5,AY$6&gt;=$D$115),1,0),
IF(AX24&amp;BA24=BB$5,1,0),
IF(AY24=AX$5,2,0),
IF(AZ24=AX$5,1,0),
IF(OR(AX24&amp;AY24&amp;AZ24=AX$5&amp;AY$5&amp;AZ$5,AX24&amp;AY24&amp;AZ24=AX$5&amp;AZ$5&amp;AY$5,AX24&amp;AY24&amp;AZ24=AY$5&amp;AX$5&amp;AZ$5,AX24&amp;AY24&amp;AZ24=AY$5&amp;AZ$5&amp;AX$5,AX24&amp;AY24&amp;AZ24=AZ$5&amp;AX$5&amp;AY$5,AX24&amp;AY24&amp;AZ24=AZ$5&amp;AY$5&amp;AX$5),2,0),IF(AND(AX24=AX$5,AY$6&gt;=$D$129),1,0),IF(AND(AY24=AX$5,AY$6&gt;=$D$129),1,0),IF(AND(AZ24=AX$5,AY$6&gt;=$D$129),1,0),IF(AX24&amp;BA24=BA$5,4,0),IF(AND(AX24=AX$5,AY$6&lt;=$D$104),-0.5,0),IF(AND(AY24=AX$5,AY$6&lt;=$D$104),-0.5,0),IF(AND(AZ24=AX$5,AY$6&lt;=$D$104),-0.5,0))</f>
        <v/>
      </c>
      <c r="BC24" s="416" t="n"/>
      <c r="BD24" s="417" t="n"/>
      <c r="BE24" s="417" t="n"/>
      <c r="BF24" s="417" t="n"/>
      <c r="BG24" s="602">
        <f>SUM(IF(BC24=BC$5,4,0),IF(BC24&amp;BD24=BC$5&amp;BD$5,1,0),
IF(AND(BC24=BC$5,BD$6&gt;=$D$115),1,0),
IF(AND(BD24=BC$5,BD$6&gt;=$D$115),1,0),
IF(AND(BE24=BC$5,BD$6&gt;=$D$115),1,0),
IF(BC24&amp;BF24=BG$5,1,0),
IF(BD24=BC$5,2,0),
IF(BE24=BC$5,1,0),
IF(OR(BC24&amp;BD24&amp;BE24=BC$5&amp;BD$5&amp;BE$5,BC24&amp;BD24&amp;BE24=BC$5&amp;BE$5&amp;BD$5,BC24&amp;BD24&amp;BE24=BD$5&amp;BC$5&amp;BE$5,BC24&amp;BD24&amp;BE24=BD$5&amp;BE$5&amp;BC$5,BC24&amp;BD24&amp;BE24=BE$5&amp;BC$5&amp;BD$5,BC24&amp;BD24&amp;BE24=BE$5&amp;BD$5&amp;BC$5),2,0),IF(AND(BC24=BC$5,BD$6&gt;=$D$129),1,0),IF(AND(BD24=BC$5,BD$6&gt;=$D$129),1,0),IF(AND(BE24=BC$5,BD$6&gt;=$D$129),1,0),IF(BC24&amp;BF24=BF$5,4,0),IF(AND(BC24=BC$5,BD$6&lt;=$D$104),-0.5,0),IF(AND(BD24=BC$5,BD$6&lt;=$D$104),-0.5,0),IF(AND(BE24=BC$5,BD$6&lt;=$D$104),-0.5,0))</f>
        <v/>
      </c>
      <c r="BH24" s="416" t="n"/>
      <c r="BI24" s="417" t="n"/>
      <c r="BJ24" s="417" t="n"/>
      <c r="BK24" s="417" t="n"/>
      <c r="BL24" s="602">
        <f>SUM(IF(BH24=BH$5,4,0),IF(BH24&amp;BI24=BH$5&amp;BI$5,1,0),
IF(AND(BH24=BH$5,BI$6&gt;=$D$115),1,0),
IF(AND(BI24=BH$5,BI$6&gt;=$D$115),1,0),
IF(AND(BJ24=BH$5,BI$6&gt;=$D$115),1,0),
IF(BH24&amp;BK24=BL$5,1,0),
IF(BI24=BH$5,2,0),
IF(BJ24=BH$5,1,0),
IF(OR(BH24&amp;BI24&amp;BJ24=BH$5&amp;BI$5&amp;BJ$5,BH24&amp;BI24&amp;BJ24=BH$5&amp;BJ$5&amp;BI$5,BH24&amp;BI24&amp;BJ24=BI$5&amp;BH$5&amp;BJ$5,BH24&amp;BI24&amp;BJ24=BI$5&amp;BJ$5&amp;BH$5,BH24&amp;BI24&amp;BJ24=BJ$5&amp;BH$5&amp;BI$5,BH24&amp;BI24&amp;BJ24=BJ$5&amp;BI$5&amp;BH$5),2,0),IF(AND(BH24=BH$5,BI$6&gt;=$D$129),1,0),IF(AND(BI24=BH$5,BI$6&gt;=$D$129),1,0),IF(AND(BJ24=BH$5,BI$6&gt;=$D$129),1,0),IF(BH24&amp;BK24=BK$5,4,0),IF(AND(BH24=BH$5,BI$6&lt;=$D$104),-0.5,0),IF(AND(BI24=BH$5,BI$6&lt;=$D$104),-0.5,0),IF(AND(BJ24=BH$5,BI$6&lt;=$D$104),-0.5,0))</f>
        <v/>
      </c>
      <c r="BM24" s="416" t="n"/>
      <c r="BN24" s="417" t="n"/>
      <c r="BO24" s="417" t="n"/>
      <c r="BP24" s="417" t="n"/>
      <c r="BQ24" s="602">
        <f>SUM(IF(BM24=BM$5,4,0),IF(BM24&amp;BN24=BM$5&amp;BN$5,1,0),
IF(AND(BM24=BM$5,BN$6&gt;=$D$115),1,0),
IF(AND(BN24=BM$5,BN$6&gt;=$D$115),1,0),
IF(AND(BO24=BM$5,BN$6&gt;=$D$115),1,0),
IF(BM24&amp;BP24=BQ$5,1,0),
IF(BN24=BM$5,2,0),
IF(BO24=BM$5,1,0),
IF(OR(BM24&amp;BN24&amp;BO24=BM$5&amp;BN$5&amp;BO$5,BM24&amp;BN24&amp;BO24=BM$5&amp;BO$5&amp;BN$5,BM24&amp;BN24&amp;BO24=BN$5&amp;BM$5&amp;BO$5,BM24&amp;BN24&amp;BO24=BN$5&amp;BO$5&amp;BM$5,BM24&amp;BN24&amp;BO24=BO$5&amp;BM$5&amp;BN$5,BM24&amp;BN24&amp;BO24=BO$5&amp;BN$5&amp;BM$5),2,0),IF(AND(BM24=BM$5,BN$6&gt;=$D$129),1,0),IF(AND(BN24=BM$5,BN$6&gt;=$D$129),1,0),IF(AND(BO24=BM$5,BN$6&gt;=$D$129),1,0),IF(BM24&amp;BP24=BP$5,4,0),IF(AND(BM24=BM$5,BN$6&lt;=$D$104),-0.5,0),IF(AND(BN24=BM$5,BN$6&lt;=$D$104),-0.5,0),IF(AND(BO24=BM$5,BN$6&lt;=$D$104),-0.5,0))</f>
        <v/>
      </c>
      <c r="BR24" s="416" t="n"/>
      <c r="BS24" s="417" t="n"/>
      <c r="BT24" s="417" t="n"/>
      <c r="BU24" s="417" t="n"/>
      <c r="BV24" s="602">
        <f>SUM(IF(BR24=BR$5,4,0),IF(BR24&amp;BS24=BR$5&amp;BS$5,1,0),
IF(AND(BR24=BR$5,BS$6&gt;=$D$115),1,0),
IF(AND(BS24=BR$5,BS$6&gt;=$D$115),1,0),
IF(AND(BT24=BR$5,BS$6&gt;=$D$115),1,0),
IF(BR24&amp;BU24=BV$5,1,0),
IF(BS24=BR$5,2,0),
IF(BT24=BR$5,1,0),
IF(OR(BR24&amp;BS24&amp;BT24=BR$5&amp;BS$5&amp;BT$5,BR24&amp;BS24&amp;BT24=BR$5&amp;BT$5&amp;BS$5,BR24&amp;BS24&amp;BT24=BS$5&amp;BR$5&amp;BT$5,BR24&amp;BS24&amp;BT24=BS$5&amp;BT$5&amp;BR$5,BR24&amp;BS24&amp;BT24=BT$5&amp;BR$5&amp;BS$5,BR24&amp;BS24&amp;BT24=BT$5&amp;BS$5&amp;BR$5),2,0),IF(AND(BR24=BR$5,BS$6&gt;=$D$129),1,0),IF(AND(BS24=BR$5,BS$6&gt;=$D$129),1,0),IF(AND(BT24=BR$5,BS$6&gt;=$D$129),1,0),IF(BR24&amp;BU24=BU$5,4,0),IF(AND(BR24=BR$5,BS$6&lt;=$D$104),-0.5,0),IF(AND(BS24=BR$5,BS$6&lt;=$D$104),-0.5,0),IF(AND(BT24=BR$5,BS$6&lt;=$D$104),-0.5,0))</f>
        <v/>
      </c>
      <c r="BW24" s="416" t="n"/>
      <c r="BX24" s="417" t="n"/>
      <c r="BY24" s="417" t="n"/>
      <c r="BZ24" s="417" t="n"/>
      <c r="CA24" s="602">
        <f>SUM(IF(BW24=BW$5,4,0),IF(BW24&amp;BX24=BW$5&amp;BX$5,1,0),
IF(AND(BW24=BW$5,BX$6&gt;=$D$115),1,0),
IF(AND(BX24=BW$5,BX$6&gt;=$D$115),1,0),
IF(AND(BY24=BW$5,BX$6&gt;=$D$115),1,0),
IF(BW24&amp;BZ24=CA$5,1,0),
IF(BX24=BW$5,2,0),
IF(BY24=BW$5,1,0),
IF(OR(BW24&amp;BX24&amp;BY24=BW$5&amp;BX$5&amp;BY$5,BW24&amp;BX24&amp;BY24=BW$5&amp;BY$5&amp;BX$5,BW24&amp;BX24&amp;BY24=BX$5&amp;BW$5&amp;BY$5,BW24&amp;BX24&amp;BY24=BX$5&amp;BY$5&amp;BW$5,BW24&amp;BX24&amp;BY24=BY$5&amp;BW$5&amp;BX$5,BW24&amp;BX24&amp;BY24=BY$5&amp;BX$5&amp;BW$5),2,0),IF(AND(BW24=BW$5,BX$6&gt;=$D$129),1,0),IF(AND(BX24=BW$5,BX$6&gt;=$D$129),1,0),IF(AND(BY24=BW$5,BX$6&gt;=$D$129),1,0),IF(BW24&amp;BZ24=BZ$5,4,0),IF(AND(BW24=BW$5,BX$6&lt;=$D$104),-0.5,0),IF(AND(BX24=BW$5,BX$6&lt;=$D$104),-0.5,0),IF(AND(BY24=BW$5,BX$6&lt;=$D$104),-0.5,0))</f>
        <v/>
      </c>
      <c r="CB24" s="416" t="n"/>
      <c r="CC24" s="417" t="n"/>
      <c r="CD24" s="417" t="n"/>
      <c r="CE24" s="417" t="n"/>
      <c r="CF24" s="602">
        <f>SUM(IF(CB24=CB$5,4,0),IF(CB24&amp;CC24=CB$5&amp;CC$5,1,0),
IF(AND(CB24=CB$5,CC$6&gt;=$D$115),1,0),
IF(AND(CC24=CB$5,CC$6&gt;=$D$115),1,0),
IF(AND(CD24=CB$5,CC$6&gt;=$D$115),1,0),
IF(CB24&amp;CE24=CF$5,1,0),
IF(CC24=CB$5,2,0),
IF(CD24=CB$5,1,0),
IF(OR(CB24&amp;CC24&amp;CD24=CB$5&amp;CC$5&amp;CD$5,CB24&amp;CC24&amp;CD24=CB$5&amp;CD$5&amp;CC$5,CB24&amp;CC24&amp;CD24=CC$5&amp;CB$5&amp;CD$5,CB24&amp;CC24&amp;CD24=CC$5&amp;CD$5&amp;CB$5,CB24&amp;CC24&amp;CD24=CD$5&amp;CB$5&amp;CC$5,CB24&amp;CC24&amp;CD24=CD$5&amp;CC$5&amp;CB$5),2,0),IF(AND(CB24=CB$5,CC$6&gt;=$D$129),1,0),IF(AND(CC24=CB$5,CC$6&gt;=$D$129),1,0),IF(AND(CD24=CB$5,CC$6&gt;=$D$129),1,0),IF(CB24&amp;CE24=CE$5,4,0),IF(AND(CB24=CB$5,CC$6&lt;=$D$104),-0.5,0),IF(AND(CC24=CB$5,CC$6&lt;=$D$104),-0.5,0),IF(AND(CD24=CB$5,CC$6&lt;=$D$104),-0.5,0))</f>
        <v/>
      </c>
      <c r="CG24" s="164">
        <f>IF(SEMANA29[[#This Row],[1]]="",0,$B$4)</f>
        <v/>
      </c>
      <c r="CH24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4" s="166">
        <f>IF(SEMANA29[[#This Row],[Columna14]]=0,0,(CH24/CG24))</f>
        <v/>
      </c>
      <c r="CJ24" s="165">
        <f>IF(SEMANA29[[#This Row],[1]]="",0,$B$4)</f>
        <v/>
      </c>
      <c r="CK24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4" s="166">
        <f>IF(SEMANA29[[#This Row],[Columna14]]=0,0,(CK24/CJ24))</f>
        <v/>
      </c>
      <c r="CM24" s="164">
        <f>IF(SEMANA29[[#This Row],[1]]="",0,$B$4)</f>
        <v/>
      </c>
      <c r="CN24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4" s="166">
        <f>IF(SEMANA29[[#This Row],[Columna14]]=0,0,(CN24/CM24))</f>
        <v/>
      </c>
      <c r="CP24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4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Row],[Columna25]],$AX$5,BA24,"SF")+COUNTIFS(SEMANA29[[#This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4" s="166">
        <f>IFERROR(IF(SEMANA29[[#This Row],[Columna14]]=0,0,(CQ24/CP24)),0)</f>
        <v/>
      </c>
      <c r="CS24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4" s="95">
        <f>_xlfn.XLOOKUP(SEMANA29[[#This Row],[COD]],SEMANA2[COD],SEMANA2[Columna33])</f>
        <v/>
      </c>
      <c r="CU24" s="604">
        <f>SUM(CS24,CT24)</f>
        <v/>
      </c>
      <c r="CV24" s="450">
        <f>IF(SEMANA29[[#This Row],[TIPO]]="PREMIO",$O$3,"0,00")</f>
        <v/>
      </c>
      <c r="CW24" s="576" t="n"/>
      <c r="CY24" s="393" t="inlineStr">
        <is>
          <t>MAYOR DIV.</t>
        </is>
      </c>
      <c r="CZ24" s="355">
        <f>MAX(DIV_GAN_SEM_211[DIVIDENDO])</f>
        <v/>
      </c>
      <c r="DA24" s="394" t="inlineStr">
        <is>
          <t>N° GAN</t>
        </is>
      </c>
      <c r="DB24" s="605">
        <f>SEMANA29[[#This Row],[COD]]</f>
        <v/>
      </c>
      <c r="DC24" s="395">
        <f t="array" ref="DC24">IFERROR(IF(AND(INDEX($E$8:$CE$57, MATCH($C24, $C$8:$C$57, 0), (COLUMNS($DC24:DC24)-1)*5 + 1) = INDEX($E$5:$CE$5, 1, (COLUMNS($DC24:DC24)-1)*5 + 1), INDEX($E$8:$CE$57, MATCH($C24, $C$8:$C$57, 0), (COLUMNS($DC24:DC24)-1)*5 + 4) = "F"), INDEX($CZ$8:$CZ$23, COLUMNS($DC24:DC24)), "0"), "")</f>
        <v/>
      </c>
      <c r="DD24" s="395">
        <f t="array" ref="DD24">IFERROR(IF(AND(INDEX($E$8:$CE$57, MATCH($C24, $C$8:$C$57, 0), (COLUMNS($DC24:DD24)-1)*5 + 1) = INDEX($E$5:$CE$5, 1, (COLUMNS($DC24:DD24)-1)*5 + 1), INDEX($E$8:$CE$57, MATCH($C24, $C$8:$C$57, 0), (COLUMNS($DC24:DD24)-1)*5 + 4) = "F"), INDEX($CZ$8:$CZ$23, COLUMNS($DC24:DD24)), "0"), "")</f>
        <v/>
      </c>
      <c r="DE24" s="395">
        <f t="array" ref="DE24">IFERROR(IF(AND(INDEX($E$8:$CE$57, MATCH($C24, $C$8:$C$57, 0), (COLUMNS($DC24:DE24)-1)*5 + 1) = INDEX($E$5:$CE$5, 1, (COLUMNS($DC24:DE24)-1)*5 + 1), INDEX($E$8:$CE$57, MATCH($C24, $C$8:$C$57, 0), (COLUMNS($DC24:DE24)-1)*5 + 4) = "F"), INDEX($CZ$8:$CZ$23, COLUMNS($DC24:DE24)), "0"), "")</f>
        <v/>
      </c>
      <c r="DF24" s="395">
        <f t="array" ref="DF24">IFERROR(IF(AND(INDEX($E$8:$CE$57, MATCH($C24, $C$8:$C$57, 0), (COLUMNS($DC24:DF24)-1)*5 + 1) = INDEX($E$5:$CE$5, 1, (COLUMNS($DC24:DF24)-1)*5 + 1), INDEX($E$8:$CE$57, MATCH($C24, $C$8:$C$57, 0), (COLUMNS($DC24:DF24)-1)*5 + 4) = "F"), INDEX($CZ$8:$CZ$23, COLUMNS($DC24:DF24)), "0"), "")</f>
        <v/>
      </c>
      <c r="DG24" s="395">
        <f t="array" ref="DG24">IFERROR(IF(AND(INDEX($E$8:$CE$57, MATCH($C24, $C$8:$C$57, 0), (COLUMNS($DC24:DG24)-1)*5 + 1) = INDEX($E$5:$CE$5, 1, (COLUMNS($DC24:DG24)-1)*5 + 1), INDEX($E$8:$CE$57, MATCH($C24, $C$8:$C$57, 0), (COLUMNS($DC24:DG24)-1)*5 + 4) = "F"), INDEX($CZ$8:$CZ$23, COLUMNS($DC24:DG24)), "0"), "")</f>
        <v/>
      </c>
      <c r="DH24" s="395">
        <f t="array" ref="DH24">IFERROR(IF(AND(INDEX($E$8:$CE$57, MATCH($C24, $C$8:$C$57, 0), (COLUMNS($DC24:DH24)-1)*5 + 1) = INDEX($E$5:$CE$5, 1, (COLUMNS($DC24:DH24)-1)*5 + 1), INDEX($E$8:$CE$57, MATCH($C24, $C$8:$C$57, 0), (COLUMNS($DC24:DH24)-1)*5 + 4) = "F"), INDEX($CZ$8:$CZ$23, COLUMNS($DC24:DH24)), "0"), "")</f>
        <v/>
      </c>
      <c r="DI24" s="395">
        <f t="array" ref="DI24">IFERROR(IF(AND(INDEX($E$8:$CE$57, MATCH($C24, $C$8:$C$57, 0), (COLUMNS($DC24:DI24)-1)*5 + 1) = INDEX($E$5:$CE$5, 1, (COLUMNS($DC24:DI24)-1)*5 + 1), INDEX($E$8:$CE$57, MATCH($C24, $C$8:$C$57, 0), (COLUMNS($DC24:DI24)-1)*5 + 4) = "F"), INDEX($CZ$8:$CZ$23, COLUMNS($DC24:DI24)), "0"), "")</f>
        <v/>
      </c>
      <c r="DJ24" s="395">
        <f t="array" ref="DJ24">IFERROR(IF(AND(INDEX($E$8:$CE$57, MATCH($C24, $C$8:$C$57, 0), (COLUMNS($DC24:DJ24)-1)*5 + 1) = INDEX($E$5:$CE$5, 1, (COLUMNS($DC24:DJ24)-1)*5 + 1), INDEX($E$8:$CE$57, MATCH($C24, $C$8:$C$57, 0), (COLUMNS($DC24:DJ24)-1)*5 + 4) = "F"), INDEX($CZ$8:$CZ$23, COLUMNS($DC24:DJ24)), "0"), "")</f>
        <v/>
      </c>
      <c r="DK24" s="395">
        <f t="array" ref="DK24">IFERROR(IF(AND(INDEX($E$8:$CE$57, MATCH($C24, $C$8:$C$57, 0), (COLUMNS($DC24:DK24)-1)*5 + 1) = INDEX($E$5:$CE$5, 1, (COLUMNS($DC24:DK24)-1)*5 + 1), INDEX($E$8:$CE$57, MATCH($C24, $C$8:$C$57, 0), (COLUMNS($DC24:DK24)-1)*5 + 4) = "F"), INDEX($CZ$8:$CZ$23, COLUMNS($DC24:DK24)), "0"), "")</f>
        <v/>
      </c>
      <c r="DL24" s="395">
        <f t="array" ref="DL24">IFERROR(IF(AND(INDEX($E$8:$CE$57, MATCH($C24, $C$8:$C$57, 0), (COLUMNS($DC24:DL24)-1)*5 + 1) = INDEX($E$5:$CE$5, 1, (COLUMNS($DC24:DL24)-1)*5 + 1), INDEX($E$8:$CE$57, MATCH($C24, $C$8:$C$57, 0), (COLUMNS($DC24:DL24)-1)*5 + 4) = "F"), INDEX($CZ$8:$CZ$23, COLUMNS($DC24:DL24)), "0"), "")</f>
        <v/>
      </c>
      <c r="DM24" s="395">
        <f t="array" ref="DM24">IFERROR(IF(AND(INDEX($E$8:$CE$57, MATCH($C24, $C$8:$C$57, 0), (COLUMNS($DC24:DM24)-1)*5 + 1) = INDEX($E$5:$CE$5, 1, (COLUMNS($DC24:DM24)-1)*5 + 1), INDEX($E$8:$CE$57, MATCH($C24, $C$8:$C$57, 0), (COLUMNS($DC24:DM24)-1)*5 + 4) = "F"), INDEX($CZ$8:$CZ$23, COLUMNS($DC24:DM24)), "0"), "")</f>
        <v/>
      </c>
      <c r="DN24" s="395">
        <f t="array" ref="DN24">IFERROR(IF(AND(INDEX($E$8:$CE$57, MATCH($C24, $C$8:$C$57, 0), (COLUMNS($DC24:DN24)-1)*5 + 1) = INDEX($E$5:$CE$5, 1, (COLUMNS($DC24:DN24)-1)*5 + 1), INDEX($E$8:$CE$57, MATCH($C24, $C$8:$C$57, 0), (COLUMNS($DC24:DN24)-1)*5 + 4) = "F"), INDEX($CZ$8:$CZ$23, COLUMNS($DC24:DN24)), "0"), "")</f>
        <v/>
      </c>
      <c r="DO24" s="395">
        <f t="array" ref="DO24">IFERROR(IF(AND(INDEX($E$8:$CE$57, MATCH($C24, $C$8:$C$57, 0), (COLUMNS($DC24:DO24)-1)*5 + 1) = INDEX($E$5:$CE$5, 1, (COLUMNS($DC24:DO24)-1)*5 + 1), INDEX($E$8:$CE$57, MATCH($C24, $C$8:$C$57, 0), (COLUMNS($DC24:DO24)-1)*5 + 4) = "F"), INDEX($CZ$8:$CZ$23, COLUMNS($DC24:DO24)), "0"), "")</f>
        <v/>
      </c>
      <c r="DP24" s="395">
        <f t="array" ref="DP24">IFERROR(IF(AND(INDEX($E$8:$CE$57, MATCH($C24, $C$8:$C$57, 0), (COLUMNS($DC24:DP24)-1)*5 + 1) = INDEX($E$5:$CE$5, 1, (COLUMNS($DC24:DP24)-1)*5 + 1), INDEX($E$8:$CE$57, MATCH($C24, $C$8:$C$57, 0), (COLUMNS($DC24:DP24)-1)*5 + 4) = "F"), INDEX($CZ$8:$CZ$23, COLUMNS($DC24:DP24)), "0"), "")</f>
        <v/>
      </c>
      <c r="DQ24" s="395">
        <f t="array" ref="DQ24">IFERROR(IF(AND(INDEX($E$8:$CE$57, MATCH($C24, $C$8:$C$57, 0), (COLUMNS($DC24:DQ24)-1)*5 + 1) = INDEX($E$5:$CE$5, 1, (COLUMNS($DC24:DQ24)-1)*5 + 1), INDEX($E$8:$CE$57, MATCH($C24, $C$8:$C$57, 0), (COLUMNS($DC24:DQ24)-1)*5 + 4) = "F"), INDEX($CZ$8:$CZ$23, COLUMNS($DC24:DQ24)), "0"), "")</f>
        <v/>
      </c>
      <c r="DR24" s="395">
        <f t="array" ref="DR24">IFERROR(IF(AND(INDEX($E$8:$CE$57, MATCH($C24, $C$8:$C$57, 0), (COLUMNS($DC24:DR24)-1)*5 + 1) = INDEX($E$5:$CE$5, 1, (COLUMNS($DC24:DR24)-1)*5 + 1), INDEX($E$8:$CE$57, MATCH($C24, $C$8:$C$57, 0), (COLUMNS($DC24:DR24)-1)*5 + 4) = "F"), INDEX($CZ$8:$CZ$23, COLUMNS($DC24:DR24)), "0"), "")</f>
        <v/>
      </c>
      <c r="DT24" s="605">
        <f>SEMANA29[[#This Row],[COD]]</f>
        <v/>
      </c>
      <c r="DU24" s="395">
        <f t="array" ref="DU24">IFERROR(IF(AND(INDEX($E$8:$CE$57, MATCH($C24, $C$8:$C$57, 0), (COLUMNS($DU24:DU24)-1)*5 + 1) = INDEX($E$5:$CE$5, 1, (COLUMNS($DU24:DU24)-1)*5 + 1), INDEX($E$8:$CE$57, MATCH($C24, $C$8:$C$57, 0), (COLUMNS($DU24:DU24)-1)*5 + 4) = "SF"), INDEX($CZ$8:$CZ$23, COLUMNS($DU24:DU24)), "0"), "")</f>
        <v/>
      </c>
      <c r="DV24" s="395">
        <f t="array" ref="DV24">IFERROR(IF(AND(INDEX($E$8:$CE$57, MATCH($C24, $C$8:$C$57, 0), (COLUMNS($DU24:DV24)-1)*5 + 1) = INDEX($E$5:$CE$5, 1, (COLUMNS($DU24:DV24)-1)*5 + 1), INDEX($E$8:$CE$57, MATCH($C24, $C$8:$C$57, 0), (COLUMNS($DU24:DV24)-1)*5 + 4) = "SF"), INDEX($CZ$8:$CZ$23, COLUMNS($DU24:DV24)), "0"), "")</f>
        <v/>
      </c>
      <c r="DW24" s="395">
        <f t="array" ref="DW24">IFERROR(IF(AND(INDEX($E$8:$CE$57, MATCH($C24, $C$8:$C$57, 0), (COLUMNS($DU24:DW24)-1)*5 + 1) = INDEX($E$5:$CE$5, 1, (COLUMNS($DU24:DW24)-1)*5 + 1), INDEX($E$8:$CE$57, MATCH($C24, $C$8:$C$57, 0), (COLUMNS($DU24:DW24)-1)*5 + 4) = "SF"), INDEX($CZ$8:$CZ$23, COLUMNS($DU24:DW24)), "0"), "")</f>
        <v/>
      </c>
      <c r="DX24" s="395">
        <f t="array" ref="DX24">IFERROR(IF(AND(INDEX($E$8:$CE$57, MATCH($C24, $C$8:$C$57, 0), (COLUMNS($DU24:DX24)-1)*5 + 1) = INDEX($E$5:$CE$5, 1, (COLUMNS($DU24:DX24)-1)*5 + 1), INDEX($E$8:$CE$57, MATCH($C24, $C$8:$C$57, 0), (COLUMNS($DU24:DX24)-1)*5 + 4) = "SF"), INDEX($CZ$8:$CZ$23, COLUMNS($DU24:DX24)), "0"), "")</f>
        <v/>
      </c>
      <c r="DY24" s="395">
        <f t="array" ref="DY24">IFERROR(IF(AND(INDEX($E$8:$CE$57, MATCH($C24, $C$8:$C$57, 0), (COLUMNS($DU24:DY24)-1)*5 + 1) = INDEX($E$5:$CE$5, 1, (COLUMNS($DU24:DY24)-1)*5 + 1), INDEX($E$8:$CE$57, MATCH($C24, $C$8:$C$57, 0), (COLUMNS($DU24:DY24)-1)*5 + 4) = "SF"), INDEX($CZ$8:$CZ$23, COLUMNS($DU24:DY24)), "0"), "")</f>
        <v/>
      </c>
      <c r="DZ24" s="395">
        <f t="array" ref="DZ24">IFERROR(IF(AND(INDEX($E$8:$CE$57, MATCH($C24, $C$8:$C$57, 0), (COLUMNS($DU24:DZ24)-1)*5 + 1) = INDEX($E$5:$CE$5, 1, (COLUMNS($DU24:DZ24)-1)*5 + 1), INDEX($E$8:$CE$57, MATCH($C24, $C$8:$C$57, 0), (COLUMNS($DU24:DZ24)-1)*5 + 4) = "SF"), INDEX($CZ$8:$CZ$23, COLUMNS($DU24:DZ24)), "0"), "")</f>
        <v/>
      </c>
      <c r="EA24" s="395">
        <f t="array" ref="EA24">IFERROR(IF(AND(INDEX($E$8:$CE$57, MATCH($C24, $C$8:$C$57, 0), (COLUMNS($DU24:EA24)-1)*5 + 1) = INDEX($E$5:$CE$5, 1, (COLUMNS($DU24:EA24)-1)*5 + 1), INDEX($E$8:$CE$57, MATCH($C24, $C$8:$C$57, 0), (COLUMNS($DU24:EA24)-1)*5 + 4) = "SF"), INDEX($CZ$8:$CZ$23, COLUMNS($DU24:EA24)), "0"), "")</f>
        <v/>
      </c>
      <c r="EB24" s="395">
        <f t="array" ref="EB24">IFERROR(IF(AND(INDEX($E$8:$CE$57, MATCH($C24, $C$8:$C$57, 0), (COLUMNS($DU24:EB24)-1)*5 + 1) = INDEX($E$5:$CE$5, 1, (COLUMNS($DU24:EB24)-1)*5 + 1), INDEX($E$8:$CE$57, MATCH($C24, $C$8:$C$57, 0), (COLUMNS($DU24:EB24)-1)*5 + 4) = "SF"), INDEX($CZ$8:$CZ$23, COLUMNS($DU24:EB24)), "0"), "")</f>
        <v/>
      </c>
      <c r="EC24" s="395">
        <f t="array" ref="EC24">IFERROR(IF(AND(INDEX($E$8:$CE$57, MATCH($C24, $C$8:$C$57, 0), (COLUMNS($DU24:EC24)-1)*5 + 1) = INDEX($E$5:$CE$5, 1, (COLUMNS($DU24:EC24)-1)*5 + 1), INDEX($E$8:$CE$57, MATCH($C24, $C$8:$C$57, 0), (COLUMNS($DU24:EC24)-1)*5 + 4) = "SF"), INDEX($CZ$8:$CZ$23, COLUMNS($DU24:EC24)), "0"), "")</f>
        <v/>
      </c>
      <c r="ED24" s="395">
        <f t="array" ref="ED24">IFERROR(IF(AND(INDEX($E$8:$CE$57, MATCH($C24, $C$8:$C$57, 0), (COLUMNS($DU24:ED24)-1)*5 + 1) = INDEX($E$5:$CE$5, 1, (COLUMNS($DU24:ED24)-1)*5 + 1), INDEX($E$8:$CE$57, MATCH($C24, $C$8:$C$57, 0), (COLUMNS($DU24:ED24)-1)*5 + 4) = "SF"), INDEX($CZ$8:$CZ$23, COLUMNS($DU24:ED24)), "0"), "")</f>
        <v/>
      </c>
      <c r="EE24" s="395">
        <f t="array" ref="EE24">IFERROR(IF(AND(INDEX($E$8:$CE$57, MATCH($C24, $C$8:$C$57, 0), (COLUMNS($DU24:EE24)-1)*5 + 1) = INDEX($E$5:$CE$5, 1, (COLUMNS($DU24:EE24)-1)*5 + 1), INDEX($E$8:$CE$57, MATCH($C24, $C$8:$C$57, 0), (COLUMNS($DU24:EE24)-1)*5 + 4) = "SF"), INDEX($CZ$8:$CZ$23, COLUMNS($DU24:EE24)), "0"), "")</f>
        <v/>
      </c>
      <c r="EF24" s="395">
        <f t="array" ref="EF24">IFERROR(IF(AND(INDEX($E$8:$CE$57, MATCH($C24, $C$8:$C$57, 0), (COLUMNS($DU24:EF24)-1)*5 + 1) = INDEX($E$5:$CE$5, 1, (COLUMNS($DU24:EF24)-1)*5 + 1), INDEX($E$8:$CE$57, MATCH($C24, $C$8:$C$57, 0), (COLUMNS($DU24:EF24)-1)*5 + 4) = "SF"), INDEX($CZ$8:$CZ$23, COLUMNS($DU24:EF24)), "0"), "")</f>
        <v/>
      </c>
      <c r="EG24" s="395">
        <f t="array" ref="EG24">IFERROR(IF(AND(INDEX($E$8:$CE$57, MATCH($C24, $C$8:$C$57, 0), (COLUMNS($DU24:EG24)-1)*5 + 1) = INDEX($E$5:$CE$5, 1, (COLUMNS($DU24:EG24)-1)*5 + 1), INDEX($E$8:$CE$57, MATCH($C24, $C$8:$C$57, 0), (COLUMNS($DU24:EG24)-1)*5 + 4) = "SF"), INDEX($CZ$8:$CZ$23, COLUMNS($DU24:EG24)), "0"), "")</f>
        <v/>
      </c>
      <c r="EH24" s="395">
        <f t="array" ref="EH24">IFERROR(IF(AND(INDEX($E$8:$CE$57, MATCH($C24, $C$8:$C$57, 0), (COLUMNS($DU24:EH24)-1)*5 + 1) = INDEX($E$5:$CE$5, 1, (COLUMNS($DU24:EH24)-1)*5 + 1), INDEX($E$8:$CE$57, MATCH($C24, $C$8:$C$57, 0), (COLUMNS($DU24:EH24)-1)*5 + 4) = "SF"), INDEX($CZ$8:$CZ$23, COLUMNS($DU24:EH24)), "0"), "")</f>
        <v/>
      </c>
      <c r="EI24" s="395">
        <f t="array" ref="EI24">IFERROR(IF(AND(INDEX($E$8:$CE$57, MATCH($C24, $C$8:$C$57, 0), (COLUMNS($DU24:EI24)-1)*5 + 1) = INDEX($E$5:$CE$5, 1, (COLUMNS($DU24:EI24)-1)*5 + 1), INDEX($E$8:$CE$57, MATCH($C24, $C$8:$C$57, 0), (COLUMNS($DU24:EI24)-1)*5 + 4) = "SF"), INDEX($CZ$8:$CZ$23, COLUMNS($DU24:EI24)), "0"), "")</f>
        <v/>
      </c>
      <c r="EJ24" s="395">
        <f t="array" ref="EJ24">IFERROR(IF(AND(INDEX($E$8:$CE$57, MATCH($C24, $C$8:$C$57, 0), (COLUMNS($DU24:EJ24)-1)*5 + 1) = INDEX($E$5:$CE$5, 1, (COLUMNS($DU24:EJ24)-1)*5 + 1), INDEX($E$8:$CE$57, MATCH($C24, $C$8:$C$57, 0), (COLUMNS($DU24:EJ24)-1)*5 + 4) = "SF"), INDEX($CZ$8:$CZ$23, COLUMNS($DU24:EJ24)), "0"), "")</f>
        <v/>
      </c>
    </row>
    <row r="25" ht="20.1" customHeight="1" s="568">
      <c r="A25" s="576" t="n"/>
      <c r="B25" s="449">
        <f>IF(SEMANA29[[#This Row],[COD]]&lt;&gt;"",B24+1,"")</f>
        <v/>
      </c>
      <c r="C25" s="622" t="inlineStr">
        <is>
          <t>COD 18</t>
        </is>
      </c>
      <c r="D25" s="415">
        <f t="array" ref="D25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5" s="416" t="n"/>
      <c r="F25" s="417" t="n"/>
      <c r="G25" s="417" t="n"/>
      <c r="H25" s="417" t="n"/>
      <c r="I25" s="602">
        <f>SUM(IF(E25=E$5,4,0),IF(E25&amp;F25=E$5&amp;F$5,1,0),
IF(AND(E25=E$5,F$6&gt;=$D$115),1,0),
IF(AND(F25=E$5,F$6&gt;=$D$115),1,0),
IF(AND(G25=E$5,F$6&gt;=$D$115),1,0),
IF(E25&amp;H25=I$5,1,0),
IF(F25=E$5,2,0),
IF(G25=E$5,1,0),
IF(OR(E25&amp;F25&amp;G25=E$5&amp;F$5&amp;G$5,E25&amp;F25&amp;G25=E$5&amp;G$5&amp;F$5,E25&amp;F25&amp;G25=F$5&amp;E$5&amp;G$5,E25&amp;F25&amp;G25=F$5&amp;G$5&amp;E$5,E25&amp;F25&amp;G25=G$5&amp;E$5&amp;F$5,E25&amp;F25&amp;G25=G$5&amp;F$5&amp;E$5),2,0),IF(AND(E25=E$5,F$6&gt;=$D$129),1,0),IF(AND(F25=E$5,F$6&gt;=$D$129),1,0),IF(AND(G25=E$5,F$6&gt;=$D$129),1,0),IF(E25&amp;H25=H$5,4,0),IF(AND(E25=E$5,F$6&lt;=$D$104),-0.5,0),IF(AND(F25=E$5,F$6&lt;=$D$104),-0.5,0),IF(AND(G25=E$5,F$6&lt;=$D$104),-0.5,0))</f>
        <v/>
      </c>
      <c r="J25" s="416" t="n"/>
      <c r="K25" s="417" t="n"/>
      <c r="L25" s="417" t="n"/>
      <c r="M25" s="417" t="n"/>
      <c r="N25" s="602">
        <f>SUM(IF(J25=J$5,4,0),IF(J25&amp;K25=J$5&amp;K$5,1,0),
IF(AND(J25=J$5,K$6&gt;=$D$115),1,0),
IF(AND(K25=J$5,K$6&gt;=$D$115),1,0),
IF(AND(L25=J$5,K$6&gt;=$D$115),1,0),
IF(J25&amp;M25=N$5,1,0),
IF(K25=J$5,2,0),
IF(L25=J$5,1,0),
IF(OR(J25&amp;K25&amp;L25=J$5&amp;K$5&amp;L$5,J25&amp;K25&amp;L25=J$5&amp;L$5&amp;K$5,J25&amp;K25&amp;L25=K$5&amp;J$5&amp;L$5,J25&amp;K25&amp;L25=K$5&amp;L$5&amp;J$5,J25&amp;K25&amp;L25=L$5&amp;J$5&amp;K$5,J25&amp;K25&amp;L25=L$5&amp;K$5&amp;J$5),2,0),IF(AND(J25=J$5,K$6&gt;=$D$129),1,0),IF(AND(K25=J$5,K$6&gt;=$D$129),1,0),IF(AND(L25=J$5,K$6&gt;=$D$129),1,0),IF(J25&amp;M25=M$5,4,0),IF(AND(J25=J$5,K$6&lt;=$D$104),-0.5,0),IF(AND(K25=J$5,K$6&lt;=$D$104),-0.5,0),IF(AND(L25=J$5,K$6&lt;=$D$104),-0.5,0))</f>
        <v/>
      </c>
      <c r="O25" s="416" t="n"/>
      <c r="P25" s="417" t="n"/>
      <c r="Q25" s="417" t="n"/>
      <c r="R25" s="417" t="n"/>
      <c r="S25" s="602">
        <f>SUM(IF(O25=O$5,4,0),IF(O25&amp;P25=O$5&amp;P$5,1,0),
IF(AND(O25=O$5,P$6&gt;=$D$115),1,0),
IF(AND(P25=O$5,P$6&gt;=$D$115),1,0),
IF(AND(Q25=O$5,P$6&gt;=$D$115),1,0),
IF(O25&amp;R25=S$5,1,0),
IF(P25=O$5,2,0),
IF(Q25=O$5,1,0),
IF(OR(O25&amp;P25&amp;Q25=O$5&amp;P$5&amp;Q$5,O25&amp;P25&amp;Q25=O$5&amp;Q$5&amp;P$5,O25&amp;P25&amp;Q25=P$5&amp;O$5&amp;Q$5,O25&amp;P25&amp;Q25=P$5&amp;Q$5&amp;O$5,O25&amp;P25&amp;Q25=Q$5&amp;O$5&amp;P$5,O25&amp;P25&amp;Q25=Q$5&amp;P$5&amp;O$5),2,0),IF(AND(O25=O$5,P$6&gt;=$D$129),1,0),IF(AND(P25=O$5,P$6&gt;=$D$129),1,0),IF(AND(Q25=O$5,P$6&gt;=$D$129),1,0),IF(O25&amp;R25=R$5,4,0),IF(AND(O25=O$5,P$6&lt;=$D$104),-0.5,0),IF(AND(P25=O$5,P$6&lt;=$D$104),-0.5,0),IF(AND(Q25=O$5,P$6&lt;=$D$104),-0.5,0))</f>
        <v/>
      </c>
      <c r="T25" s="416" t="n"/>
      <c r="U25" s="417" t="n"/>
      <c r="V25" s="417" t="n"/>
      <c r="W25" s="417" t="n"/>
      <c r="X25" s="602">
        <f>SUM(IF(T25=T$5,4,0),IF(T25&amp;U25=T$5&amp;U$5,1,0),
IF(AND(T25=T$5,U$6&gt;=$D$115),1,0),
IF(AND(U25=T$5,U$6&gt;=$D$115),1,0),
IF(AND(V25=T$5,U$6&gt;=$D$115),1,0),
IF(T25&amp;W25=X$5,1,0),
IF(U25=T$5,2,0),
IF(V25=T$5,1,0),
IF(OR(T25&amp;U25&amp;V25=T$5&amp;U$5&amp;V$5,T25&amp;U25&amp;V25=T$5&amp;V$5&amp;U$5,T25&amp;U25&amp;V25=U$5&amp;T$5&amp;V$5,T25&amp;U25&amp;V25=U$5&amp;V$5&amp;T$5,T25&amp;U25&amp;V25=V$5&amp;T$5&amp;U$5,T25&amp;U25&amp;V25=V$5&amp;U$5&amp;T$5),2,0),IF(AND(T25=T$5,U$6&gt;=$D$129),1,0),IF(AND(U25=T$5,U$6&gt;=$D$129),1,0),IF(AND(V25=T$5,U$6&gt;=$D$129),1,0),IF(T25&amp;W25=W$5,4,0),IF(AND(T25=T$5,U$6&lt;=$D$104),-0.5,0),IF(AND(U25=T$5,U$6&lt;=$D$104),-0.5,0),IF(AND(V25=T$5,U$6&lt;=$D$104),-0.5,0))</f>
        <v/>
      </c>
      <c r="Y25" s="416" t="n"/>
      <c r="Z25" s="417" t="n"/>
      <c r="AA25" s="417" t="n"/>
      <c r="AB25" s="417" t="n"/>
      <c r="AC25" s="602">
        <f>SUM(IF(Y25=Y$5,4,0),IF(Y25&amp;Z25=Y$5&amp;Z$5,1,0),
IF(AND(Y25=Y$5,Z$6&gt;=$D$115),1,0),
IF(AND(Z25=Y$5,Z$6&gt;=$D$115),1,0),
IF(AND(AA25=Y$5,Z$6&gt;=$D$115),1,0),
IF(Y25&amp;AB25=AC$5,1,0),
IF(Z25=Y$5,2,0),
IF(AA25=Y$5,1,0),
IF(OR(Y25&amp;Z25&amp;AA25=Y$5&amp;Z$5&amp;AA$5,Y25&amp;Z25&amp;AA25=Y$5&amp;AA$5&amp;Z$5,Y25&amp;Z25&amp;AA25=Z$5&amp;Y$5&amp;AA$5,Y25&amp;Z25&amp;AA25=Z$5&amp;AA$5&amp;Y$5,Y25&amp;Z25&amp;AA25=AA$5&amp;Y$5&amp;Z$5,Y25&amp;Z25&amp;AA25=AA$5&amp;Z$5&amp;Y$5),2,0),IF(AND(Y25=Y$5,Z$6&gt;=$D$129),1,0),IF(AND(Z25=Y$5,Z$6&gt;=$D$129),1,0),IF(AND(AA25=Y$5,Z$6&gt;=$D$129),1,0),IF(Y25&amp;AB25=AB$5,4,0),IF(AND(Y25=Y$5,Z$6&lt;=$D$104),-0.5,0),IF(AND(Z25=Y$5,Z$6&lt;=$D$104),-0.5,0),IF(AND(AA25=Y$5,Z$6&lt;=$D$104),-0.5,0))</f>
        <v/>
      </c>
      <c r="AD25" s="416" t="n"/>
      <c r="AE25" s="417" t="n"/>
      <c r="AF25" s="417" t="n"/>
      <c r="AG25" s="417" t="n"/>
      <c r="AH25" s="602">
        <f>SUM(IF(AD25=AD$5,4,0),IF(AD25&amp;AE25=AD$5&amp;AE$5,1,0),
IF(AND(AD25=AD$5,AE$6&gt;=$D$115),1,0),
IF(AND(AE25=AD$5,AE$6&gt;=$D$115),1,0),
IF(AND(AF25=AD$5,AE$6&gt;=$D$115),1,0),
IF(AD25&amp;AG25=AH$5,1,0),
IF(AE25=AD$5,2,0),
IF(AF25=AD$5,1,0),
IF(OR(AD25&amp;AE25&amp;AF25=AD$5&amp;AE$5&amp;AF$5,AD25&amp;AE25&amp;AF25=AD$5&amp;AF$5&amp;AE$5,AD25&amp;AE25&amp;AF25=AE$5&amp;AD$5&amp;AF$5,AD25&amp;AE25&amp;AF25=AE$5&amp;AF$5&amp;AD$5,AD25&amp;AE25&amp;AF25=AF$5&amp;AD$5&amp;AE$5,AD25&amp;AE25&amp;AF25=AF$5&amp;AE$5&amp;AD$5),2,0),IF(AND(AD25=AD$5,AE$6&gt;=$D$129),1,0),IF(AND(AE25=AD$5,AE$6&gt;=$D$129),1,0),IF(AND(AF25=AD$5,AE$6&gt;=$D$129),1,0),IF(AD25&amp;AG25=AG$5,4,0),IF(AND(AD25=AD$5,AE$6&lt;=$D$104),-0.5,0),IF(AND(AE25=AD$5,AE$6&lt;=$D$104),-0.5,0),IF(AND(AF25=AD$5,AE$6&lt;=$D$104),-0.5,0))</f>
        <v/>
      </c>
      <c r="AI25" s="416" t="n"/>
      <c r="AJ25" s="417" t="n"/>
      <c r="AK25" s="417" t="n"/>
      <c r="AL25" s="417" t="n"/>
      <c r="AM25" s="602">
        <f>SUM(IF(AI25=AI$5,4,0),IF(AI25&amp;AJ25=AI$5&amp;AJ$5,1,0),
IF(AND(AI25=AI$5,AJ$6&gt;=$D$115),1,0),
IF(AND(AJ25=AI$5,AJ$6&gt;=$D$115),1,0),
IF(AND(AK25=AI$5,AJ$6&gt;=$D$115),1,0),
IF(AI25&amp;AL25=AM$5,1,0),
IF(AJ25=AI$5,2,0),
IF(AK25=AI$5,1,0),
IF(OR(AI25&amp;AJ25&amp;AK25=AI$5&amp;AJ$5&amp;AK$5,AI25&amp;AJ25&amp;AK25=AI$5&amp;AK$5&amp;AJ$5,AI25&amp;AJ25&amp;AK25=AJ$5&amp;AI$5&amp;AK$5,AI25&amp;AJ25&amp;AK25=AJ$5&amp;AK$5&amp;AI$5,AI25&amp;AJ25&amp;AK25=AK$5&amp;AI$5&amp;AJ$5,AI25&amp;AJ25&amp;AK25=AK$5&amp;AJ$5&amp;AI$5),2,0),IF(AND(AI25=AI$5,AJ$6&gt;=$D$129),1,0),IF(AND(AJ25=AI$5,AJ$6&gt;=$D$129),1,0),IF(AND(AK25=AI$5,AJ$6&gt;=$D$129),1,0),IF(AI25&amp;AL25=AL$5,4,0),IF(AND(AI25=AI$5,AJ$6&lt;=$D$104),-0.5,0),IF(AND(AJ25=AI$5,AJ$6&lt;=$D$104),-0.5,0),IF(AND(AK25=AI$5,AJ$6&lt;=$D$104),-0.5,0))</f>
        <v/>
      </c>
      <c r="AN25" s="416" t="n"/>
      <c r="AO25" s="417" t="n"/>
      <c r="AP25" s="417" t="n"/>
      <c r="AQ25" s="417" t="n"/>
      <c r="AR25" s="602">
        <f>SUM(IF(AN25=AN$5,4,0),IF(AN25&amp;AO25=AN$5&amp;AO$5,1,0),
IF(AND(AN25=AN$5,AO$6&gt;=$D$115),1,0),
IF(AND(AO25=AN$5,AO$6&gt;=$D$115),1,0),
IF(AND(AP25=AN$5,AO$6&gt;=$D$115),1,0),
IF(AN25&amp;AQ25=AR$5,1,0),
IF(AO25=AN$5,2,0),
IF(AP25=AN$5,1,0),
IF(OR(AN25&amp;AO25&amp;AP25=AN$5&amp;AO$5&amp;AP$5,AN25&amp;AO25&amp;AP25=AN$5&amp;AP$5&amp;AO$5,AN25&amp;AO25&amp;AP25=AO$5&amp;AN$5&amp;AP$5,AN25&amp;AO25&amp;AP25=AO$5&amp;AP$5&amp;AN$5,AN25&amp;AO25&amp;AP25=AP$5&amp;AN$5&amp;AO$5,AN25&amp;AO25&amp;AP25=AP$5&amp;AO$5&amp;AN$5),2,0),IF(AND(AN25=AN$5,AO$6&gt;=$D$129),1,0),IF(AND(AO25=AN$5,AO$6&gt;=$D$129),1,0),IF(AND(AP25=AN$5,AO$6&gt;=$D$129),1,0),IF(AN25&amp;AQ25=AQ$5,4,0),IF(AND(AN25=AN$5,AO$6&lt;=$D$104),-0.5,0),IF(AND(AO25=AN$5,AO$6&lt;=$D$104),-0.5,0),IF(AND(AP25=AN$5,AO$6&lt;=$D$104),-0.5,0))</f>
        <v/>
      </c>
      <c r="AS25" s="416" t="n"/>
      <c r="AT25" s="417" t="n"/>
      <c r="AU25" s="417" t="n"/>
      <c r="AV25" s="417" t="n"/>
      <c r="AW25" s="602">
        <f>SUM(IF(AS25=AS$5,4,0),IF(AS25&amp;AT25=AS$5&amp;AT$5,1,0),
IF(AND(AS25=AS$5,AT$6&gt;=$D$115),1,0),
IF(AND(AT25=AS$5,AT$6&gt;=$D$115),1,0),
IF(AND(AU25=AS$5,AT$6&gt;=$D$115),1,0),
IF(AS25&amp;AV25=AW$5,1,0),
IF(AT25=AS$5,2,0),
IF(AU25=AS$5,1,0),
IF(OR(AS25&amp;AT25&amp;AU25=AS$5&amp;AT$5&amp;AU$5,AS25&amp;AT25&amp;AU25=AS$5&amp;AU$5&amp;AT$5,AS25&amp;AT25&amp;AU25=AT$5&amp;AS$5&amp;AU$5,AS25&amp;AT25&amp;AU25=AT$5&amp;AU$5&amp;AS$5,AS25&amp;AT25&amp;AU25=AU$5&amp;AS$5&amp;AT$5,AS25&amp;AT25&amp;AU25=AU$5&amp;AT$5&amp;AS$5),2,0),IF(AND(AS25=AS$5,AT$6&gt;=$D$129),1,0),IF(AND(AT25=AS$5,AT$6&gt;=$D$129),1,0),IF(AND(AU25=AS$5,AT$6&gt;=$D$129),1,0),IF(AS25&amp;AV25=AV$5,4,0),IF(AND(AS25=AS$5,AT$6&lt;=$D$104),-0.5,0),IF(AND(AT25=AS$5,AT$6&lt;=$D$104),-0.5,0),IF(AND(AU25=AS$5,AT$6&lt;=$D$104),-0.5,0))</f>
        <v/>
      </c>
      <c r="AX25" s="416" t="n"/>
      <c r="AY25" s="417" t="n"/>
      <c r="AZ25" s="417" t="n"/>
      <c r="BA25" s="417" t="n"/>
      <c r="BB25" s="602">
        <f>SUM(IF(AX25=AX$5,4,0),IF(AX25&amp;AY25=AX$5&amp;AY$5,1,0),
IF(AND(AX25=AX$5,AY$6&gt;=$D$115),1,0),
IF(AND(AY25=AX$5,AY$6&gt;=$D$115),1,0),
IF(AND(AZ25=AX$5,AY$6&gt;=$D$115),1,0),
IF(AX25&amp;BA25=BB$5,1,0),
IF(AY25=AX$5,2,0),
IF(AZ25=AX$5,1,0),
IF(OR(AX25&amp;AY25&amp;AZ25=AX$5&amp;AY$5&amp;AZ$5,AX25&amp;AY25&amp;AZ25=AX$5&amp;AZ$5&amp;AY$5,AX25&amp;AY25&amp;AZ25=AY$5&amp;AX$5&amp;AZ$5,AX25&amp;AY25&amp;AZ25=AY$5&amp;AZ$5&amp;AX$5,AX25&amp;AY25&amp;AZ25=AZ$5&amp;AX$5&amp;AY$5,AX25&amp;AY25&amp;AZ25=AZ$5&amp;AY$5&amp;AX$5),2,0),IF(AND(AX25=AX$5,AY$6&gt;=$D$129),1,0),IF(AND(AY25=AX$5,AY$6&gt;=$D$129),1,0),IF(AND(AZ25=AX$5,AY$6&gt;=$D$129),1,0),IF(AX25&amp;BA25=BA$5,4,0),IF(AND(AX25=AX$5,AY$6&lt;=$D$104),-0.5,0),IF(AND(AY25=AX$5,AY$6&lt;=$D$104),-0.5,0),IF(AND(AZ25=AX$5,AY$6&lt;=$D$104),-0.5,0))</f>
        <v/>
      </c>
      <c r="BC25" s="416" t="n"/>
      <c r="BD25" s="417" t="n"/>
      <c r="BE25" s="417" t="n"/>
      <c r="BF25" s="417" t="n"/>
      <c r="BG25" s="602">
        <f>SUM(IF(BC25=BC$5,4,0),IF(BC25&amp;BD25=BC$5&amp;BD$5,1,0),
IF(AND(BC25=BC$5,BD$6&gt;=$D$115),1,0),
IF(AND(BD25=BC$5,BD$6&gt;=$D$115),1,0),
IF(AND(BE25=BC$5,BD$6&gt;=$D$115),1,0),
IF(BC25&amp;BF25=BG$5,1,0),
IF(BD25=BC$5,2,0),
IF(BE25=BC$5,1,0),
IF(OR(BC25&amp;BD25&amp;BE25=BC$5&amp;BD$5&amp;BE$5,BC25&amp;BD25&amp;BE25=BC$5&amp;BE$5&amp;BD$5,BC25&amp;BD25&amp;BE25=BD$5&amp;BC$5&amp;BE$5,BC25&amp;BD25&amp;BE25=BD$5&amp;BE$5&amp;BC$5,BC25&amp;BD25&amp;BE25=BE$5&amp;BC$5&amp;BD$5,BC25&amp;BD25&amp;BE25=BE$5&amp;BD$5&amp;BC$5),2,0),IF(AND(BC25=BC$5,BD$6&gt;=$D$129),1,0),IF(AND(BD25=BC$5,BD$6&gt;=$D$129),1,0),IF(AND(BE25=BC$5,BD$6&gt;=$D$129),1,0),IF(BC25&amp;BF25=BF$5,4,0),IF(AND(BC25=BC$5,BD$6&lt;=$D$104),-0.5,0),IF(AND(BD25=BC$5,BD$6&lt;=$D$104),-0.5,0),IF(AND(BE25=BC$5,BD$6&lt;=$D$104),-0.5,0))</f>
        <v/>
      </c>
      <c r="BH25" s="416" t="n"/>
      <c r="BI25" s="417" t="n"/>
      <c r="BJ25" s="417" t="n"/>
      <c r="BK25" s="417" t="n"/>
      <c r="BL25" s="602">
        <f>SUM(IF(BH25=BH$5,4,0),IF(BH25&amp;BI25=BH$5&amp;BI$5,1,0),
IF(AND(BH25=BH$5,BI$6&gt;=$D$115),1,0),
IF(AND(BI25=BH$5,BI$6&gt;=$D$115),1,0),
IF(AND(BJ25=BH$5,BI$6&gt;=$D$115),1,0),
IF(BH25&amp;BK25=BL$5,1,0),
IF(BI25=BH$5,2,0),
IF(BJ25=BH$5,1,0),
IF(OR(BH25&amp;BI25&amp;BJ25=BH$5&amp;BI$5&amp;BJ$5,BH25&amp;BI25&amp;BJ25=BH$5&amp;BJ$5&amp;BI$5,BH25&amp;BI25&amp;BJ25=BI$5&amp;BH$5&amp;BJ$5,BH25&amp;BI25&amp;BJ25=BI$5&amp;BJ$5&amp;BH$5,BH25&amp;BI25&amp;BJ25=BJ$5&amp;BH$5&amp;BI$5,BH25&amp;BI25&amp;BJ25=BJ$5&amp;BI$5&amp;BH$5),2,0),IF(AND(BH25=BH$5,BI$6&gt;=$D$129),1,0),IF(AND(BI25=BH$5,BI$6&gt;=$D$129),1,0),IF(AND(BJ25=BH$5,BI$6&gt;=$D$129),1,0),IF(BH25&amp;BK25=BK$5,4,0),IF(AND(BH25=BH$5,BI$6&lt;=$D$104),-0.5,0),IF(AND(BI25=BH$5,BI$6&lt;=$D$104),-0.5,0),IF(AND(BJ25=BH$5,BI$6&lt;=$D$104),-0.5,0))</f>
        <v/>
      </c>
      <c r="BM25" s="416" t="n"/>
      <c r="BN25" s="417" t="n"/>
      <c r="BO25" s="417" t="n"/>
      <c r="BP25" s="417" t="n"/>
      <c r="BQ25" s="602">
        <f>SUM(IF(BM25=BM$5,4,0),IF(BM25&amp;BN25=BM$5&amp;BN$5,1,0),
IF(AND(BM25=BM$5,BN$6&gt;=$D$115),1,0),
IF(AND(BN25=BM$5,BN$6&gt;=$D$115),1,0),
IF(AND(BO25=BM$5,BN$6&gt;=$D$115),1,0),
IF(BM25&amp;BP25=BQ$5,1,0),
IF(BN25=BM$5,2,0),
IF(BO25=BM$5,1,0),
IF(OR(BM25&amp;BN25&amp;BO25=BM$5&amp;BN$5&amp;BO$5,BM25&amp;BN25&amp;BO25=BM$5&amp;BO$5&amp;BN$5,BM25&amp;BN25&amp;BO25=BN$5&amp;BM$5&amp;BO$5,BM25&amp;BN25&amp;BO25=BN$5&amp;BO$5&amp;BM$5,BM25&amp;BN25&amp;BO25=BO$5&amp;BM$5&amp;BN$5,BM25&amp;BN25&amp;BO25=BO$5&amp;BN$5&amp;BM$5),2,0),IF(AND(BM25=BM$5,BN$6&gt;=$D$129),1,0),IF(AND(BN25=BM$5,BN$6&gt;=$D$129),1,0),IF(AND(BO25=BM$5,BN$6&gt;=$D$129),1,0),IF(BM25&amp;BP25=BP$5,4,0),IF(AND(BM25=BM$5,BN$6&lt;=$D$104),-0.5,0),IF(AND(BN25=BM$5,BN$6&lt;=$D$104),-0.5,0),IF(AND(BO25=BM$5,BN$6&lt;=$D$104),-0.5,0))</f>
        <v/>
      </c>
      <c r="BR25" s="416" t="n"/>
      <c r="BS25" s="417" t="n"/>
      <c r="BT25" s="417" t="n"/>
      <c r="BU25" s="417" t="n"/>
      <c r="BV25" s="602">
        <f>SUM(IF(BR25=BR$5,4,0),IF(BR25&amp;BS25=BR$5&amp;BS$5,1,0),
IF(AND(BR25=BR$5,BS$6&gt;=$D$115),1,0),
IF(AND(BS25=BR$5,BS$6&gt;=$D$115),1,0),
IF(AND(BT25=BR$5,BS$6&gt;=$D$115),1,0),
IF(BR25&amp;BU25=BV$5,1,0),
IF(BS25=BR$5,2,0),
IF(BT25=BR$5,1,0),
IF(OR(BR25&amp;BS25&amp;BT25=BR$5&amp;BS$5&amp;BT$5,BR25&amp;BS25&amp;BT25=BR$5&amp;BT$5&amp;BS$5,BR25&amp;BS25&amp;BT25=BS$5&amp;BR$5&amp;BT$5,BR25&amp;BS25&amp;BT25=BS$5&amp;BT$5&amp;BR$5,BR25&amp;BS25&amp;BT25=BT$5&amp;BR$5&amp;BS$5,BR25&amp;BS25&amp;BT25=BT$5&amp;BS$5&amp;BR$5),2,0),IF(AND(BR25=BR$5,BS$6&gt;=$D$129),1,0),IF(AND(BS25=BR$5,BS$6&gt;=$D$129),1,0),IF(AND(BT25=BR$5,BS$6&gt;=$D$129),1,0),IF(BR25&amp;BU25=BU$5,4,0),IF(AND(BR25=BR$5,BS$6&lt;=$D$104),-0.5,0),IF(AND(BS25=BR$5,BS$6&lt;=$D$104),-0.5,0),IF(AND(BT25=BR$5,BS$6&lt;=$D$104),-0.5,0))</f>
        <v/>
      </c>
      <c r="BW25" s="416" t="n"/>
      <c r="BX25" s="417" t="n"/>
      <c r="BY25" s="417" t="n"/>
      <c r="BZ25" s="417" t="n"/>
      <c r="CA25" s="602">
        <f>SUM(IF(BW25=BW$5,4,0),IF(BW25&amp;BX25=BW$5&amp;BX$5,1,0),
IF(AND(BW25=BW$5,BX$6&gt;=$D$115),1,0),
IF(AND(BX25=BW$5,BX$6&gt;=$D$115),1,0),
IF(AND(BY25=BW$5,BX$6&gt;=$D$115),1,0),
IF(BW25&amp;BZ25=CA$5,1,0),
IF(BX25=BW$5,2,0),
IF(BY25=BW$5,1,0),
IF(OR(BW25&amp;BX25&amp;BY25=BW$5&amp;BX$5&amp;BY$5,BW25&amp;BX25&amp;BY25=BW$5&amp;BY$5&amp;BX$5,BW25&amp;BX25&amp;BY25=BX$5&amp;BW$5&amp;BY$5,BW25&amp;BX25&amp;BY25=BX$5&amp;BY$5&amp;BW$5,BW25&amp;BX25&amp;BY25=BY$5&amp;BW$5&amp;BX$5,BW25&amp;BX25&amp;BY25=BY$5&amp;BX$5&amp;BW$5),2,0),IF(AND(BW25=BW$5,BX$6&gt;=$D$129),1,0),IF(AND(BX25=BW$5,BX$6&gt;=$D$129),1,0),IF(AND(BY25=BW$5,BX$6&gt;=$D$129),1,0),IF(BW25&amp;BZ25=BZ$5,4,0),IF(AND(BW25=BW$5,BX$6&lt;=$D$104),-0.5,0),IF(AND(BX25=BW$5,BX$6&lt;=$D$104),-0.5,0),IF(AND(BY25=BW$5,BX$6&lt;=$D$104),-0.5,0))</f>
        <v/>
      </c>
      <c r="CB25" s="416" t="n"/>
      <c r="CC25" s="417" t="n"/>
      <c r="CD25" s="417" t="n"/>
      <c r="CE25" s="417" t="n"/>
      <c r="CF25" s="602">
        <f>SUM(IF(CB25=CB$5,4,0),IF(CB25&amp;CC25=CB$5&amp;CC$5,1,0),
IF(AND(CB25=CB$5,CC$6&gt;=$D$115),1,0),
IF(AND(CC25=CB$5,CC$6&gt;=$D$115),1,0),
IF(AND(CD25=CB$5,CC$6&gt;=$D$115),1,0),
IF(CB25&amp;CE25=CF$5,1,0),
IF(CC25=CB$5,2,0),
IF(CD25=CB$5,1,0),
IF(OR(CB25&amp;CC25&amp;CD25=CB$5&amp;CC$5&amp;CD$5,CB25&amp;CC25&amp;CD25=CB$5&amp;CD$5&amp;CC$5,CB25&amp;CC25&amp;CD25=CC$5&amp;CB$5&amp;CD$5,CB25&amp;CC25&amp;CD25=CC$5&amp;CD$5&amp;CB$5,CB25&amp;CC25&amp;CD25=CD$5&amp;CB$5&amp;CC$5,CB25&amp;CC25&amp;CD25=CD$5&amp;CC$5&amp;CB$5),2,0),IF(AND(CB25=CB$5,CC$6&gt;=$D$129),1,0),IF(AND(CC25=CB$5,CC$6&gt;=$D$129),1,0),IF(AND(CD25=CB$5,CC$6&gt;=$D$129),1,0),IF(CB25&amp;CE25=CE$5,4,0),IF(AND(CB25=CB$5,CC$6&lt;=$D$104),-0.5,0),IF(AND(CC25=CB$5,CC$6&lt;=$D$104),-0.5,0),IF(AND(CD25=CB$5,CC$6&lt;=$D$104),-0.5,0))</f>
        <v/>
      </c>
      <c r="CG25" s="164">
        <f>IF(SEMANA29[[#This Row],[1]]="",0,$B$4)</f>
        <v/>
      </c>
      <c r="CH25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5" s="166">
        <f>IF(SEMANA29[[#This Row],[Columna14]]=0,0,(CH25/CG25))</f>
        <v/>
      </c>
      <c r="CJ25" s="165">
        <f>IF(SEMANA29[[#This Row],[1]]="",0,$B$4)</f>
        <v/>
      </c>
      <c r="CK25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5" s="166">
        <f>IF(SEMANA29[[#This Row],[Columna14]]=0,0,(CK25/CJ25))</f>
        <v/>
      </c>
      <c r="CM25" s="164">
        <f>IF(SEMANA29[[#This Row],[1]]="",0,$B$4)</f>
        <v/>
      </c>
      <c r="CN25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5" s="166">
        <f>IF(SEMANA29[[#This Row],[Columna14]]=0,0,(CN25/CM25))</f>
        <v/>
      </c>
      <c r="CP25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5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Row],[Columna25]],$AX$5,BA25,"SF")+COUNTIFS(SEMANA29[[#This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5" s="166">
        <f>IFERROR(IF(SEMANA29[[#This Row],[Columna14]]=0,0,(CQ25/CP25)),0)</f>
        <v/>
      </c>
      <c r="CS25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5" s="95">
        <f>_xlfn.XLOOKUP(SEMANA29[[#This Row],[COD]],SEMANA2[COD],SEMANA2[Columna33])</f>
        <v/>
      </c>
      <c r="CU25" s="604">
        <f>SUM(CS25,CT25)</f>
        <v/>
      </c>
      <c r="CV25" s="450">
        <f>IF(SEMANA29[[#This Row],[TIPO]]="PREMIO",$O$3,"0,00")</f>
        <v/>
      </c>
      <c r="CW25" s="576" t="n"/>
      <c r="CY25" s="393" t="inlineStr">
        <is>
          <t>CARRERA</t>
        </is>
      </c>
      <c r="CZ25" s="393">
        <f>_xlfn.XLOOKUP(CZ24,DIV_GAN_SEM_211[DIVIDENDO],DIV_GAN_SEM_211[CARRERA],"")</f>
        <v/>
      </c>
      <c r="DA25" s="392">
        <f t="array" ref="DA25">INDEX(E5:CB5, 1, ($CZ$25-1)*5 + 1)</f>
        <v/>
      </c>
      <c r="DB25" s="605">
        <f>SEMANA29[[#This Row],[COD]]</f>
        <v/>
      </c>
      <c r="DC25" s="395">
        <f t="array" ref="DC25">IFERROR(IF(AND(INDEX($E$8:$CE$57, MATCH($C25, $C$8:$C$57, 0), (COLUMNS($DC25:DC25)-1)*5 + 1) = INDEX($E$5:$CE$5, 1, (COLUMNS($DC25:DC25)-1)*5 + 1), INDEX($E$8:$CE$57, MATCH($C25, $C$8:$C$57, 0), (COLUMNS($DC25:DC25)-1)*5 + 4) = "F"), INDEX($CZ$8:$CZ$23, COLUMNS($DC25:DC25)), "0"), "")</f>
        <v/>
      </c>
      <c r="DD25" s="395">
        <f t="array" ref="DD25">IFERROR(IF(AND(INDEX($E$8:$CE$57, MATCH($C25, $C$8:$C$57, 0), (COLUMNS($DC25:DD25)-1)*5 + 1) = INDEX($E$5:$CE$5, 1, (COLUMNS($DC25:DD25)-1)*5 + 1), INDEX($E$8:$CE$57, MATCH($C25, $C$8:$C$57, 0), (COLUMNS($DC25:DD25)-1)*5 + 4) = "F"), INDEX($CZ$8:$CZ$23, COLUMNS($DC25:DD25)), "0"), "")</f>
        <v/>
      </c>
      <c r="DE25" s="395">
        <f t="array" ref="DE25">IFERROR(IF(AND(INDEX($E$8:$CE$57, MATCH($C25, $C$8:$C$57, 0), (COLUMNS($DC25:DE25)-1)*5 + 1) = INDEX($E$5:$CE$5, 1, (COLUMNS($DC25:DE25)-1)*5 + 1), INDEX($E$8:$CE$57, MATCH($C25, $C$8:$C$57, 0), (COLUMNS($DC25:DE25)-1)*5 + 4) = "F"), INDEX($CZ$8:$CZ$23, COLUMNS($DC25:DE25)), "0"), "")</f>
        <v/>
      </c>
      <c r="DF25" s="395">
        <f t="array" ref="DF25">IFERROR(IF(AND(INDEX($E$8:$CE$57, MATCH($C25, $C$8:$C$57, 0), (COLUMNS($DC25:DF25)-1)*5 + 1) = INDEX($E$5:$CE$5, 1, (COLUMNS($DC25:DF25)-1)*5 + 1), INDEX($E$8:$CE$57, MATCH($C25, $C$8:$C$57, 0), (COLUMNS($DC25:DF25)-1)*5 + 4) = "F"), INDEX($CZ$8:$CZ$23, COLUMNS($DC25:DF25)), "0"), "")</f>
        <v/>
      </c>
      <c r="DG25" s="395">
        <f t="array" ref="DG25">IFERROR(IF(AND(INDEX($E$8:$CE$57, MATCH($C25, $C$8:$C$57, 0), (COLUMNS($DC25:DG25)-1)*5 + 1) = INDEX($E$5:$CE$5, 1, (COLUMNS($DC25:DG25)-1)*5 + 1), INDEX($E$8:$CE$57, MATCH($C25, $C$8:$C$57, 0), (COLUMNS($DC25:DG25)-1)*5 + 4) = "F"), INDEX($CZ$8:$CZ$23, COLUMNS($DC25:DG25)), "0"), "")</f>
        <v/>
      </c>
      <c r="DH25" s="395">
        <f t="array" ref="DH25">IFERROR(IF(AND(INDEX($E$8:$CE$57, MATCH($C25, $C$8:$C$57, 0), (COLUMNS($DC25:DH25)-1)*5 + 1) = INDEX($E$5:$CE$5, 1, (COLUMNS($DC25:DH25)-1)*5 + 1), INDEX($E$8:$CE$57, MATCH($C25, $C$8:$C$57, 0), (COLUMNS($DC25:DH25)-1)*5 + 4) = "F"), INDEX($CZ$8:$CZ$23, COLUMNS($DC25:DH25)), "0"), "")</f>
        <v/>
      </c>
      <c r="DI25" s="395">
        <f t="array" ref="DI25">IFERROR(IF(AND(INDEX($E$8:$CE$57, MATCH($C25, $C$8:$C$57, 0), (COLUMNS($DC25:DI25)-1)*5 + 1) = INDEX($E$5:$CE$5, 1, (COLUMNS($DC25:DI25)-1)*5 + 1), INDEX($E$8:$CE$57, MATCH($C25, $C$8:$C$57, 0), (COLUMNS($DC25:DI25)-1)*5 + 4) = "F"), INDEX($CZ$8:$CZ$23, COLUMNS($DC25:DI25)), "0"), "")</f>
        <v/>
      </c>
      <c r="DJ25" s="395">
        <f t="array" ref="DJ25">IFERROR(IF(AND(INDEX($E$8:$CE$57, MATCH($C25, $C$8:$C$57, 0), (COLUMNS($DC25:DJ25)-1)*5 + 1) = INDEX($E$5:$CE$5, 1, (COLUMNS($DC25:DJ25)-1)*5 + 1), INDEX($E$8:$CE$57, MATCH($C25, $C$8:$C$57, 0), (COLUMNS($DC25:DJ25)-1)*5 + 4) = "F"), INDEX($CZ$8:$CZ$23, COLUMNS($DC25:DJ25)), "0"), "")</f>
        <v/>
      </c>
      <c r="DK25" s="395">
        <f t="array" ref="DK25">IFERROR(IF(AND(INDEX($E$8:$CE$57, MATCH($C25, $C$8:$C$57, 0), (COLUMNS($DC25:DK25)-1)*5 + 1) = INDEX($E$5:$CE$5, 1, (COLUMNS($DC25:DK25)-1)*5 + 1), INDEX($E$8:$CE$57, MATCH($C25, $C$8:$C$57, 0), (COLUMNS($DC25:DK25)-1)*5 + 4) = "F"), INDEX($CZ$8:$CZ$23, COLUMNS($DC25:DK25)), "0"), "")</f>
        <v/>
      </c>
      <c r="DL25" s="395">
        <f t="array" ref="DL25">IFERROR(IF(AND(INDEX($E$8:$CE$57, MATCH($C25, $C$8:$C$57, 0), (COLUMNS($DC25:DL25)-1)*5 + 1) = INDEX($E$5:$CE$5, 1, (COLUMNS($DC25:DL25)-1)*5 + 1), INDEX($E$8:$CE$57, MATCH($C25, $C$8:$C$57, 0), (COLUMNS($DC25:DL25)-1)*5 + 4) = "F"), INDEX($CZ$8:$CZ$23, COLUMNS($DC25:DL25)), "0"), "")</f>
        <v/>
      </c>
      <c r="DM25" s="395">
        <f t="array" ref="DM25">IFERROR(IF(AND(INDEX($E$8:$CE$57, MATCH($C25, $C$8:$C$57, 0), (COLUMNS($DC25:DM25)-1)*5 + 1) = INDEX($E$5:$CE$5, 1, (COLUMNS($DC25:DM25)-1)*5 + 1), INDEX($E$8:$CE$57, MATCH($C25, $C$8:$C$57, 0), (COLUMNS($DC25:DM25)-1)*5 + 4) = "F"), INDEX($CZ$8:$CZ$23, COLUMNS($DC25:DM25)), "0"), "")</f>
        <v/>
      </c>
      <c r="DN25" s="395">
        <f t="array" ref="DN25">IFERROR(IF(AND(INDEX($E$8:$CE$57, MATCH($C25, $C$8:$C$57, 0), (COLUMNS($DC25:DN25)-1)*5 + 1) = INDEX($E$5:$CE$5, 1, (COLUMNS($DC25:DN25)-1)*5 + 1), INDEX($E$8:$CE$57, MATCH($C25, $C$8:$C$57, 0), (COLUMNS($DC25:DN25)-1)*5 + 4) = "F"), INDEX($CZ$8:$CZ$23, COLUMNS($DC25:DN25)), "0"), "")</f>
        <v/>
      </c>
      <c r="DO25" s="395">
        <f t="array" ref="DO25">IFERROR(IF(AND(INDEX($E$8:$CE$57, MATCH($C25, $C$8:$C$57, 0), (COLUMNS($DC25:DO25)-1)*5 + 1) = INDEX($E$5:$CE$5, 1, (COLUMNS($DC25:DO25)-1)*5 + 1), INDEX($E$8:$CE$57, MATCH($C25, $C$8:$C$57, 0), (COLUMNS($DC25:DO25)-1)*5 + 4) = "F"), INDEX($CZ$8:$CZ$23, COLUMNS($DC25:DO25)), "0"), "")</f>
        <v/>
      </c>
      <c r="DP25" s="395">
        <f t="array" ref="DP25">IFERROR(IF(AND(INDEX($E$8:$CE$57, MATCH($C25, $C$8:$C$57, 0), (COLUMNS($DC25:DP25)-1)*5 + 1) = INDEX($E$5:$CE$5, 1, (COLUMNS($DC25:DP25)-1)*5 + 1), INDEX($E$8:$CE$57, MATCH($C25, $C$8:$C$57, 0), (COLUMNS($DC25:DP25)-1)*5 + 4) = "F"), INDEX($CZ$8:$CZ$23, COLUMNS($DC25:DP25)), "0"), "")</f>
        <v/>
      </c>
      <c r="DQ25" s="395">
        <f t="array" ref="DQ25">IFERROR(IF(AND(INDEX($E$8:$CE$57, MATCH($C25, $C$8:$C$57, 0), (COLUMNS($DC25:DQ25)-1)*5 + 1) = INDEX($E$5:$CE$5, 1, (COLUMNS($DC25:DQ25)-1)*5 + 1), INDEX($E$8:$CE$57, MATCH($C25, $C$8:$C$57, 0), (COLUMNS($DC25:DQ25)-1)*5 + 4) = "F"), INDEX($CZ$8:$CZ$23, COLUMNS($DC25:DQ25)), "0"), "")</f>
        <v/>
      </c>
      <c r="DR25" s="395">
        <f t="array" ref="DR25">IFERROR(IF(AND(INDEX($E$8:$CE$57, MATCH($C25, $C$8:$C$57, 0), (COLUMNS($DC25:DR25)-1)*5 + 1) = INDEX($E$5:$CE$5, 1, (COLUMNS($DC25:DR25)-1)*5 + 1), INDEX($E$8:$CE$57, MATCH($C25, $C$8:$C$57, 0), (COLUMNS($DC25:DR25)-1)*5 + 4) = "F"), INDEX($CZ$8:$CZ$23, COLUMNS($DC25:DR25)), "0"), "")</f>
        <v/>
      </c>
      <c r="DT25" s="605">
        <f>SEMANA29[[#This Row],[COD]]</f>
        <v/>
      </c>
      <c r="DU25" s="395">
        <f t="array" ref="DU25">IFERROR(IF(AND(INDEX($E$8:$CE$57, MATCH($C25, $C$8:$C$57, 0), (COLUMNS($DU25:DU25)-1)*5 + 1) = INDEX($E$5:$CE$5, 1, (COLUMNS($DU25:DU25)-1)*5 + 1), INDEX($E$8:$CE$57, MATCH($C25, $C$8:$C$57, 0), (COLUMNS($DU25:DU25)-1)*5 + 4) = "SF"), INDEX($CZ$8:$CZ$23, COLUMNS($DU25:DU25)), "0"), "")</f>
        <v/>
      </c>
      <c r="DV25" s="395">
        <f t="array" ref="DV25">IFERROR(IF(AND(INDEX($E$8:$CE$57, MATCH($C25, $C$8:$C$57, 0), (COLUMNS($DU25:DV25)-1)*5 + 1) = INDEX($E$5:$CE$5, 1, (COLUMNS($DU25:DV25)-1)*5 + 1), INDEX($E$8:$CE$57, MATCH($C25, $C$8:$C$57, 0), (COLUMNS($DU25:DV25)-1)*5 + 4) = "SF"), INDEX($CZ$8:$CZ$23, COLUMNS($DU25:DV25)), "0"), "")</f>
        <v/>
      </c>
      <c r="DW25" s="395">
        <f t="array" ref="DW25">IFERROR(IF(AND(INDEX($E$8:$CE$57, MATCH($C25, $C$8:$C$57, 0), (COLUMNS($DU25:DW25)-1)*5 + 1) = INDEX($E$5:$CE$5, 1, (COLUMNS($DU25:DW25)-1)*5 + 1), INDEX($E$8:$CE$57, MATCH($C25, $C$8:$C$57, 0), (COLUMNS($DU25:DW25)-1)*5 + 4) = "SF"), INDEX($CZ$8:$CZ$23, COLUMNS($DU25:DW25)), "0"), "")</f>
        <v/>
      </c>
      <c r="DX25" s="395">
        <f t="array" ref="DX25">IFERROR(IF(AND(INDEX($E$8:$CE$57, MATCH($C25, $C$8:$C$57, 0), (COLUMNS($DU25:DX25)-1)*5 + 1) = INDEX($E$5:$CE$5, 1, (COLUMNS($DU25:DX25)-1)*5 + 1), INDEX($E$8:$CE$57, MATCH($C25, $C$8:$C$57, 0), (COLUMNS($DU25:DX25)-1)*5 + 4) = "SF"), INDEX($CZ$8:$CZ$23, COLUMNS($DU25:DX25)), "0"), "")</f>
        <v/>
      </c>
      <c r="DY25" s="395">
        <f t="array" ref="DY25">IFERROR(IF(AND(INDEX($E$8:$CE$57, MATCH($C25, $C$8:$C$57, 0), (COLUMNS($DU25:DY25)-1)*5 + 1) = INDEX($E$5:$CE$5, 1, (COLUMNS($DU25:DY25)-1)*5 + 1), INDEX($E$8:$CE$57, MATCH($C25, $C$8:$C$57, 0), (COLUMNS($DU25:DY25)-1)*5 + 4) = "SF"), INDEX($CZ$8:$CZ$23, COLUMNS($DU25:DY25)), "0"), "")</f>
        <v/>
      </c>
      <c r="DZ25" s="395">
        <f t="array" ref="DZ25">IFERROR(IF(AND(INDEX($E$8:$CE$57, MATCH($C25, $C$8:$C$57, 0), (COLUMNS($DU25:DZ25)-1)*5 + 1) = INDEX($E$5:$CE$5, 1, (COLUMNS($DU25:DZ25)-1)*5 + 1), INDEX($E$8:$CE$57, MATCH($C25, $C$8:$C$57, 0), (COLUMNS($DU25:DZ25)-1)*5 + 4) = "SF"), INDEX($CZ$8:$CZ$23, COLUMNS($DU25:DZ25)), "0"), "")</f>
        <v/>
      </c>
      <c r="EA25" s="395">
        <f t="array" ref="EA25">IFERROR(IF(AND(INDEX($E$8:$CE$57, MATCH($C25, $C$8:$C$57, 0), (COLUMNS($DU25:EA25)-1)*5 + 1) = INDEX($E$5:$CE$5, 1, (COLUMNS($DU25:EA25)-1)*5 + 1), INDEX($E$8:$CE$57, MATCH($C25, $C$8:$C$57, 0), (COLUMNS($DU25:EA25)-1)*5 + 4) = "SF"), INDEX($CZ$8:$CZ$23, COLUMNS($DU25:EA25)), "0"), "")</f>
        <v/>
      </c>
      <c r="EB25" s="395">
        <f t="array" ref="EB25">IFERROR(IF(AND(INDEX($E$8:$CE$57, MATCH($C25, $C$8:$C$57, 0), (COLUMNS($DU25:EB25)-1)*5 + 1) = INDEX($E$5:$CE$5, 1, (COLUMNS($DU25:EB25)-1)*5 + 1), INDEX($E$8:$CE$57, MATCH($C25, $C$8:$C$57, 0), (COLUMNS($DU25:EB25)-1)*5 + 4) = "SF"), INDEX($CZ$8:$CZ$23, COLUMNS($DU25:EB25)), "0"), "")</f>
        <v/>
      </c>
      <c r="EC25" s="395">
        <f t="array" ref="EC25">IFERROR(IF(AND(INDEX($E$8:$CE$57, MATCH($C25, $C$8:$C$57, 0), (COLUMNS($DU25:EC25)-1)*5 + 1) = INDEX($E$5:$CE$5, 1, (COLUMNS($DU25:EC25)-1)*5 + 1), INDEX($E$8:$CE$57, MATCH($C25, $C$8:$C$57, 0), (COLUMNS($DU25:EC25)-1)*5 + 4) = "SF"), INDEX($CZ$8:$CZ$23, COLUMNS($DU25:EC25)), "0"), "")</f>
        <v/>
      </c>
      <c r="ED25" s="395">
        <f t="array" ref="ED25">IFERROR(IF(AND(INDEX($E$8:$CE$57, MATCH($C25, $C$8:$C$57, 0), (COLUMNS($DU25:ED25)-1)*5 + 1) = INDEX($E$5:$CE$5, 1, (COLUMNS($DU25:ED25)-1)*5 + 1), INDEX($E$8:$CE$57, MATCH($C25, $C$8:$C$57, 0), (COLUMNS($DU25:ED25)-1)*5 + 4) = "SF"), INDEX($CZ$8:$CZ$23, COLUMNS($DU25:ED25)), "0"), "")</f>
        <v/>
      </c>
      <c r="EE25" s="395">
        <f t="array" ref="EE25">IFERROR(IF(AND(INDEX($E$8:$CE$57, MATCH($C25, $C$8:$C$57, 0), (COLUMNS($DU25:EE25)-1)*5 + 1) = INDEX($E$5:$CE$5, 1, (COLUMNS($DU25:EE25)-1)*5 + 1), INDEX($E$8:$CE$57, MATCH($C25, $C$8:$C$57, 0), (COLUMNS($DU25:EE25)-1)*5 + 4) = "SF"), INDEX($CZ$8:$CZ$23, COLUMNS($DU25:EE25)), "0"), "")</f>
        <v/>
      </c>
      <c r="EF25" s="395">
        <f t="array" ref="EF25">IFERROR(IF(AND(INDEX($E$8:$CE$57, MATCH($C25, $C$8:$C$57, 0), (COLUMNS($DU25:EF25)-1)*5 + 1) = INDEX($E$5:$CE$5, 1, (COLUMNS($DU25:EF25)-1)*5 + 1), INDEX($E$8:$CE$57, MATCH($C25, $C$8:$C$57, 0), (COLUMNS($DU25:EF25)-1)*5 + 4) = "SF"), INDEX($CZ$8:$CZ$23, COLUMNS($DU25:EF25)), "0"), "")</f>
        <v/>
      </c>
      <c r="EG25" s="395">
        <f t="array" ref="EG25">IFERROR(IF(AND(INDEX($E$8:$CE$57, MATCH($C25, $C$8:$C$57, 0), (COLUMNS($DU25:EG25)-1)*5 + 1) = INDEX($E$5:$CE$5, 1, (COLUMNS($DU25:EG25)-1)*5 + 1), INDEX($E$8:$CE$57, MATCH($C25, $C$8:$C$57, 0), (COLUMNS($DU25:EG25)-1)*5 + 4) = "SF"), INDEX($CZ$8:$CZ$23, COLUMNS($DU25:EG25)), "0"), "")</f>
        <v/>
      </c>
      <c r="EH25" s="395">
        <f t="array" ref="EH25">IFERROR(IF(AND(INDEX($E$8:$CE$57, MATCH($C25, $C$8:$C$57, 0), (COLUMNS($DU25:EH25)-1)*5 + 1) = INDEX($E$5:$CE$5, 1, (COLUMNS($DU25:EH25)-1)*5 + 1), INDEX($E$8:$CE$57, MATCH($C25, $C$8:$C$57, 0), (COLUMNS($DU25:EH25)-1)*5 + 4) = "SF"), INDEX($CZ$8:$CZ$23, COLUMNS($DU25:EH25)), "0"), "")</f>
        <v/>
      </c>
      <c r="EI25" s="395">
        <f t="array" ref="EI25">IFERROR(IF(AND(INDEX($E$8:$CE$57, MATCH($C25, $C$8:$C$57, 0), (COLUMNS($DU25:EI25)-1)*5 + 1) = INDEX($E$5:$CE$5, 1, (COLUMNS($DU25:EI25)-1)*5 + 1), INDEX($E$8:$CE$57, MATCH($C25, $C$8:$C$57, 0), (COLUMNS($DU25:EI25)-1)*5 + 4) = "SF"), INDEX($CZ$8:$CZ$23, COLUMNS($DU25:EI25)), "0"), "")</f>
        <v/>
      </c>
      <c r="EJ25" s="395">
        <f t="array" ref="EJ25">IFERROR(IF(AND(INDEX($E$8:$CE$57, MATCH($C25, $C$8:$C$57, 0), (COLUMNS($DU25:EJ25)-1)*5 + 1) = INDEX($E$5:$CE$5, 1, (COLUMNS($DU25:EJ25)-1)*5 + 1), INDEX($E$8:$CE$57, MATCH($C25, $C$8:$C$57, 0), (COLUMNS($DU25:EJ25)-1)*5 + 4) = "SF"), INDEX($CZ$8:$CZ$23, COLUMNS($DU25:EJ25)), "0"), "")</f>
        <v/>
      </c>
    </row>
    <row r="26" ht="20.1" customHeight="1" s="568">
      <c r="A26" s="576" t="n"/>
      <c r="B26" s="449">
        <f>IF(SEMANA29[[#This Row],[COD]]&lt;&gt;"",B25+1,"")</f>
        <v/>
      </c>
      <c r="C26" s="622" t="inlineStr">
        <is>
          <t>COD 19</t>
        </is>
      </c>
      <c r="D26" s="415">
        <f t="array" ref="D26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6" s="416" t="n"/>
      <c r="F26" s="416" t="n"/>
      <c r="G26" s="416" t="n"/>
      <c r="H26" s="416" t="n"/>
      <c r="I26" s="602">
        <f>SUM(IF(E26=E$5,4,0),IF(E26&amp;F26=E$5&amp;F$5,1,0),
IF(AND(E26=E$5,F$6&gt;=$D$115),1,0),
IF(AND(F26=E$5,F$6&gt;=$D$115),1,0),
IF(AND(G26=E$5,F$6&gt;=$D$115),1,0),
IF(E26&amp;H26=I$5,1,0),
IF(F26=E$5,2,0),
IF(G26=E$5,1,0),
IF(OR(E26&amp;F26&amp;G26=E$5&amp;F$5&amp;G$5,E26&amp;F26&amp;G26=E$5&amp;G$5&amp;F$5,E26&amp;F26&amp;G26=F$5&amp;E$5&amp;G$5,E26&amp;F26&amp;G26=F$5&amp;G$5&amp;E$5,E26&amp;F26&amp;G26=G$5&amp;E$5&amp;F$5,E26&amp;F26&amp;G26=G$5&amp;F$5&amp;E$5),2,0),IF(AND(E26=E$5,F$6&gt;=$D$129),1,0),IF(AND(F26=E$5,F$6&gt;=$D$129),1,0),IF(AND(G26=E$5,F$6&gt;=$D$129),1,0),IF(E26&amp;H26=H$5,4,0),IF(AND(E26=E$5,F$6&lt;=$D$104),-0.5,0),IF(AND(F26=E$5,F$6&lt;=$D$104),-0.5,0),IF(AND(G26=E$5,F$6&lt;=$D$104),-0.5,0))</f>
        <v/>
      </c>
      <c r="J26" s="416" t="n"/>
      <c r="K26" s="416" t="n"/>
      <c r="L26" s="416" t="n"/>
      <c r="M26" s="416" t="n"/>
      <c r="N26" s="602">
        <f>SUM(IF(J26=J$5,4,0),IF(J26&amp;K26=J$5&amp;K$5,1,0),
IF(AND(J26=J$5,K$6&gt;=$D$115),1,0),
IF(AND(K26=J$5,K$6&gt;=$D$115),1,0),
IF(AND(L26=J$5,K$6&gt;=$D$115),1,0),
IF(J26&amp;M26=N$5,1,0),
IF(K26=J$5,2,0),
IF(L26=J$5,1,0),
IF(OR(J26&amp;K26&amp;L26=J$5&amp;K$5&amp;L$5,J26&amp;K26&amp;L26=J$5&amp;L$5&amp;K$5,J26&amp;K26&amp;L26=K$5&amp;J$5&amp;L$5,J26&amp;K26&amp;L26=K$5&amp;L$5&amp;J$5,J26&amp;K26&amp;L26=L$5&amp;J$5&amp;K$5,J26&amp;K26&amp;L26=L$5&amp;K$5&amp;J$5),2,0),IF(AND(J26=J$5,K$6&gt;=$D$129),1,0),IF(AND(K26=J$5,K$6&gt;=$D$129),1,0),IF(AND(L26=J$5,K$6&gt;=$D$129),1,0),IF(J26&amp;M26=M$5,4,0),IF(AND(J26=J$5,K$6&lt;=$D$104),-0.5,0),IF(AND(K26=J$5,K$6&lt;=$D$104),-0.5,0),IF(AND(L26=J$5,K$6&lt;=$D$104),-0.5,0))</f>
        <v/>
      </c>
      <c r="O26" s="416" t="n"/>
      <c r="P26" s="416" t="n"/>
      <c r="Q26" s="416" t="n"/>
      <c r="R26" s="416" t="n"/>
      <c r="S26" s="602">
        <f>SUM(IF(O26=O$5,4,0),IF(O26&amp;P26=O$5&amp;P$5,1,0),
IF(AND(O26=O$5,P$6&gt;=$D$115),1,0),
IF(AND(P26=O$5,P$6&gt;=$D$115),1,0),
IF(AND(Q26=O$5,P$6&gt;=$D$115),1,0),
IF(O26&amp;R26=S$5,1,0),
IF(P26=O$5,2,0),
IF(Q26=O$5,1,0),
IF(OR(O26&amp;P26&amp;Q26=O$5&amp;P$5&amp;Q$5,O26&amp;P26&amp;Q26=O$5&amp;Q$5&amp;P$5,O26&amp;P26&amp;Q26=P$5&amp;O$5&amp;Q$5,O26&amp;P26&amp;Q26=P$5&amp;Q$5&amp;O$5,O26&amp;P26&amp;Q26=Q$5&amp;O$5&amp;P$5,O26&amp;P26&amp;Q26=Q$5&amp;P$5&amp;O$5),2,0),IF(AND(O26=O$5,P$6&gt;=$D$129),1,0),IF(AND(P26=O$5,P$6&gt;=$D$129),1,0),IF(AND(Q26=O$5,P$6&gt;=$D$129),1,0),IF(O26&amp;R26=R$5,4,0),IF(AND(O26=O$5,P$6&lt;=$D$104),-0.5,0),IF(AND(P26=O$5,P$6&lt;=$D$104),-0.5,0),IF(AND(Q26=O$5,P$6&lt;=$D$104),-0.5,0))</f>
        <v/>
      </c>
      <c r="T26" s="416" t="n"/>
      <c r="U26" s="416" t="n"/>
      <c r="V26" s="416" t="n"/>
      <c r="W26" s="416" t="n"/>
      <c r="X26" s="602">
        <f>SUM(IF(T26=T$5,4,0),IF(T26&amp;U26=T$5&amp;U$5,1,0),
IF(AND(T26=T$5,U$6&gt;=$D$115),1,0),
IF(AND(U26=T$5,U$6&gt;=$D$115),1,0),
IF(AND(V26=T$5,U$6&gt;=$D$115),1,0),
IF(T26&amp;W26=X$5,1,0),
IF(U26=T$5,2,0),
IF(V26=T$5,1,0),
IF(OR(T26&amp;U26&amp;V26=T$5&amp;U$5&amp;V$5,T26&amp;U26&amp;V26=T$5&amp;V$5&amp;U$5,T26&amp;U26&amp;V26=U$5&amp;T$5&amp;V$5,T26&amp;U26&amp;V26=U$5&amp;V$5&amp;T$5,T26&amp;U26&amp;V26=V$5&amp;T$5&amp;U$5,T26&amp;U26&amp;V26=V$5&amp;U$5&amp;T$5),2,0),IF(AND(T26=T$5,U$6&gt;=$D$129),1,0),IF(AND(U26=T$5,U$6&gt;=$D$129),1,0),IF(AND(V26=T$5,U$6&gt;=$D$129),1,0),IF(T26&amp;W26=W$5,4,0),IF(AND(T26=T$5,U$6&lt;=$D$104),-0.5,0),IF(AND(U26=T$5,U$6&lt;=$D$104),-0.5,0),IF(AND(V26=T$5,U$6&lt;=$D$104),-0.5,0))</f>
        <v/>
      </c>
      <c r="Y26" s="416" t="n"/>
      <c r="Z26" s="416" t="n"/>
      <c r="AA26" s="416" t="n"/>
      <c r="AB26" s="416" t="n"/>
      <c r="AC26" s="602">
        <f>SUM(IF(Y26=Y$5,4,0),IF(Y26&amp;Z26=Y$5&amp;Z$5,1,0),
IF(AND(Y26=Y$5,Z$6&gt;=$D$115),1,0),
IF(AND(Z26=Y$5,Z$6&gt;=$D$115),1,0),
IF(AND(AA26=Y$5,Z$6&gt;=$D$115),1,0),
IF(Y26&amp;AB26=AC$5,1,0),
IF(Z26=Y$5,2,0),
IF(AA26=Y$5,1,0),
IF(OR(Y26&amp;Z26&amp;AA26=Y$5&amp;Z$5&amp;AA$5,Y26&amp;Z26&amp;AA26=Y$5&amp;AA$5&amp;Z$5,Y26&amp;Z26&amp;AA26=Z$5&amp;Y$5&amp;AA$5,Y26&amp;Z26&amp;AA26=Z$5&amp;AA$5&amp;Y$5,Y26&amp;Z26&amp;AA26=AA$5&amp;Y$5&amp;Z$5,Y26&amp;Z26&amp;AA26=AA$5&amp;Z$5&amp;Y$5),2,0),IF(AND(Y26=Y$5,Z$6&gt;=$D$129),1,0),IF(AND(Z26=Y$5,Z$6&gt;=$D$129),1,0),IF(AND(AA26=Y$5,Z$6&gt;=$D$129),1,0),IF(Y26&amp;AB26=AB$5,4,0),IF(AND(Y26=Y$5,Z$6&lt;=$D$104),-0.5,0),IF(AND(Z26=Y$5,Z$6&lt;=$D$104),-0.5,0),IF(AND(AA26=Y$5,Z$6&lt;=$D$104),-0.5,0))</f>
        <v/>
      </c>
      <c r="AD26" s="416" t="n"/>
      <c r="AE26" s="416" t="n"/>
      <c r="AF26" s="416" t="n"/>
      <c r="AG26" s="416" t="n"/>
      <c r="AH26" s="602">
        <f>SUM(IF(AD26=AD$5,4,0),IF(AD26&amp;AE26=AD$5&amp;AE$5,1,0),
IF(AND(AD26=AD$5,AE$6&gt;=$D$115),1,0),
IF(AND(AE26=AD$5,AE$6&gt;=$D$115),1,0),
IF(AND(AF26=AD$5,AE$6&gt;=$D$115),1,0),
IF(AD26&amp;AG26=AH$5,1,0),
IF(AE26=AD$5,2,0),
IF(AF26=AD$5,1,0),
IF(OR(AD26&amp;AE26&amp;AF26=AD$5&amp;AE$5&amp;AF$5,AD26&amp;AE26&amp;AF26=AD$5&amp;AF$5&amp;AE$5,AD26&amp;AE26&amp;AF26=AE$5&amp;AD$5&amp;AF$5,AD26&amp;AE26&amp;AF26=AE$5&amp;AF$5&amp;AD$5,AD26&amp;AE26&amp;AF26=AF$5&amp;AD$5&amp;AE$5,AD26&amp;AE26&amp;AF26=AF$5&amp;AE$5&amp;AD$5),2,0),IF(AND(AD26=AD$5,AE$6&gt;=$D$129),1,0),IF(AND(AE26=AD$5,AE$6&gt;=$D$129),1,0),IF(AND(AF26=AD$5,AE$6&gt;=$D$129),1,0),IF(AD26&amp;AG26=AG$5,4,0),IF(AND(AD26=AD$5,AE$6&lt;=$D$104),-0.5,0),IF(AND(AE26=AD$5,AE$6&lt;=$D$104),-0.5,0),IF(AND(AF26=AD$5,AE$6&lt;=$D$104),-0.5,0))</f>
        <v/>
      </c>
      <c r="AI26" s="416" t="n"/>
      <c r="AJ26" s="416" t="n"/>
      <c r="AK26" s="416" t="n"/>
      <c r="AL26" s="416" t="n"/>
      <c r="AM26" s="602">
        <f>SUM(IF(AI26=AI$5,4,0),IF(AI26&amp;AJ26=AI$5&amp;AJ$5,1,0),
IF(AND(AI26=AI$5,AJ$6&gt;=$D$115),1,0),
IF(AND(AJ26=AI$5,AJ$6&gt;=$D$115),1,0),
IF(AND(AK26=AI$5,AJ$6&gt;=$D$115),1,0),
IF(AI26&amp;AL26=AM$5,1,0),
IF(AJ26=AI$5,2,0),
IF(AK26=AI$5,1,0),
IF(OR(AI26&amp;AJ26&amp;AK26=AI$5&amp;AJ$5&amp;AK$5,AI26&amp;AJ26&amp;AK26=AI$5&amp;AK$5&amp;AJ$5,AI26&amp;AJ26&amp;AK26=AJ$5&amp;AI$5&amp;AK$5,AI26&amp;AJ26&amp;AK26=AJ$5&amp;AK$5&amp;AI$5,AI26&amp;AJ26&amp;AK26=AK$5&amp;AI$5&amp;AJ$5,AI26&amp;AJ26&amp;AK26=AK$5&amp;AJ$5&amp;AI$5),2,0),IF(AND(AI26=AI$5,AJ$6&gt;=$D$129),1,0),IF(AND(AJ26=AI$5,AJ$6&gt;=$D$129),1,0),IF(AND(AK26=AI$5,AJ$6&gt;=$D$129),1,0),IF(AI26&amp;AL26=AL$5,4,0),IF(AND(AI26=AI$5,AJ$6&lt;=$D$104),-0.5,0),IF(AND(AJ26=AI$5,AJ$6&lt;=$D$104),-0.5,0),IF(AND(AK26=AI$5,AJ$6&lt;=$D$104),-0.5,0))</f>
        <v/>
      </c>
      <c r="AN26" s="416" t="n"/>
      <c r="AO26" s="416" t="n"/>
      <c r="AP26" s="416" t="n"/>
      <c r="AQ26" s="416" t="n"/>
      <c r="AR26" s="602">
        <f>SUM(IF(AN26=AN$5,4,0),IF(AN26&amp;AO26=AN$5&amp;AO$5,1,0),
IF(AND(AN26=AN$5,AO$6&gt;=$D$115),1,0),
IF(AND(AO26=AN$5,AO$6&gt;=$D$115),1,0),
IF(AND(AP26=AN$5,AO$6&gt;=$D$115),1,0),
IF(AN26&amp;AQ26=AR$5,1,0),
IF(AO26=AN$5,2,0),
IF(AP26=AN$5,1,0),
IF(OR(AN26&amp;AO26&amp;AP26=AN$5&amp;AO$5&amp;AP$5,AN26&amp;AO26&amp;AP26=AN$5&amp;AP$5&amp;AO$5,AN26&amp;AO26&amp;AP26=AO$5&amp;AN$5&amp;AP$5,AN26&amp;AO26&amp;AP26=AO$5&amp;AP$5&amp;AN$5,AN26&amp;AO26&amp;AP26=AP$5&amp;AN$5&amp;AO$5,AN26&amp;AO26&amp;AP26=AP$5&amp;AO$5&amp;AN$5),2,0),IF(AND(AN26=AN$5,AO$6&gt;=$D$129),1,0),IF(AND(AO26=AN$5,AO$6&gt;=$D$129),1,0),IF(AND(AP26=AN$5,AO$6&gt;=$D$129),1,0),IF(AN26&amp;AQ26=AQ$5,4,0),IF(AND(AN26=AN$5,AO$6&lt;=$D$104),-0.5,0),IF(AND(AO26=AN$5,AO$6&lt;=$D$104),-0.5,0),IF(AND(AP26=AN$5,AO$6&lt;=$D$104),-0.5,0))</f>
        <v/>
      </c>
      <c r="AS26" s="416" t="n"/>
      <c r="AT26" s="416" t="n"/>
      <c r="AU26" s="416" t="n"/>
      <c r="AV26" s="416" t="n"/>
      <c r="AW26" s="602">
        <f>SUM(IF(AS26=AS$5,4,0),IF(AS26&amp;AT26=AS$5&amp;AT$5,1,0),
IF(AND(AS26=AS$5,AT$6&gt;=$D$115),1,0),
IF(AND(AT26=AS$5,AT$6&gt;=$D$115),1,0),
IF(AND(AU26=AS$5,AT$6&gt;=$D$115),1,0),
IF(AS26&amp;AV26=AW$5,1,0),
IF(AT26=AS$5,2,0),
IF(AU26=AS$5,1,0),
IF(OR(AS26&amp;AT26&amp;AU26=AS$5&amp;AT$5&amp;AU$5,AS26&amp;AT26&amp;AU26=AS$5&amp;AU$5&amp;AT$5,AS26&amp;AT26&amp;AU26=AT$5&amp;AS$5&amp;AU$5,AS26&amp;AT26&amp;AU26=AT$5&amp;AU$5&amp;AS$5,AS26&amp;AT26&amp;AU26=AU$5&amp;AS$5&amp;AT$5,AS26&amp;AT26&amp;AU26=AU$5&amp;AT$5&amp;AS$5),2,0),IF(AND(AS26=AS$5,AT$6&gt;=$D$129),1,0),IF(AND(AT26=AS$5,AT$6&gt;=$D$129),1,0),IF(AND(AU26=AS$5,AT$6&gt;=$D$129),1,0),IF(AS26&amp;AV26=AV$5,4,0),IF(AND(AS26=AS$5,AT$6&lt;=$D$104),-0.5,0),IF(AND(AT26=AS$5,AT$6&lt;=$D$104),-0.5,0),IF(AND(AU26=AS$5,AT$6&lt;=$D$104),-0.5,0))</f>
        <v/>
      </c>
      <c r="AX26" s="416" t="n"/>
      <c r="AY26" s="416" t="n"/>
      <c r="AZ26" s="416" t="n"/>
      <c r="BA26" s="416" t="n"/>
      <c r="BB26" s="602">
        <f>SUM(IF(AX26=AX$5,4,0),IF(AX26&amp;AY26=AX$5&amp;AY$5,1,0),
IF(AND(AX26=AX$5,AY$6&gt;=$D$115),1,0),
IF(AND(AY26=AX$5,AY$6&gt;=$D$115),1,0),
IF(AND(AZ26=AX$5,AY$6&gt;=$D$115),1,0),
IF(AX26&amp;BA26=BB$5,1,0),
IF(AY26=AX$5,2,0),
IF(AZ26=AX$5,1,0),
IF(OR(AX26&amp;AY26&amp;AZ26=AX$5&amp;AY$5&amp;AZ$5,AX26&amp;AY26&amp;AZ26=AX$5&amp;AZ$5&amp;AY$5,AX26&amp;AY26&amp;AZ26=AY$5&amp;AX$5&amp;AZ$5,AX26&amp;AY26&amp;AZ26=AY$5&amp;AZ$5&amp;AX$5,AX26&amp;AY26&amp;AZ26=AZ$5&amp;AX$5&amp;AY$5,AX26&amp;AY26&amp;AZ26=AZ$5&amp;AY$5&amp;AX$5),2,0),IF(AND(AX26=AX$5,AY$6&gt;=$D$129),1,0),IF(AND(AY26=AX$5,AY$6&gt;=$D$129),1,0),IF(AND(AZ26=AX$5,AY$6&gt;=$D$129),1,0),IF(AX26&amp;BA26=BA$5,4,0),IF(AND(AX26=AX$5,AY$6&lt;=$D$104),-0.5,0),IF(AND(AY26=AX$5,AY$6&lt;=$D$104),-0.5,0),IF(AND(AZ26=AX$5,AY$6&lt;=$D$104),-0.5,0))</f>
        <v/>
      </c>
      <c r="BC26" s="416" t="n"/>
      <c r="BD26" s="416" t="n"/>
      <c r="BE26" s="416" t="n"/>
      <c r="BF26" s="416" t="n"/>
      <c r="BG26" s="602">
        <f>SUM(IF(BC26=BC$5,4,0),IF(BC26&amp;BD26=BC$5&amp;BD$5,1,0),
IF(AND(BC26=BC$5,BD$6&gt;=$D$115),1,0),
IF(AND(BD26=BC$5,BD$6&gt;=$D$115),1,0),
IF(AND(BE26=BC$5,BD$6&gt;=$D$115),1,0),
IF(BC26&amp;BF26=BG$5,1,0),
IF(BD26=BC$5,2,0),
IF(BE26=BC$5,1,0),
IF(OR(BC26&amp;BD26&amp;BE26=BC$5&amp;BD$5&amp;BE$5,BC26&amp;BD26&amp;BE26=BC$5&amp;BE$5&amp;BD$5,BC26&amp;BD26&amp;BE26=BD$5&amp;BC$5&amp;BE$5,BC26&amp;BD26&amp;BE26=BD$5&amp;BE$5&amp;BC$5,BC26&amp;BD26&amp;BE26=BE$5&amp;BC$5&amp;BD$5,BC26&amp;BD26&amp;BE26=BE$5&amp;BD$5&amp;BC$5),2,0),IF(AND(BC26=BC$5,BD$6&gt;=$D$129),1,0),IF(AND(BD26=BC$5,BD$6&gt;=$D$129),1,0),IF(AND(BE26=BC$5,BD$6&gt;=$D$129),1,0),IF(BC26&amp;BF26=BF$5,4,0),IF(AND(BC26=BC$5,BD$6&lt;=$D$104),-0.5,0),IF(AND(BD26=BC$5,BD$6&lt;=$D$104),-0.5,0),IF(AND(BE26=BC$5,BD$6&lt;=$D$104),-0.5,0))</f>
        <v/>
      </c>
      <c r="BH26" s="416" t="n"/>
      <c r="BI26" s="416" t="n"/>
      <c r="BJ26" s="416" t="n"/>
      <c r="BK26" s="416" t="n"/>
      <c r="BL26" s="602">
        <f>SUM(IF(BH26=BH$5,4,0),IF(BH26&amp;BI26=BH$5&amp;BI$5,1,0),
IF(AND(BH26=BH$5,BI$6&gt;=$D$115),1,0),
IF(AND(BI26=BH$5,BI$6&gt;=$D$115),1,0),
IF(AND(BJ26=BH$5,BI$6&gt;=$D$115),1,0),
IF(BH26&amp;BK26=BL$5,1,0),
IF(BI26=BH$5,2,0),
IF(BJ26=BH$5,1,0),
IF(OR(BH26&amp;BI26&amp;BJ26=BH$5&amp;BI$5&amp;BJ$5,BH26&amp;BI26&amp;BJ26=BH$5&amp;BJ$5&amp;BI$5,BH26&amp;BI26&amp;BJ26=BI$5&amp;BH$5&amp;BJ$5,BH26&amp;BI26&amp;BJ26=BI$5&amp;BJ$5&amp;BH$5,BH26&amp;BI26&amp;BJ26=BJ$5&amp;BH$5&amp;BI$5,BH26&amp;BI26&amp;BJ26=BJ$5&amp;BI$5&amp;BH$5),2,0),IF(AND(BH26=BH$5,BI$6&gt;=$D$129),1,0),IF(AND(BI26=BH$5,BI$6&gt;=$D$129),1,0),IF(AND(BJ26=BH$5,BI$6&gt;=$D$129),1,0),IF(BH26&amp;BK26=BK$5,4,0),IF(AND(BH26=BH$5,BI$6&lt;=$D$104),-0.5,0),IF(AND(BI26=BH$5,BI$6&lt;=$D$104),-0.5,0),IF(AND(BJ26=BH$5,BI$6&lt;=$D$104),-0.5,0))</f>
        <v/>
      </c>
      <c r="BM26" s="416" t="n"/>
      <c r="BN26" s="416" t="n"/>
      <c r="BO26" s="416" t="n"/>
      <c r="BP26" s="416" t="n"/>
      <c r="BQ26" s="602">
        <f>SUM(IF(BM26=BM$5,4,0),IF(BM26&amp;BN26=BM$5&amp;BN$5,1,0),
IF(AND(BM26=BM$5,BN$6&gt;=$D$115),1,0),
IF(AND(BN26=BM$5,BN$6&gt;=$D$115),1,0),
IF(AND(BO26=BM$5,BN$6&gt;=$D$115),1,0),
IF(BM26&amp;BP26=BQ$5,1,0),
IF(BN26=BM$5,2,0),
IF(BO26=BM$5,1,0),
IF(OR(BM26&amp;BN26&amp;BO26=BM$5&amp;BN$5&amp;BO$5,BM26&amp;BN26&amp;BO26=BM$5&amp;BO$5&amp;BN$5,BM26&amp;BN26&amp;BO26=BN$5&amp;BM$5&amp;BO$5,BM26&amp;BN26&amp;BO26=BN$5&amp;BO$5&amp;BM$5,BM26&amp;BN26&amp;BO26=BO$5&amp;BM$5&amp;BN$5,BM26&amp;BN26&amp;BO26=BO$5&amp;BN$5&amp;BM$5),2,0),IF(AND(BM26=BM$5,BN$6&gt;=$D$129),1,0),IF(AND(BN26=BM$5,BN$6&gt;=$D$129),1,0),IF(AND(BO26=BM$5,BN$6&gt;=$D$129),1,0),IF(BM26&amp;BP26=BP$5,4,0),IF(AND(BM26=BM$5,BN$6&lt;=$D$104),-0.5,0),IF(AND(BN26=BM$5,BN$6&lt;=$D$104),-0.5,0),IF(AND(BO26=BM$5,BN$6&lt;=$D$104),-0.5,0))</f>
        <v/>
      </c>
      <c r="BR26" s="416" t="n"/>
      <c r="BS26" s="416" t="n"/>
      <c r="BT26" s="416" t="n"/>
      <c r="BU26" s="416" t="n"/>
      <c r="BV26" s="602">
        <f>SUM(IF(BR26=BR$5,4,0),IF(BR26&amp;BS26=BR$5&amp;BS$5,1,0),
IF(AND(BR26=BR$5,BS$6&gt;=$D$115),1,0),
IF(AND(BS26=BR$5,BS$6&gt;=$D$115),1,0),
IF(AND(BT26=BR$5,BS$6&gt;=$D$115),1,0),
IF(BR26&amp;BU26=BV$5,1,0),
IF(BS26=BR$5,2,0),
IF(BT26=BR$5,1,0),
IF(OR(BR26&amp;BS26&amp;BT26=BR$5&amp;BS$5&amp;BT$5,BR26&amp;BS26&amp;BT26=BR$5&amp;BT$5&amp;BS$5,BR26&amp;BS26&amp;BT26=BS$5&amp;BR$5&amp;BT$5,BR26&amp;BS26&amp;BT26=BS$5&amp;BT$5&amp;BR$5,BR26&amp;BS26&amp;BT26=BT$5&amp;BR$5&amp;BS$5,BR26&amp;BS26&amp;BT26=BT$5&amp;BS$5&amp;BR$5),2,0),IF(AND(BR26=BR$5,BS$6&gt;=$D$129),1,0),IF(AND(BS26=BR$5,BS$6&gt;=$D$129),1,0),IF(AND(BT26=BR$5,BS$6&gt;=$D$129),1,0),IF(BR26&amp;BU26=BU$5,4,0),IF(AND(BR26=BR$5,BS$6&lt;=$D$104),-0.5,0),IF(AND(BS26=BR$5,BS$6&lt;=$D$104),-0.5,0),IF(AND(BT26=BR$5,BS$6&lt;=$D$104),-0.5,0))</f>
        <v/>
      </c>
      <c r="BW26" s="416" t="n"/>
      <c r="BX26" s="416" t="n"/>
      <c r="BY26" s="416" t="n"/>
      <c r="BZ26" s="416" t="n"/>
      <c r="CA26" s="602">
        <f>SUM(IF(BW26=BW$5,4,0),IF(BW26&amp;BX26=BW$5&amp;BX$5,1,0),
IF(AND(BW26=BW$5,BX$6&gt;=$D$115),1,0),
IF(AND(BX26=BW$5,BX$6&gt;=$D$115),1,0),
IF(AND(BY26=BW$5,BX$6&gt;=$D$115),1,0),
IF(BW26&amp;BZ26=CA$5,1,0),
IF(BX26=BW$5,2,0),
IF(BY26=BW$5,1,0),
IF(OR(BW26&amp;BX26&amp;BY26=BW$5&amp;BX$5&amp;BY$5,BW26&amp;BX26&amp;BY26=BW$5&amp;BY$5&amp;BX$5,BW26&amp;BX26&amp;BY26=BX$5&amp;BW$5&amp;BY$5,BW26&amp;BX26&amp;BY26=BX$5&amp;BY$5&amp;BW$5,BW26&amp;BX26&amp;BY26=BY$5&amp;BW$5&amp;BX$5,BW26&amp;BX26&amp;BY26=BY$5&amp;BX$5&amp;BW$5),2,0),IF(AND(BW26=BW$5,BX$6&gt;=$D$129),1,0),IF(AND(BX26=BW$5,BX$6&gt;=$D$129),1,0),IF(AND(BY26=BW$5,BX$6&gt;=$D$129),1,0),IF(BW26&amp;BZ26=BZ$5,4,0),IF(AND(BW26=BW$5,BX$6&lt;=$D$104),-0.5,0),IF(AND(BX26=BW$5,BX$6&lt;=$D$104),-0.5,0),IF(AND(BY26=BW$5,BX$6&lt;=$D$104),-0.5,0))</f>
        <v/>
      </c>
      <c r="CB26" s="416" t="n"/>
      <c r="CC26" s="416" t="n"/>
      <c r="CD26" s="416" t="n"/>
      <c r="CE26" s="416" t="n"/>
      <c r="CF26" s="602">
        <f>SUM(IF(CB26=CB$5,4,0),IF(CB26&amp;CC26=CB$5&amp;CC$5,1,0),
IF(AND(CB26=CB$5,CC$6&gt;=$D$115),1,0),
IF(AND(CC26=CB$5,CC$6&gt;=$D$115),1,0),
IF(AND(CD26=CB$5,CC$6&gt;=$D$115),1,0),
IF(CB26&amp;CE26=CF$5,1,0),
IF(CC26=CB$5,2,0),
IF(CD26=CB$5,1,0),
IF(OR(CB26&amp;CC26&amp;CD26=CB$5&amp;CC$5&amp;CD$5,CB26&amp;CC26&amp;CD26=CB$5&amp;CD$5&amp;CC$5,CB26&amp;CC26&amp;CD26=CC$5&amp;CB$5&amp;CD$5,CB26&amp;CC26&amp;CD26=CC$5&amp;CD$5&amp;CB$5,CB26&amp;CC26&amp;CD26=CD$5&amp;CB$5&amp;CC$5,CB26&amp;CC26&amp;CD26=CD$5&amp;CC$5&amp;CB$5),2,0),IF(AND(CB26=CB$5,CC$6&gt;=$D$129),1,0),IF(AND(CC26=CB$5,CC$6&gt;=$D$129),1,0),IF(AND(CD26=CB$5,CC$6&gt;=$D$129),1,0),IF(CB26&amp;CE26=CE$5,4,0),IF(AND(CB26=CB$5,CC$6&lt;=$D$104),-0.5,0),IF(AND(CC26=CB$5,CC$6&lt;=$D$104),-0.5,0),IF(AND(CD26=CB$5,CC$6&lt;=$D$104),-0.5,0))</f>
        <v/>
      </c>
      <c r="CG26" s="164">
        <f>IF(SEMANA29[[#This Row],[1]]="",0,$B$4)</f>
        <v/>
      </c>
      <c r="CH26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6" s="166">
        <f>IF(SEMANA29[[#This Row],[Columna14]]=0,0,(CH26/CG26))</f>
        <v/>
      </c>
      <c r="CJ26" s="165">
        <f>IF(SEMANA29[[#This Row],[1]]="",0,$B$4)</f>
        <v/>
      </c>
      <c r="CK26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6" s="166">
        <f>IF(SEMANA29[[#This Row],[Columna14]]=0,0,(CK26/CJ26))</f>
        <v/>
      </c>
      <c r="CM26" s="164">
        <f>IF(SEMANA29[[#This Row],[1]]="",0,$B$4)</f>
        <v/>
      </c>
      <c r="CN26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6" s="166">
        <f>IF(SEMANA29[[#This Row],[Columna14]]=0,0,(CN26/CM26))</f>
        <v/>
      </c>
      <c r="CP26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6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Row],[Columna25]],$AX$5,BA26,"SF")+COUNTIFS(SEMANA29[[#This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6" s="166">
        <f>IFERROR(IF(SEMANA29[[#This Row],[Columna14]]=0,0,(CQ26/CP26)),0)</f>
        <v/>
      </c>
      <c r="CS26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6" s="95">
        <f>_xlfn.XLOOKUP(SEMANA29[[#This Row],[COD]],SEMANA2[COD],SEMANA2[Columna33])</f>
        <v/>
      </c>
      <c r="CU26" s="604">
        <f>SUM(CS26,CT26)</f>
        <v/>
      </c>
      <c r="CV26" s="450">
        <f>IF(SEMANA29[[#This Row],[TIPO]]="PREMIO",$O$3,"0,00")</f>
        <v/>
      </c>
      <c r="CW26" s="576" t="n"/>
      <c r="CY26" s="392" t="inlineStr">
        <is>
          <t>CARRERA</t>
        </is>
      </c>
      <c r="CZ26" s="392" t="inlineStr">
        <is>
          <t>CODIGO</t>
        </is>
      </c>
      <c r="DA26" s="392" t="inlineStr">
        <is>
          <t>POSICION</t>
        </is>
      </c>
      <c r="DB26" s="605">
        <f>SEMANA29[[#This Row],[COD]]</f>
        <v/>
      </c>
      <c r="DC26" s="395">
        <f t="array" ref="DC26">IFERROR(IF(AND(INDEX($E$8:$CE$57, MATCH($C26, $C$8:$C$57, 0), (COLUMNS($DC26:DC26)-1)*5 + 1) = INDEX($E$5:$CE$5, 1, (COLUMNS($DC26:DC26)-1)*5 + 1), INDEX($E$8:$CE$57, MATCH($C26, $C$8:$C$57, 0), (COLUMNS($DC26:DC26)-1)*5 + 4) = "F"), INDEX($CZ$8:$CZ$23, COLUMNS($DC26:DC26)), "0"), "")</f>
        <v/>
      </c>
      <c r="DD26" s="395">
        <f t="array" ref="DD26">IFERROR(IF(AND(INDEX($E$8:$CE$57, MATCH($C26, $C$8:$C$57, 0), (COLUMNS($DC26:DD26)-1)*5 + 1) = INDEX($E$5:$CE$5, 1, (COLUMNS($DC26:DD26)-1)*5 + 1), INDEX($E$8:$CE$57, MATCH($C26, $C$8:$C$57, 0), (COLUMNS($DC26:DD26)-1)*5 + 4) = "F"), INDEX($CZ$8:$CZ$23, COLUMNS($DC26:DD26)), "0"), "")</f>
        <v/>
      </c>
      <c r="DE26" s="395">
        <f t="array" ref="DE26">IFERROR(IF(AND(INDEX($E$8:$CE$57, MATCH($C26, $C$8:$C$57, 0), (COLUMNS($DC26:DE26)-1)*5 + 1) = INDEX($E$5:$CE$5, 1, (COLUMNS($DC26:DE26)-1)*5 + 1), INDEX($E$8:$CE$57, MATCH($C26, $C$8:$C$57, 0), (COLUMNS($DC26:DE26)-1)*5 + 4) = "F"), INDEX($CZ$8:$CZ$23, COLUMNS($DC26:DE26)), "0"), "")</f>
        <v/>
      </c>
      <c r="DF26" s="395">
        <f t="array" ref="DF26">IFERROR(IF(AND(INDEX($E$8:$CE$57, MATCH($C26, $C$8:$C$57, 0), (COLUMNS($DC26:DF26)-1)*5 + 1) = INDEX($E$5:$CE$5, 1, (COLUMNS($DC26:DF26)-1)*5 + 1), INDEX($E$8:$CE$57, MATCH($C26, $C$8:$C$57, 0), (COLUMNS($DC26:DF26)-1)*5 + 4) = "F"), INDEX($CZ$8:$CZ$23, COLUMNS($DC26:DF26)), "0"), "")</f>
        <v/>
      </c>
      <c r="DG26" s="395">
        <f t="array" ref="DG26">IFERROR(IF(AND(INDEX($E$8:$CE$57, MATCH($C26, $C$8:$C$57, 0), (COLUMNS($DC26:DG26)-1)*5 + 1) = INDEX($E$5:$CE$5, 1, (COLUMNS($DC26:DG26)-1)*5 + 1), INDEX($E$8:$CE$57, MATCH($C26, $C$8:$C$57, 0), (COLUMNS($DC26:DG26)-1)*5 + 4) = "F"), INDEX($CZ$8:$CZ$23, COLUMNS($DC26:DG26)), "0"), "")</f>
        <v/>
      </c>
      <c r="DH26" s="395">
        <f t="array" ref="DH26">IFERROR(IF(AND(INDEX($E$8:$CE$57, MATCH($C26, $C$8:$C$57, 0), (COLUMNS($DC26:DH26)-1)*5 + 1) = INDEX($E$5:$CE$5, 1, (COLUMNS($DC26:DH26)-1)*5 + 1), INDEX($E$8:$CE$57, MATCH($C26, $C$8:$C$57, 0), (COLUMNS($DC26:DH26)-1)*5 + 4) = "F"), INDEX($CZ$8:$CZ$23, COLUMNS($DC26:DH26)), "0"), "")</f>
        <v/>
      </c>
      <c r="DI26" s="395">
        <f t="array" ref="DI26">IFERROR(IF(AND(INDEX($E$8:$CE$57, MATCH($C26, $C$8:$C$57, 0), (COLUMNS($DC26:DI26)-1)*5 + 1) = INDEX($E$5:$CE$5, 1, (COLUMNS($DC26:DI26)-1)*5 + 1), INDEX($E$8:$CE$57, MATCH($C26, $C$8:$C$57, 0), (COLUMNS($DC26:DI26)-1)*5 + 4) = "F"), INDEX($CZ$8:$CZ$23, COLUMNS($DC26:DI26)), "0"), "")</f>
        <v/>
      </c>
      <c r="DJ26" s="395">
        <f t="array" ref="DJ26">IFERROR(IF(AND(INDEX($E$8:$CE$57, MATCH($C26, $C$8:$C$57, 0), (COLUMNS($DC26:DJ26)-1)*5 + 1) = INDEX($E$5:$CE$5, 1, (COLUMNS($DC26:DJ26)-1)*5 + 1), INDEX($E$8:$CE$57, MATCH($C26, $C$8:$C$57, 0), (COLUMNS($DC26:DJ26)-1)*5 + 4) = "F"), INDEX($CZ$8:$CZ$23, COLUMNS($DC26:DJ26)), "0"), "")</f>
        <v/>
      </c>
      <c r="DK26" s="395">
        <f t="array" ref="DK26">IFERROR(IF(AND(INDEX($E$8:$CE$57, MATCH($C26, $C$8:$C$57, 0), (COLUMNS($DC26:DK26)-1)*5 + 1) = INDEX($E$5:$CE$5, 1, (COLUMNS($DC26:DK26)-1)*5 + 1), INDEX($E$8:$CE$57, MATCH($C26, $C$8:$C$57, 0), (COLUMNS($DC26:DK26)-1)*5 + 4) = "F"), INDEX($CZ$8:$CZ$23, COLUMNS($DC26:DK26)), "0"), "")</f>
        <v/>
      </c>
      <c r="DL26" s="395">
        <f t="array" ref="DL26">IFERROR(IF(AND(INDEX($E$8:$CE$57, MATCH($C26, $C$8:$C$57, 0), (COLUMNS($DC26:DL26)-1)*5 + 1) = INDEX($E$5:$CE$5, 1, (COLUMNS($DC26:DL26)-1)*5 + 1), INDEX($E$8:$CE$57, MATCH($C26, $C$8:$C$57, 0), (COLUMNS($DC26:DL26)-1)*5 + 4) = "F"), INDEX($CZ$8:$CZ$23, COLUMNS($DC26:DL26)), "0"), "")</f>
        <v/>
      </c>
      <c r="DM26" s="395">
        <f t="array" ref="DM26">IFERROR(IF(AND(INDEX($E$8:$CE$57, MATCH($C26, $C$8:$C$57, 0), (COLUMNS($DC26:DM26)-1)*5 + 1) = INDEX($E$5:$CE$5, 1, (COLUMNS($DC26:DM26)-1)*5 + 1), INDEX($E$8:$CE$57, MATCH($C26, $C$8:$C$57, 0), (COLUMNS($DC26:DM26)-1)*5 + 4) = "F"), INDEX($CZ$8:$CZ$23, COLUMNS($DC26:DM26)), "0"), "")</f>
        <v/>
      </c>
      <c r="DN26" s="395">
        <f t="array" ref="DN26">IFERROR(IF(AND(INDEX($E$8:$CE$57, MATCH($C26, $C$8:$C$57, 0), (COLUMNS($DC26:DN26)-1)*5 + 1) = INDEX($E$5:$CE$5, 1, (COLUMNS($DC26:DN26)-1)*5 + 1), INDEX($E$8:$CE$57, MATCH($C26, $C$8:$C$57, 0), (COLUMNS($DC26:DN26)-1)*5 + 4) = "F"), INDEX($CZ$8:$CZ$23, COLUMNS($DC26:DN26)), "0"), "")</f>
        <v/>
      </c>
      <c r="DO26" s="395">
        <f t="array" ref="DO26">IFERROR(IF(AND(INDEX($E$8:$CE$57, MATCH($C26, $C$8:$C$57, 0), (COLUMNS($DC26:DO26)-1)*5 + 1) = INDEX($E$5:$CE$5, 1, (COLUMNS($DC26:DO26)-1)*5 + 1), INDEX($E$8:$CE$57, MATCH($C26, $C$8:$C$57, 0), (COLUMNS($DC26:DO26)-1)*5 + 4) = "F"), INDEX($CZ$8:$CZ$23, COLUMNS($DC26:DO26)), "0"), "")</f>
        <v/>
      </c>
      <c r="DP26" s="395">
        <f t="array" ref="DP26">IFERROR(IF(AND(INDEX($E$8:$CE$57, MATCH($C26, $C$8:$C$57, 0), (COLUMNS($DC26:DP26)-1)*5 + 1) = INDEX($E$5:$CE$5, 1, (COLUMNS($DC26:DP26)-1)*5 + 1), INDEX($E$8:$CE$57, MATCH($C26, $C$8:$C$57, 0), (COLUMNS($DC26:DP26)-1)*5 + 4) = "F"), INDEX($CZ$8:$CZ$23, COLUMNS($DC26:DP26)), "0"), "")</f>
        <v/>
      </c>
      <c r="DQ26" s="395">
        <f t="array" ref="DQ26">IFERROR(IF(AND(INDEX($E$8:$CE$57, MATCH($C26, $C$8:$C$57, 0), (COLUMNS($DC26:DQ26)-1)*5 + 1) = INDEX($E$5:$CE$5, 1, (COLUMNS($DC26:DQ26)-1)*5 + 1), INDEX($E$8:$CE$57, MATCH($C26, $C$8:$C$57, 0), (COLUMNS($DC26:DQ26)-1)*5 + 4) = "F"), INDEX($CZ$8:$CZ$23, COLUMNS($DC26:DQ26)), "0"), "")</f>
        <v/>
      </c>
      <c r="DR26" s="395">
        <f t="array" ref="DR26">IFERROR(IF(AND(INDEX($E$8:$CE$57, MATCH($C26, $C$8:$C$57, 0), (COLUMNS($DC26:DR26)-1)*5 + 1) = INDEX($E$5:$CE$5, 1, (COLUMNS($DC26:DR26)-1)*5 + 1), INDEX($E$8:$CE$57, MATCH($C26, $C$8:$C$57, 0), (COLUMNS($DC26:DR26)-1)*5 + 4) = "F"), INDEX($CZ$8:$CZ$23, COLUMNS($DC26:DR26)), "0"), "")</f>
        <v/>
      </c>
      <c r="DT26" s="605">
        <f>SEMANA29[[#This Row],[COD]]</f>
        <v/>
      </c>
      <c r="DU26" s="395">
        <f t="array" ref="DU26">IFERROR(IF(AND(INDEX($E$8:$CE$57, MATCH($C26, $C$8:$C$57, 0), (COLUMNS($DU26:DU26)-1)*5 + 1) = INDEX($E$5:$CE$5, 1, (COLUMNS($DU26:DU26)-1)*5 + 1), INDEX($E$8:$CE$57, MATCH($C26, $C$8:$C$57, 0), (COLUMNS($DU26:DU26)-1)*5 + 4) = "SF"), INDEX($CZ$8:$CZ$23, COLUMNS($DU26:DU26)), "0"), "")</f>
        <v/>
      </c>
      <c r="DV26" s="395">
        <f t="array" ref="DV26">IFERROR(IF(AND(INDEX($E$8:$CE$57, MATCH($C26, $C$8:$C$57, 0), (COLUMNS($DU26:DV26)-1)*5 + 1) = INDEX($E$5:$CE$5, 1, (COLUMNS($DU26:DV26)-1)*5 + 1), INDEX($E$8:$CE$57, MATCH($C26, $C$8:$C$57, 0), (COLUMNS($DU26:DV26)-1)*5 + 4) = "SF"), INDEX($CZ$8:$CZ$23, COLUMNS($DU26:DV26)), "0"), "")</f>
        <v/>
      </c>
      <c r="DW26" s="395">
        <f t="array" ref="DW26">IFERROR(IF(AND(INDEX($E$8:$CE$57, MATCH($C26, $C$8:$C$57, 0), (COLUMNS($DU26:DW26)-1)*5 + 1) = INDEX($E$5:$CE$5, 1, (COLUMNS($DU26:DW26)-1)*5 + 1), INDEX($E$8:$CE$57, MATCH($C26, $C$8:$C$57, 0), (COLUMNS($DU26:DW26)-1)*5 + 4) = "SF"), INDEX($CZ$8:$CZ$23, COLUMNS($DU26:DW26)), "0"), "")</f>
        <v/>
      </c>
      <c r="DX26" s="395">
        <f t="array" ref="DX26">IFERROR(IF(AND(INDEX($E$8:$CE$57, MATCH($C26, $C$8:$C$57, 0), (COLUMNS($DU26:DX26)-1)*5 + 1) = INDEX($E$5:$CE$5, 1, (COLUMNS($DU26:DX26)-1)*5 + 1), INDEX($E$8:$CE$57, MATCH($C26, $C$8:$C$57, 0), (COLUMNS($DU26:DX26)-1)*5 + 4) = "SF"), INDEX($CZ$8:$CZ$23, COLUMNS($DU26:DX26)), "0"), "")</f>
        <v/>
      </c>
      <c r="DY26" s="395">
        <f t="array" ref="DY26">IFERROR(IF(AND(INDEX($E$8:$CE$57, MATCH($C26, $C$8:$C$57, 0), (COLUMNS($DU26:DY26)-1)*5 + 1) = INDEX($E$5:$CE$5, 1, (COLUMNS($DU26:DY26)-1)*5 + 1), INDEX($E$8:$CE$57, MATCH($C26, $C$8:$C$57, 0), (COLUMNS($DU26:DY26)-1)*5 + 4) = "SF"), INDEX($CZ$8:$CZ$23, COLUMNS($DU26:DY26)), "0"), "")</f>
        <v/>
      </c>
      <c r="DZ26" s="395">
        <f t="array" ref="DZ26">IFERROR(IF(AND(INDEX($E$8:$CE$57, MATCH($C26, $C$8:$C$57, 0), (COLUMNS($DU26:DZ26)-1)*5 + 1) = INDEX($E$5:$CE$5, 1, (COLUMNS($DU26:DZ26)-1)*5 + 1), INDEX($E$8:$CE$57, MATCH($C26, $C$8:$C$57, 0), (COLUMNS($DU26:DZ26)-1)*5 + 4) = "SF"), INDEX($CZ$8:$CZ$23, COLUMNS($DU26:DZ26)), "0"), "")</f>
        <v/>
      </c>
      <c r="EA26" s="395">
        <f t="array" ref="EA26">IFERROR(IF(AND(INDEX($E$8:$CE$57, MATCH($C26, $C$8:$C$57, 0), (COLUMNS($DU26:EA26)-1)*5 + 1) = INDEX($E$5:$CE$5, 1, (COLUMNS($DU26:EA26)-1)*5 + 1), INDEX($E$8:$CE$57, MATCH($C26, $C$8:$C$57, 0), (COLUMNS($DU26:EA26)-1)*5 + 4) = "SF"), INDEX($CZ$8:$CZ$23, COLUMNS($DU26:EA26)), "0"), "")</f>
        <v/>
      </c>
      <c r="EB26" s="395">
        <f t="array" ref="EB26">IFERROR(IF(AND(INDEX($E$8:$CE$57, MATCH($C26, $C$8:$C$57, 0), (COLUMNS($DU26:EB26)-1)*5 + 1) = INDEX($E$5:$CE$5, 1, (COLUMNS($DU26:EB26)-1)*5 + 1), INDEX($E$8:$CE$57, MATCH($C26, $C$8:$C$57, 0), (COLUMNS($DU26:EB26)-1)*5 + 4) = "SF"), INDEX($CZ$8:$CZ$23, COLUMNS($DU26:EB26)), "0"), "")</f>
        <v/>
      </c>
      <c r="EC26" s="395">
        <f t="array" ref="EC26">IFERROR(IF(AND(INDEX($E$8:$CE$57, MATCH($C26, $C$8:$C$57, 0), (COLUMNS($DU26:EC26)-1)*5 + 1) = INDEX($E$5:$CE$5, 1, (COLUMNS($DU26:EC26)-1)*5 + 1), INDEX($E$8:$CE$57, MATCH($C26, $C$8:$C$57, 0), (COLUMNS($DU26:EC26)-1)*5 + 4) = "SF"), INDEX($CZ$8:$CZ$23, COLUMNS($DU26:EC26)), "0"), "")</f>
        <v/>
      </c>
      <c r="ED26" s="395">
        <f t="array" ref="ED26">IFERROR(IF(AND(INDEX($E$8:$CE$57, MATCH($C26, $C$8:$C$57, 0), (COLUMNS($DU26:ED26)-1)*5 + 1) = INDEX($E$5:$CE$5, 1, (COLUMNS($DU26:ED26)-1)*5 + 1), INDEX($E$8:$CE$57, MATCH($C26, $C$8:$C$57, 0), (COLUMNS($DU26:ED26)-1)*5 + 4) = "SF"), INDEX($CZ$8:$CZ$23, COLUMNS($DU26:ED26)), "0"), "")</f>
        <v/>
      </c>
      <c r="EE26" s="395">
        <f t="array" ref="EE26">IFERROR(IF(AND(INDEX($E$8:$CE$57, MATCH($C26, $C$8:$C$57, 0), (COLUMNS($DU26:EE26)-1)*5 + 1) = INDEX($E$5:$CE$5, 1, (COLUMNS($DU26:EE26)-1)*5 + 1), INDEX($E$8:$CE$57, MATCH($C26, $C$8:$C$57, 0), (COLUMNS($DU26:EE26)-1)*5 + 4) = "SF"), INDEX($CZ$8:$CZ$23, COLUMNS($DU26:EE26)), "0"), "")</f>
        <v/>
      </c>
      <c r="EF26" s="395">
        <f t="array" ref="EF26">IFERROR(IF(AND(INDEX($E$8:$CE$57, MATCH($C26, $C$8:$C$57, 0), (COLUMNS($DU26:EF26)-1)*5 + 1) = INDEX($E$5:$CE$5, 1, (COLUMNS($DU26:EF26)-1)*5 + 1), INDEX($E$8:$CE$57, MATCH($C26, $C$8:$C$57, 0), (COLUMNS($DU26:EF26)-1)*5 + 4) = "SF"), INDEX($CZ$8:$CZ$23, COLUMNS($DU26:EF26)), "0"), "")</f>
        <v/>
      </c>
      <c r="EG26" s="395">
        <f t="array" ref="EG26">IFERROR(IF(AND(INDEX($E$8:$CE$57, MATCH($C26, $C$8:$C$57, 0), (COLUMNS($DU26:EG26)-1)*5 + 1) = INDEX($E$5:$CE$5, 1, (COLUMNS($DU26:EG26)-1)*5 + 1), INDEX($E$8:$CE$57, MATCH($C26, $C$8:$C$57, 0), (COLUMNS($DU26:EG26)-1)*5 + 4) = "SF"), INDEX($CZ$8:$CZ$23, COLUMNS($DU26:EG26)), "0"), "")</f>
        <v/>
      </c>
      <c r="EH26" s="395">
        <f t="array" ref="EH26">IFERROR(IF(AND(INDEX($E$8:$CE$57, MATCH($C26, $C$8:$C$57, 0), (COLUMNS($DU26:EH26)-1)*5 + 1) = INDEX($E$5:$CE$5, 1, (COLUMNS($DU26:EH26)-1)*5 + 1), INDEX($E$8:$CE$57, MATCH($C26, $C$8:$C$57, 0), (COLUMNS($DU26:EH26)-1)*5 + 4) = "SF"), INDEX($CZ$8:$CZ$23, COLUMNS($DU26:EH26)), "0"), "")</f>
        <v/>
      </c>
      <c r="EI26" s="395">
        <f t="array" ref="EI26">IFERROR(IF(AND(INDEX($E$8:$CE$57, MATCH($C26, $C$8:$C$57, 0), (COLUMNS($DU26:EI26)-1)*5 + 1) = INDEX($E$5:$CE$5, 1, (COLUMNS($DU26:EI26)-1)*5 + 1), INDEX($E$8:$CE$57, MATCH($C26, $C$8:$C$57, 0), (COLUMNS($DU26:EI26)-1)*5 + 4) = "SF"), INDEX($CZ$8:$CZ$23, COLUMNS($DU26:EI26)), "0"), "")</f>
        <v/>
      </c>
      <c r="EJ26" s="395">
        <f t="array" ref="EJ26">IFERROR(IF(AND(INDEX($E$8:$CE$57, MATCH($C26, $C$8:$C$57, 0), (COLUMNS($DU26:EJ26)-1)*5 + 1) = INDEX($E$5:$CE$5, 1, (COLUMNS($DU26:EJ26)-1)*5 + 1), INDEX($E$8:$CE$57, MATCH($C26, $C$8:$C$57, 0), (COLUMNS($DU26:EJ26)-1)*5 + 4) = "SF"), INDEX($CZ$8:$CZ$23, COLUMNS($DU26:EJ26)), "0"), "")</f>
        <v/>
      </c>
    </row>
    <row r="27" ht="19.5" customHeight="1" s="568">
      <c r="A27" s="576" t="n"/>
      <c r="B27" s="449">
        <f>IF(SEMANA29[[#This Row],[COD]]&lt;&gt;"",B26+1,"")</f>
        <v/>
      </c>
      <c r="C27" s="622" t="inlineStr">
        <is>
          <t>COD 20</t>
        </is>
      </c>
      <c r="D27" s="415">
        <f t="array" ref="D27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7" s="416" t="n"/>
      <c r="F27" s="422" t="n"/>
      <c r="G27" s="422" t="n"/>
      <c r="H27" s="422" t="n"/>
      <c r="I27" s="602">
        <f>SUM(IF(E27=E$5,4,0),IF(E27&amp;F27=E$5&amp;F$5,1,0),
IF(AND(E27=E$5,F$6&gt;=$D$115),1,0),
IF(AND(F27=E$5,F$6&gt;=$D$115),1,0),
IF(AND(G27=E$5,F$6&gt;=$D$115),1,0),
IF(E27&amp;H27=I$5,1,0),
IF(F27=E$5,2,0),
IF(G27=E$5,1,0),
IF(OR(E27&amp;F27&amp;G27=E$5&amp;F$5&amp;G$5,E27&amp;F27&amp;G27=E$5&amp;G$5&amp;F$5,E27&amp;F27&amp;G27=F$5&amp;E$5&amp;G$5,E27&amp;F27&amp;G27=F$5&amp;G$5&amp;E$5,E27&amp;F27&amp;G27=G$5&amp;E$5&amp;F$5,E27&amp;F27&amp;G27=G$5&amp;F$5&amp;E$5),2,0),IF(AND(E27=E$5,F$6&gt;=$D$129),1,0),IF(AND(F27=E$5,F$6&gt;=$D$129),1,0),IF(AND(G27=E$5,F$6&gt;=$D$129),1,0),IF(E27&amp;H27=H$5,4,0),IF(AND(E27=E$5,F$6&lt;=$D$104),-0.5,0),IF(AND(F27=E$5,F$6&lt;=$D$104),-0.5,0),IF(AND(G27=E$5,F$6&lt;=$D$104),-0.5,0))</f>
        <v/>
      </c>
      <c r="J27" s="416" t="n"/>
      <c r="K27" s="422" t="n"/>
      <c r="L27" s="422" t="n"/>
      <c r="M27" s="422" t="n"/>
      <c r="N27" s="602">
        <f>SUM(IF(J27=J$5,4,0),IF(J27&amp;K27=J$5&amp;K$5,1,0),
IF(AND(J27=J$5,K$6&gt;=$D$115),1,0),
IF(AND(K27=J$5,K$6&gt;=$D$115),1,0),
IF(AND(L27=J$5,K$6&gt;=$D$115),1,0),
IF(J27&amp;M27=N$5,1,0),
IF(K27=J$5,2,0),
IF(L27=J$5,1,0),
IF(OR(J27&amp;K27&amp;L27=J$5&amp;K$5&amp;L$5,J27&amp;K27&amp;L27=J$5&amp;L$5&amp;K$5,J27&amp;K27&amp;L27=K$5&amp;J$5&amp;L$5,J27&amp;K27&amp;L27=K$5&amp;L$5&amp;J$5,J27&amp;K27&amp;L27=L$5&amp;J$5&amp;K$5,J27&amp;K27&amp;L27=L$5&amp;K$5&amp;J$5),2,0),IF(AND(J27=J$5,K$6&gt;=$D$129),1,0),IF(AND(K27=J$5,K$6&gt;=$D$129),1,0),IF(AND(L27=J$5,K$6&gt;=$D$129),1,0),IF(J27&amp;M27=M$5,4,0),IF(AND(J27=J$5,K$6&lt;=$D$104),-0.5,0),IF(AND(K27=J$5,K$6&lt;=$D$104),-0.5,0),IF(AND(L27=J$5,K$6&lt;=$D$104),-0.5,0))</f>
        <v/>
      </c>
      <c r="O27" s="416" t="n"/>
      <c r="P27" s="422" t="n"/>
      <c r="Q27" s="422" t="n"/>
      <c r="R27" s="422" t="n"/>
      <c r="S27" s="602">
        <f>SUM(IF(O27=O$5,4,0),IF(O27&amp;P27=O$5&amp;P$5,1,0),
IF(AND(O27=O$5,P$6&gt;=$D$115),1,0),
IF(AND(P27=O$5,P$6&gt;=$D$115),1,0),
IF(AND(Q27=O$5,P$6&gt;=$D$115),1,0),
IF(O27&amp;R27=S$5,1,0),
IF(P27=O$5,2,0),
IF(Q27=O$5,1,0),
IF(OR(O27&amp;P27&amp;Q27=O$5&amp;P$5&amp;Q$5,O27&amp;P27&amp;Q27=O$5&amp;Q$5&amp;P$5,O27&amp;P27&amp;Q27=P$5&amp;O$5&amp;Q$5,O27&amp;P27&amp;Q27=P$5&amp;Q$5&amp;O$5,O27&amp;P27&amp;Q27=Q$5&amp;O$5&amp;P$5,O27&amp;P27&amp;Q27=Q$5&amp;P$5&amp;O$5),2,0),IF(AND(O27=O$5,P$6&gt;=$D$129),1,0),IF(AND(P27=O$5,P$6&gt;=$D$129),1,0),IF(AND(Q27=O$5,P$6&gt;=$D$129),1,0),IF(O27&amp;R27=R$5,4,0),IF(AND(O27=O$5,P$6&lt;=$D$104),-0.5,0),IF(AND(P27=O$5,P$6&lt;=$D$104),-0.5,0),IF(AND(Q27=O$5,P$6&lt;=$D$104),-0.5,0))</f>
        <v/>
      </c>
      <c r="T27" s="416" t="n"/>
      <c r="U27" s="422" t="n"/>
      <c r="V27" s="422" t="n"/>
      <c r="W27" s="422" t="n"/>
      <c r="X27" s="602">
        <f>SUM(IF(T27=T$5,4,0),IF(T27&amp;U27=T$5&amp;U$5,1,0),
IF(AND(T27=T$5,U$6&gt;=$D$115),1,0),
IF(AND(U27=T$5,U$6&gt;=$D$115),1,0),
IF(AND(V27=T$5,U$6&gt;=$D$115),1,0),
IF(T27&amp;W27=X$5,1,0),
IF(U27=T$5,2,0),
IF(V27=T$5,1,0),
IF(OR(T27&amp;U27&amp;V27=T$5&amp;U$5&amp;V$5,T27&amp;U27&amp;V27=T$5&amp;V$5&amp;U$5,T27&amp;U27&amp;V27=U$5&amp;T$5&amp;V$5,T27&amp;U27&amp;V27=U$5&amp;V$5&amp;T$5,T27&amp;U27&amp;V27=V$5&amp;T$5&amp;U$5,T27&amp;U27&amp;V27=V$5&amp;U$5&amp;T$5),2,0),IF(AND(T27=T$5,U$6&gt;=$D$129),1,0),IF(AND(U27=T$5,U$6&gt;=$D$129),1,0),IF(AND(V27=T$5,U$6&gt;=$D$129),1,0),IF(T27&amp;W27=W$5,4,0),IF(AND(T27=T$5,U$6&lt;=$D$104),-0.5,0),IF(AND(U27=T$5,U$6&lt;=$D$104),-0.5,0),IF(AND(V27=T$5,U$6&lt;=$D$104),-0.5,0))</f>
        <v/>
      </c>
      <c r="Y27" s="416" t="n"/>
      <c r="Z27" s="422" t="n"/>
      <c r="AA27" s="422" t="n"/>
      <c r="AB27" s="422" t="n"/>
      <c r="AC27" s="602">
        <f>SUM(IF(Y27=Y$5,4,0),IF(Y27&amp;Z27=Y$5&amp;Z$5,1,0),
IF(AND(Y27=Y$5,Z$6&gt;=$D$115),1,0),
IF(AND(Z27=Y$5,Z$6&gt;=$D$115),1,0),
IF(AND(AA27=Y$5,Z$6&gt;=$D$115),1,0),
IF(Y27&amp;AB27=AC$5,1,0),
IF(Z27=Y$5,2,0),
IF(AA27=Y$5,1,0),
IF(OR(Y27&amp;Z27&amp;AA27=Y$5&amp;Z$5&amp;AA$5,Y27&amp;Z27&amp;AA27=Y$5&amp;AA$5&amp;Z$5,Y27&amp;Z27&amp;AA27=Z$5&amp;Y$5&amp;AA$5,Y27&amp;Z27&amp;AA27=Z$5&amp;AA$5&amp;Y$5,Y27&amp;Z27&amp;AA27=AA$5&amp;Y$5&amp;Z$5,Y27&amp;Z27&amp;AA27=AA$5&amp;Z$5&amp;Y$5),2,0),IF(AND(Y27=Y$5,Z$6&gt;=$D$129),1,0),IF(AND(Z27=Y$5,Z$6&gt;=$D$129),1,0),IF(AND(AA27=Y$5,Z$6&gt;=$D$129),1,0),IF(Y27&amp;AB27=AB$5,4,0),IF(AND(Y27=Y$5,Z$6&lt;=$D$104),-0.5,0),IF(AND(Z27=Y$5,Z$6&lt;=$D$104),-0.5,0),IF(AND(AA27=Y$5,Z$6&lt;=$D$104),-0.5,0))</f>
        <v/>
      </c>
      <c r="AD27" s="416" t="n"/>
      <c r="AE27" s="422" t="n"/>
      <c r="AF27" s="422" t="n"/>
      <c r="AG27" s="422" t="n"/>
      <c r="AH27" s="602">
        <f>SUM(IF(AD27=AD$5,4,0),IF(AD27&amp;AE27=AD$5&amp;AE$5,1,0),
IF(AND(AD27=AD$5,AE$6&gt;=$D$115),1,0),
IF(AND(AE27=AD$5,AE$6&gt;=$D$115),1,0),
IF(AND(AF27=AD$5,AE$6&gt;=$D$115),1,0),
IF(AD27&amp;AG27=AH$5,1,0),
IF(AE27=AD$5,2,0),
IF(AF27=AD$5,1,0),
IF(OR(AD27&amp;AE27&amp;AF27=AD$5&amp;AE$5&amp;AF$5,AD27&amp;AE27&amp;AF27=AD$5&amp;AF$5&amp;AE$5,AD27&amp;AE27&amp;AF27=AE$5&amp;AD$5&amp;AF$5,AD27&amp;AE27&amp;AF27=AE$5&amp;AF$5&amp;AD$5,AD27&amp;AE27&amp;AF27=AF$5&amp;AD$5&amp;AE$5,AD27&amp;AE27&amp;AF27=AF$5&amp;AE$5&amp;AD$5),2,0),IF(AND(AD27=AD$5,AE$6&gt;=$D$129),1,0),IF(AND(AE27=AD$5,AE$6&gt;=$D$129),1,0),IF(AND(AF27=AD$5,AE$6&gt;=$D$129),1,0),IF(AD27&amp;AG27=AG$5,4,0),IF(AND(AD27=AD$5,AE$6&lt;=$D$104),-0.5,0),IF(AND(AE27=AD$5,AE$6&lt;=$D$104),-0.5,0),IF(AND(AF27=AD$5,AE$6&lt;=$D$104),-0.5,0))</f>
        <v/>
      </c>
      <c r="AI27" s="416" t="n"/>
      <c r="AJ27" s="422" t="n"/>
      <c r="AK27" s="422" t="n"/>
      <c r="AL27" s="422" t="n"/>
      <c r="AM27" s="602">
        <f>SUM(IF(AI27=AI$5,4,0),IF(AI27&amp;AJ27=AI$5&amp;AJ$5,1,0),
IF(AND(AI27=AI$5,AJ$6&gt;=$D$115),1,0),
IF(AND(AJ27=AI$5,AJ$6&gt;=$D$115),1,0),
IF(AND(AK27=AI$5,AJ$6&gt;=$D$115),1,0),
IF(AI27&amp;AL27=AM$5,1,0),
IF(AJ27=AI$5,2,0),
IF(AK27=AI$5,1,0),
IF(OR(AI27&amp;AJ27&amp;AK27=AI$5&amp;AJ$5&amp;AK$5,AI27&amp;AJ27&amp;AK27=AI$5&amp;AK$5&amp;AJ$5,AI27&amp;AJ27&amp;AK27=AJ$5&amp;AI$5&amp;AK$5,AI27&amp;AJ27&amp;AK27=AJ$5&amp;AK$5&amp;AI$5,AI27&amp;AJ27&amp;AK27=AK$5&amp;AI$5&amp;AJ$5,AI27&amp;AJ27&amp;AK27=AK$5&amp;AJ$5&amp;AI$5),2,0),IF(AND(AI27=AI$5,AJ$6&gt;=$D$129),1,0),IF(AND(AJ27=AI$5,AJ$6&gt;=$D$129),1,0),IF(AND(AK27=AI$5,AJ$6&gt;=$D$129),1,0),IF(AI27&amp;AL27=AL$5,4,0),IF(AND(AI27=AI$5,AJ$6&lt;=$D$104),-0.5,0),IF(AND(AJ27=AI$5,AJ$6&lt;=$D$104),-0.5,0),IF(AND(AK27=AI$5,AJ$6&lt;=$D$104),-0.5,0))</f>
        <v/>
      </c>
      <c r="AN27" s="416" t="n"/>
      <c r="AO27" s="422" t="n"/>
      <c r="AP27" s="422" t="n"/>
      <c r="AQ27" s="422" t="n"/>
      <c r="AR27" s="602">
        <f>SUM(IF(AN27=AN$5,4,0),IF(AN27&amp;AO27=AN$5&amp;AO$5,1,0),
IF(AND(AN27=AN$5,AO$6&gt;=$D$115),1,0),
IF(AND(AO27=AN$5,AO$6&gt;=$D$115),1,0),
IF(AND(AP27=AN$5,AO$6&gt;=$D$115),1,0),
IF(AN27&amp;AQ27=AR$5,1,0),
IF(AO27=AN$5,2,0),
IF(AP27=AN$5,1,0),
IF(OR(AN27&amp;AO27&amp;AP27=AN$5&amp;AO$5&amp;AP$5,AN27&amp;AO27&amp;AP27=AN$5&amp;AP$5&amp;AO$5,AN27&amp;AO27&amp;AP27=AO$5&amp;AN$5&amp;AP$5,AN27&amp;AO27&amp;AP27=AO$5&amp;AP$5&amp;AN$5,AN27&amp;AO27&amp;AP27=AP$5&amp;AN$5&amp;AO$5,AN27&amp;AO27&amp;AP27=AP$5&amp;AO$5&amp;AN$5),2,0),IF(AND(AN27=AN$5,AO$6&gt;=$D$129),1,0),IF(AND(AO27=AN$5,AO$6&gt;=$D$129),1,0),IF(AND(AP27=AN$5,AO$6&gt;=$D$129),1,0),IF(AN27&amp;AQ27=AQ$5,4,0),IF(AND(AN27=AN$5,AO$6&lt;=$D$104),-0.5,0),IF(AND(AO27=AN$5,AO$6&lt;=$D$104),-0.5,0),IF(AND(AP27=AN$5,AO$6&lt;=$D$104),-0.5,0))</f>
        <v/>
      </c>
      <c r="AS27" s="416" t="n"/>
      <c r="AT27" s="422" t="n"/>
      <c r="AU27" s="422" t="n"/>
      <c r="AV27" s="422" t="n"/>
      <c r="AW27" s="602">
        <f>SUM(IF(AS27=AS$5,4,0),IF(AS27&amp;AT27=AS$5&amp;AT$5,1,0),
IF(AND(AS27=AS$5,AT$6&gt;=$D$115),1,0),
IF(AND(AT27=AS$5,AT$6&gt;=$D$115),1,0),
IF(AND(AU27=AS$5,AT$6&gt;=$D$115),1,0),
IF(AS27&amp;AV27=AW$5,1,0),
IF(AT27=AS$5,2,0),
IF(AU27=AS$5,1,0),
IF(OR(AS27&amp;AT27&amp;AU27=AS$5&amp;AT$5&amp;AU$5,AS27&amp;AT27&amp;AU27=AS$5&amp;AU$5&amp;AT$5,AS27&amp;AT27&amp;AU27=AT$5&amp;AS$5&amp;AU$5,AS27&amp;AT27&amp;AU27=AT$5&amp;AU$5&amp;AS$5,AS27&amp;AT27&amp;AU27=AU$5&amp;AS$5&amp;AT$5,AS27&amp;AT27&amp;AU27=AU$5&amp;AT$5&amp;AS$5),2,0),IF(AND(AS27=AS$5,AT$6&gt;=$D$129),1,0),IF(AND(AT27=AS$5,AT$6&gt;=$D$129),1,0),IF(AND(AU27=AS$5,AT$6&gt;=$D$129),1,0),IF(AS27&amp;AV27=AV$5,4,0),IF(AND(AS27=AS$5,AT$6&lt;=$D$104),-0.5,0),IF(AND(AT27=AS$5,AT$6&lt;=$D$104),-0.5,0),IF(AND(AU27=AS$5,AT$6&lt;=$D$104),-0.5,0))</f>
        <v/>
      </c>
      <c r="AX27" s="416" t="n"/>
      <c r="AY27" s="422" t="n"/>
      <c r="AZ27" s="422" t="n"/>
      <c r="BA27" s="422" t="n"/>
      <c r="BB27" s="602">
        <f>SUM(IF(AX27=AX$5,4,0),IF(AX27&amp;AY27=AX$5&amp;AY$5,1,0),
IF(AND(AX27=AX$5,AY$6&gt;=$D$115),1,0),
IF(AND(AY27=AX$5,AY$6&gt;=$D$115),1,0),
IF(AND(AZ27=AX$5,AY$6&gt;=$D$115),1,0),
IF(AX27&amp;BA27=BB$5,1,0),
IF(AY27=AX$5,2,0),
IF(AZ27=AX$5,1,0),
IF(OR(AX27&amp;AY27&amp;AZ27=AX$5&amp;AY$5&amp;AZ$5,AX27&amp;AY27&amp;AZ27=AX$5&amp;AZ$5&amp;AY$5,AX27&amp;AY27&amp;AZ27=AY$5&amp;AX$5&amp;AZ$5,AX27&amp;AY27&amp;AZ27=AY$5&amp;AZ$5&amp;AX$5,AX27&amp;AY27&amp;AZ27=AZ$5&amp;AX$5&amp;AY$5,AX27&amp;AY27&amp;AZ27=AZ$5&amp;AY$5&amp;AX$5),2,0),IF(AND(AX27=AX$5,AY$6&gt;=$D$129),1,0),IF(AND(AY27=AX$5,AY$6&gt;=$D$129),1,0),IF(AND(AZ27=AX$5,AY$6&gt;=$D$129),1,0),IF(AX27&amp;BA27=BA$5,4,0),IF(AND(AX27=AX$5,AY$6&lt;=$D$104),-0.5,0),IF(AND(AY27=AX$5,AY$6&lt;=$D$104),-0.5,0),IF(AND(AZ27=AX$5,AY$6&lt;=$D$104),-0.5,0))</f>
        <v/>
      </c>
      <c r="BC27" s="416" t="n"/>
      <c r="BD27" s="422" t="n"/>
      <c r="BE27" s="422" t="n"/>
      <c r="BF27" s="422" t="n"/>
      <c r="BG27" s="602">
        <f>SUM(IF(BC27=BC$5,4,0),IF(BC27&amp;BD27=BC$5&amp;BD$5,1,0),
IF(AND(BC27=BC$5,BD$6&gt;=$D$115),1,0),
IF(AND(BD27=BC$5,BD$6&gt;=$D$115),1,0),
IF(AND(BE27=BC$5,BD$6&gt;=$D$115),1,0),
IF(BC27&amp;BF27=BG$5,1,0),
IF(BD27=BC$5,2,0),
IF(BE27=BC$5,1,0),
IF(OR(BC27&amp;BD27&amp;BE27=BC$5&amp;BD$5&amp;BE$5,BC27&amp;BD27&amp;BE27=BC$5&amp;BE$5&amp;BD$5,BC27&amp;BD27&amp;BE27=BD$5&amp;BC$5&amp;BE$5,BC27&amp;BD27&amp;BE27=BD$5&amp;BE$5&amp;BC$5,BC27&amp;BD27&amp;BE27=BE$5&amp;BC$5&amp;BD$5,BC27&amp;BD27&amp;BE27=BE$5&amp;BD$5&amp;BC$5),2,0),IF(AND(BC27=BC$5,BD$6&gt;=$D$129),1,0),IF(AND(BD27=BC$5,BD$6&gt;=$D$129),1,0),IF(AND(BE27=BC$5,BD$6&gt;=$D$129),1,0),IF(BC27&amp;BF27=BF$5,4,0),IF(AND(BC27=BC$5,BD$6&lt;=$D$104),-0.5,0),IF(AND(BD27=BC$5,BD$6&lt;=$D$104),-0.5,0),IF(AND(BE27=BC$5,BD$6&lt;=$D$104),-0.5,0))</f>
        <v/>
      </c>
      <c r="BH27" s="416" t="n"/>
      <c r="BI27" s="422" t="n"/>
      <c r="BJ27" s="422" t="n"/>
      <c r="BK27" s="422" t="n"/>
      <c r="BL27" s="602">
        <f>SUM(IF(BH27=BH$5,4,0),IF(BH27&amp;BI27=BH$5&amp;BI$5,1,0),
IF(AND(BH27=BH$5,BI$6&gt;=$D$115),1,0),
IF(AND(BI27=BH$5,BI$6&gt;=$D$115),1,0),
IF(AND(BJ27=BH$5,BI$6&gt;=$D$115),1,0),
IF(BH27&amp;BK27=BL$5,1,0),
IF(BI27=BH$5,2,0),
IF(BJ27=BH$5,1,0),
IF(OR(BH27&amp;BI27&amp;BJ27=BH$5&amp;BI$5&amp;BJ$5,BH27&amp;BI27&amp;BJ27=BH$5&amp;BJ$5&amp;BI$5,BH27&amp;BI27&amp;BJ27=BI$5&amp;BH$5&amp;BJ$5,BH27&amp;BI27&amp;BJ27=BI$5&amp;BJ$5&amp;BH$5,BH27&amp;BI27&amp;BJ27=BJ$5&amp;BH$5&amp;BI$5,BH27&amp;BI27&amp;BJ27=BJ$5&amp;BI$5&amp;BH$5),2,0),IF(AND(BH27=BH$5,BI$6&gt;=$D$129),1,0),IF(AND(BI27=BH$5,BI$6&gt;=$D$129),1,0),IF(AND(BJ27=BH$5,BI$6&gt;=$D$129),1,0),IF(BH27&amp;BK27=BK$5,4,0),IF(AND(BH27=BH$5,BI$6&lt;=$D$104),-0.5,0),IF(AND(BI27=BH$5,BI$6&lt;=$D$104),-0.5,0),IF(AND(BJ27=BH$5,BI$6&lt;=$D$104),-0.5,0))</f>
        <v/>
      </c>
      <c r="BM27" s="416" t="n"/>
      <c r="BN27" s="422" t="n"/>
      <c r="BO27" s="422" t="n"/>
      <c r="BP27" s="422" t="n"/>
      <c r="BQ27" s="602">
        <f>SUM(IF(BM27=BM$5,4,0),IF(BM27&amp;BN27=BM$5&amp;BN$5,1,0),
IF(AND(BM27=BM$5,BN$6&gt;=$D$115),1,0),
IF(AND(BN27=BM$5,BN$6&gt;=$D$115),1,0),
IF(AND(BO27=BM$5,BN$6&gt;=$D$115),1,0),
IF(BM27&amp;BP27=BQ$5,1,0),
IF(BN27=BM$5,2,0),
IF(BO27=BM$5,1,0),
IF(OR(BM27&amp;BN27&amp;BO27=BM$5&amp;BN$5&amp;BO$5,BM27&amp;BN27&amp;BO27=BM$5&amp;BO$5&amp;BN$5,BM27&amp;BN27&amp;BO27=BN$5&amp;BM$5&amp;BO$5,BM27&amp;BN27&amp;BO27=BN$5&amp;BO$5&amp;BM$5,BM27&amp;BN27&amp;BO27=BO$5&amp;BM$5&amp;BN$5,BM27&amp;BN27&amp;BO27=BO$5&amp;BN$5&amp;BM$5),2,0),IF(AND(BM27=BM$5,BN$6&gt;=$D$129),1,0),IF(AND(BN27=BM$5,BN$6&gt;=$D$129),1,0),IF(AND(BO27=BM$5,BN$6&gt;=$D$129),1,0),IF(BM27&amp;BP27=BP$5,4,0),IF(AND(BM27=BM$5,BN$6&lt;=$D$104),-0.5,0),IF(AND(BN27=BM$5,BN$6&lt;=$D$104),-0.5,0),IF(AND(BO27=BM$5,BN$6&lt;=$D$104),-0.5,0))</f>
        <v/>
      </c>
      <c r="BR27" s="416" t="n"/>
      <c r="BS27" s="422" t="n"/>
      <c r="BT27" s="422" t="n"/>
      <c r="BU27" s="422" t="n"/>
      <c r="BV27" s="602">
        <f>SUM(IF(BR27=BR$5,4,0),IF(BR27&amp;BS27=BR$5&amp;BS$5,1,0),
IF(AND(BR27=BR$5,BS$6&gt;=$D$115),1,0),
IF(AND(BS27=BR$5,BS$6&gt;=$D$115),1,0),
IF(AND(BT27=BR$5,BS$6&gt;=$D$115),1,0),
IF(BR27&amp;BU27=BV$5,1,0),
IF(BS27=BR$5,2,0),
IF(BT27=BR$5,1,0),
IF(OR(BR27&amp;BS27&amp;BT27=BR$5&amp;BS$5&amp;BT$5,BR27&amp;BS27&amp;BT27=BR$5&amp;BT$5&amp;BS$5,BR27&amp;BS27&amp;BT27=BS$5&amp;BR$5&amp;BT$5,BR27&amp;BS27&amp;BT27=BS$5&amp;BT$5&amp;BR$5,BR27&amp;BS27&amp;BT27=BT$5&amp;BR$5&amp;BS$5,BR27&amp;BS27&amp;BT27=BT$5&amp;BS$5&amp;BR$5),2,0),IF(AND(BR27=BR$5,BS$6&gt;=$D$129),1,0),IF(AND(BS27=BR$5,BS$6&gt;=$D$129),1,0),IF(AND(BT27=BR$5,BS$6&gt;=$D$129),1,0),IF(BR27&amp;BU27=BU$5,4,0),IF(AND(BR27=BR$5,BS$6&lt;=$D$104),-0.5,0),IF(AND(BS27=BR$5,BS$6&lt;=$D$104),-0.5,0),IF(AND(BT27=BR$5,BS$6&lt;=$D$104),-0.5,0))</f>
        <v/>
      </c>
      <c r="BW27" s="416" t="n"/>
      <c r="BX27" s="422" t="n"/>
      <c r="BY27" s="422" t="n"/>
      <c r="BZ27" s="422" t="n"/>
      <c r="CA27" s="602">
        <f>SUM(IF(BW27=BW$5,4,0),IF(BW27&amp;BX27=BW$5&amp;BX$5,1,0),
IF(AND(BW27=BW$5,BX$6&gt;=$D$115),1,0),
IF(AND(BX27=BW$5,BX$6&gt;=$D$115),1,0),
IF(AND(BY27=BW$5,BX$6&gt;=$D$115),1,0),
IF(BW27&amp;BZ27=CA$5,1,0),
IF(BX27=BW$5,2,0),
IF(BY27=BW$5,1,0),
IF(OR(BW27&amp;BX27&amp;BY27=BW$5&amp;BX$5&amp;BY$5,BW27&amp;BX27&amp;BY27=BW$5&amp;BY$5&amp;BX$5,BW27&amp;BX27&amp;BY27=BX$5&amp;BW$5&amp;BY$5,BW27&amp;BX27&amp;BY27=BX$5&amp;BY$5&amp;BW$5,BW27&amp;BX27&amp;BY27=BY$5&amp;BW$5&amp;BX$5,BW27&amp;BX27&amp;BY27=BY$5&amp;BX$5&amp;BW$5),2,0),IF(AND(BW27=BW$5,BX$6&gt;=$D$129),1,0),IF(AND(BX27=BW$5,BX$6&gt;=$D$129),1,0),IF(AND(BY27=BW$5,BX$6&gt;=$D$129),1,0),IF(BW27&amp;BZ27=BZ$5,4,0),IF(AND(BW27=BW$5,BX$6&lt;=$D$104),-0.5,0),IF(AND(BX27=BW$5,BX$6&lt;=$D$104),-0.5,0),IF(AND(BY27=BW$5,BX$6&lt;=$D$104),-0.5,0))</f>
        <v/>
      </c>
      <c r="CB27" s="416" t="n"/>
      <c r="CC27" s="422" t="n"/>
      <c r="CD27" s="422" t="n"/>
      <c r="CE27" s="422" t="n"/>
      <c r="CF27" s="602">
        <f>SUM(IF(CB27=CB$5,4,0),IF(CB27&amp;CC27=CB$5&amp;CC$5,1,0),
IF(AND(CB27=CB$5,CC$6&gt;=$D$115),1,0),
IF(AND(CC27=CB$5,CC$6&gt;=$D$115),1,0),
IF(AND(CD27=CB$5,CC$6&gt;=$D$115),1,0),
IF(CB27&amp;CE27=CF$5,1,0),
IF(CC27=CB$5,2,0),
IF(CD27=CB$5,1,0),
IF(OR(CB27&amp;CC27&amp;CD27=CB$5&amp;CC$5&amp;CD$5,CB27&amp;CC27&amp;CD27=CB$5&amp;CD$5&amp;CC$5,CB27&amp;CC27&amp;CD27=CC$5&amp;CB$5&amp;CD$5,CB27&amp;CC27&amp;CD27=CC$5&amp;CD$5&amp;CB$5,CB27&amp;CC27&amp;CD27=CD$5&amp;CB$5&amp;CC$5,CB27&amp;CC27&amp;CD27=CD$5&amp;CC$5&amp;CB$5),2,0),IF(AND(CB27=CB$5,CC$6&gt;=$D$129),1,0),IF(AND(CC27=CB$5,CC$6&gt;=$D$129),1,0),IF(AND(CD27=CB$5,CC$6&gt;=$D$129),1,0),IF(CB27&amp;CE27=CE$5,4,0),IF(AND(CB27=CB$5,CC$6&lt;=$D$104),-0.5,0),IF(AND(CC27=CB$5,CC$6&lt;=$D$104),-0.5,0),IF(AND(CD27=CB$5,CC$6&lt;=$D$104),-0.5,0))</f>
        <v/>
      </c>
      <c r="CG27" s="164">
        <f>IF(SEMANA29[[#This Row],[1]]="",0,$B$4)</f>
        <v/>
      </c>
      <c r="CH27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7" s="166">
        <f>IF(SEMANA29[[#This Row],[Columna14]]=0,0,(CH27/CG27))</f>
        <v/>
      </c>
      <c r="CJ27" s="165">
        <f>IF(SEMANA29[[#This Row],[1]]="",0,$B$4)</f>
        <v/>
      </c>
      <c r="CK27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7" s="166">
        <f>IF(SEMANA29[[#This Row],[Columna14]]=0,0,(CK27/CJ27))</f>
        <v/>
      </c>
      <c r="CM27" s="164">
        <f>IF(SEMANA29[[#This Row],[1]]="",0,$B$4)</f>
        <v/>
      </c>
      <c r="CN27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7" s="166">
        <f>IF(SEMANA29[[#This Row],[Columna14]]=0,0,(CN27/CM27))</f>
        <v/>
      </c>
      <c r="CP27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7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Row],[Columna25]],$AX$5,BA27,"SF")+COUNTIFS(SEMANA29[[#This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7" s="166">
        <f>IFERROR(IF(SEMANA29[[#This Row],[Columna14]]=0,0,(CQ27/CP27)),0)</f>
        <v/>
      </c>
      <c r="CS27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7" s="95">
        <f>_xlfn.XLOOKUP(SEMANA29[[#This Row],[COD]],SEMANA2[COD],SEMANA2[Columna33])</f>
        <v/>
      </c>
      <c r="CU27" s="604">
        <f>SUM(CS27,CT27)</f>
        <v/>
      </c>
      <c r="CV27" s="450">
        <f>IF(SEMANA29[[#This Row],[TIPO]]="PREMIO",$O$3,"0,00")</f>
        <v/>
      </c>
      <c r="CW27" s="576" t="n"/>
      <c r="CY27" s="392">
        <f>IF(CZ27="","",$CZ$25)</f>
        <v/>
      </c>
      <c r="CZ27" s="392">
        <f t="array" ref="CZ27">_xlfn._xlws.FILTER(C$8:C$57, INDEX(E$8:CE$57, 0, ($CZ$25-1)*5 + 5) &gt; 0, "")</f>
        <v/>
      </c>
      <c r="DA27" s="392">
        <f t="array" ref="DA27">IF(CZ27="", "", IF((INDEX(E$8:CE$57, MATCH(CZ27, C$8:C$57, 0), ($CZ$25-1)*5 + 1) &amp; "") = (INDEX(E$5:CE$5, 1, ($CZ$25-1)*5 + 1) &amp; ""), 1, IF((INDEX(E$8:CE$57, MATCH(CZ27, C$8:C$57, 0), ($CZ$25-1)*5 + 2) &amp; "") = (INDEX(E$5:CE$5, 1, ($CZ$25-1)*5 + 1) &amp; ""), 2, IF((INDEX(E$8:CE$57, MATCH(CZ27, C$8:C$57, 0), ($CZ$25-1)*5 + 3) &amp; "") = (INDEX(E$5:CE$5, 1, ($CZ$25-1)*5 + 1) &amp; ""), 3, ""))))</f>
        <v/>
      </c>
      <c r="DB27" s="605">
        <f>SEMANA29[[#This Row],[COD]]</f>
        <v/>
      </c>
      <c r="DC27" s="395">
        <f t="array" ref="DC27">IFERROR(IF(AND(INDEX($E$8:$CE$57, MATCH($C27, $C$8:$C$57, 0), (COLUMNS($DC27:DC27)-1)*5 + 1) = INDEX($E$5:$CE$5, 1, (COLUMNS($DC27:DC27)-1)*5 + 1), INDEX($E$8:$CE$57, MATCH($C27, $C$8:$C$57, 0), (COLUMNS($DC27:DC27)-1)*5 + 4) = "F"), INDEX($CZ$8:$CZ$23, COLUMNS($DC27:DC27)), "0"), "")</f>
        <v/>
      </c>
      <c r="DD27" s="395">
        <f t="array" ref="DD27">IFERROR(IF(AND(INDEX($E$8:$CE$57, MATCH($C27, $C$8:$C$57, 0), (COLUMNS($DC27:DD27)-1)*5 + 1) = INDEX($E$5:$CE$5, 1, (COLUMNS($DC27:DD27)-1)*5 + 1), INDEX($E$8:$CE$57, MATCH($C27, $C$8:$C$57, 0), (COLUMNS($DC27:DD27)-1)*5 + 4) = "F"), INDEX($CZ$8:$CZ$23, COLUMNS($DC27:DD27)), "0"), "")</f>
        <v/>
      </c>
      <c r="DE27" s="395">
        <f t="array" ref="DE27">IFERROR(IF(AND(INDEX($E$8:$CE$57, MATCH($C27, $C$8:$C$57, 0), (COLUMNS($DC27:DE27)-1)*5 + 1) = INDEX($E$5:$CE$5, 1, (COLUMNS($DC27:DE27)-1)*5 + 1), INDEX($E$8:$CE$57, MATCH($C27, $C$8:$C$57, 0), (COLUMNS($DC27:DE27)-1)*5 + 4) = "F"), INDEX($CZ$8:$CZ$23, COLUMNS($DC27:DE27)), "0"), "")</f>
        <v/>
      </c>
      <c r="DF27" s="395">
        <f t="array" ref="DF27">IFERROR(IF(AND(INDEX($E$8:$CE$57, MATCH($C27, $C$8:$C$57, 0), (COLUMNS($DC27:DF27)-1)*5 + 1) = INDEX($E$5:$CE$5, 1, (COLUMNS($DC27:DF27)-1)*5 + 1), INDEX($E$8:$CE$57, MATCH($C27, $C$8:$C$57, 0), (COLUMNS($DC27:DF27)-1)*5 + 4) = "F"), INDEX($CZ$8:$CZ$23, COLUMNS($DC27:DF27)), "0"), "")</f>
        <v/>
      </c>
      <c r="DG27" s="395">
        <f t="array" ref="DG27">IFERROR(IF(AND(INDEX($E$8:$CE$57, MATCH($C27, $C$8:$C$57, 0), (COLUMNS($DC27:DG27)-1)*5 + 1) = INDEX($E$5:$CE$5, 1, (COLUMNS($DC27:DG27)-1)*5 + 1), INDEX($E$8:$CE$57, MATCH($C27, $C$8:$C$57, 0), (COLUMNS($DC27:DG27)-1)*5 + 4) = "F"), INDEX($CZ$8:$CZ$23, COLUMNS($DC27:DG27)), "0"), "")</f>
        <v/>
      </c>
      <c r="DH27" s="395">
        <f t="array" ref="DH27">IFERROR(IF(AND(INDEX($E$8:$CE$57, MATCH($C27, $C$8:$C$57, 0), (COLUMNS($DC27:DH27)-1)*5 + 1) = INDEX($E$5:$CE$5, 1, (COLUMNS($DC27:DH27)-1)*5 + 1), INDEX($E$8:$CE$57, MATCH($C27, $C$8:$C$57, 0), (COLUMNS($DC27:DH27)-1)*5 + 4) = "F"), INDEX($CZ$8:$CZ$23, COLUMNS($DC27:DH27)), "0"), "")</f>
        <v/>
      </c>
      <c r="DI27" s="395">
        <f t="array" ref="DI27">IFERROR(IF(AND(INDEX($E$8:$CE$57, MATCH($C27, $C$8:$C$57, 0), (COLUMNS($DC27:DI27)-1)*5 + 1) = INDEX($E$5:$CE$5, 1, (COLUMNS($DC27:DI27)-1)*5 + 1), INDEX($E$8:$CE$57, MATCH($C27, $C$8:$C$57, 0), (COLUMNS($DC27:DI27)-1)*5 + 4) = "F"), INDEX($CZ$8:$CZ$23, COLUMNS($DC27:DI27)), "0"), "")</f>
        <v/>
      </c>
      <c r="DJ27" s="395">
        <f t="array" ref="DJ27">IFERROR(IF(AND(INDEX($E$8:$CE$57, MATCH($C27, $C$8:$C$57, 0), (COLUMNS($DC27:DJ27)-1)*5 + 1) = INDEX($E$5:$CE$5, 1, (COLUMNS($DC27:DJ27)-1)*5 + 1), INDEX($E$8:$CE$57, MATCH($C27, $C$8:$C$57, 0), (COLUMNS($DC27:DJ27)-1)*5 + 4) = "F"), INDEX($CZ$8:$CZ$23, COLUMNS($DC27:DJ27)), "0"), "")</f>
        <v/>
      </c>
      <c r="DK27" s="395">
        <f t="array" ref="DK27">IFERROR(IF(AND(INDEX($E$8:$CE$57, MATCH($C27, $C$8:$C$57, 0), (COLUMNS($DC27:DK27)-1)*5 + 1) = INDEX($E$5:$CE$5, 1, (COLUMNS($DC27:DK27)-1)*5 + 1), INDEX($E$8:$CE$57, MATCH($C27, $C$8:$C$57, 0), (COLUMNS($DC27:DK27)-1)*5 + 4) = "F"), INDEX($CZ$8:$CZ$23, COLUMNS($DC27:DK27)), "0"), "")</f>
        <v/>
      </c>
      <c r="DL27" s="395">
        <f t="array" ref="DL27">IFERROR(IF(AND(INDEX($E$8:$CE$57, MATCH($C27, $C$8:$C$57, 0), (COLUMNS($DC27:DL27)-1)*5 + 1) = INDEX($E$5:$CE$5, 1, (COLUMNS($DC27:DL27)-1)*5 + 1), INDEX($E$8:$CE$57, MATCH($C27, $C$8:$C$57, 0), (COLUMNS($DC27:DL27)-1)*5 + 4) = "F"), INDEX($CZ$8:$CZ$23, COLUMNS($DC27:DL27)), "0"), "")</f>
        <v/>
      </c>
      <c r="DM27" s="395">
        <f t="array" ref="DM27">IFERROR(IF(AND(INDEX($E$8:$CE$57, MATCH($C27, $C$8:$C$57, 0), (COLUMNS($DC27:DM27)-1)*5 + 1) = INDEX($E$5:$CE$5, 1, (COLUMNS($DC27:DM27)-1)*5 + 1), INDEX($E$8:$CE$57, MATCH($C27, $C$8:$C$57, 0), (COLUMNS($DC27:DM27)-1)*5 + 4) = "F"), INDEX($CZ$8:$CZ$23, COLUMNS($DC27:DM27)), "0"), "")</f>
        <v/>
      </c>
      <c r="DN27" s="395">
        <f t="array" ref="DN27">IFERROR(IF(AND(INDEX($E$8:$CE$57, MATCH($C27, $C$8:$C$57, 0), (COLUMNS($DC27:DN27)-1)*5 + 1) = INDEX($E$5:$CE$5, 1, (COLUMNS($DC27:DN27)-1)*5 + 1), INDEX($E$8:$CE$57, MATCH($C27, $C$8:$C$57, 0), (COLUMNS($DC27:DN27)-1)*5 + 4) = "F"), INDEX($CZ$8:$CZ$23, COLUMNS($DC27:DN27)), "0"), "")</f>
        <v/>
      </c>
      <c r="DO27" s="395">
        <f t="array" ref="DO27">IFERROR(IF(AND(INDEX($E$8:$CE$57, MATCH($C27, $C$8:$C$57, 0), (COLUMNS($DC27:DO27)-1)*5 + 1) = INDEX($E$5:$CE$5, 1, (COLUMNS($DC27:DO27)-1)*5 + 1), INDEX($E$8:$CE$57, MATCH($C27, $C$8:$C$57, 0), (COLUMNS($DC27:DO27)-1)*5 + 4) = "F"), INDEX($CZ$8:$CZ$23, COLUMNS($DC27:DO27)), "0"), "")</f>
        <v/>
      </c>
      <c r="DP27" s="395">
        <f t="array" ref="DP27">IFERROR(IF(AND(INDEX($E$8:$CE$57, MATCH($C27, $C$8:$C$57, 0), (COLUMNS($DC27:DP27)-1)*5 + 1) = INDEX($E$5:$CE$5, 1, (COLUMNS($DC27:DP27)-1)*5 + 1), INDEX($E$8:$CE$57, MATCH($C27, $C$8:$C$57, 0), (COLUMNS($DC27:DP27)-1)*5 + 4) = "F"), INDEX($CZ$8:$CZ$23, COLUMNS($DC27:DP27)), "0"), "")</f>
        <v/>
      </c>
      <c r="DQ27" s="395">
        <f t="array" ref="DQ27">IFERROR(IF(AND(INDEX($E$8:$CE$57, MATCH($C27, $C$8:$C$57, 0), (COLUMNS($DC27:DQ27)-1)*5 + 1) = INDEX($E$5:$CE$5, 1, (COLUMNS($DC27:DQ27)-1)*5 + 1), INDEX($E$8:$CE$57, MATCH($C27, $C$8:$C$57, 0), (COLUMNS($DC27:DQ27)-1)*5 + 4) = "F"), INDEX($CZ$8:$CZ$23, COLUMNS($DC27:DQ27)), "0"), "")</f>
        <v/>
      </c>
      <c r="DR27" s="395">
        <f t="array" ref="DR27">IFERROR(IF(AND(INDEX($E$8:$CE$57, MATCH($C27, $C$8:$C$57, 0), (COLUMNS($DC27:DR27)-1)*5 + 1) = INDEX($E$5:$CE$5, 1, (COLUMNS($DC27:DR27)-1)*5 + 1), INDEX($E$8:$CE$57, MATCH($C27, $C$8:$C$57, 0), (COLUMNS($DC27:DR27)-1)*5 + 4) = "F"), INDEX($CZ$8:$CZ$23, COLUMNS($DC27:DR27)), "0"), "")</f>
        <v/>
      </c>
      <c r="DT27" s="605">
        <f>SEMANA29[[#This Row],[COD]]</f>
        <v/>
      </c>
      <c r="DU27" s="395">
        <f t="array" ref="DU27">IFERROR(IF(AND(INDEX($E$8:$CE$57, MATCH($C27, $C$8:$C$57, 0), (COLUMNS($DU27:DU27)-1)*5 + 1) = INDEX($E$5:$CE$5, 1, (COLUMNS($DU27:DU27)-1)*5 + 1), INDEX($E$8:$CE$57, MATCH($C27, $C$8:$C$57, 0), (COLUMNS($DU27:DU27)-1)*5 + 4) = "SF"), INDEX($CZ$8:$CZ$23, COLUMNS($DU27:DU27)), "0"), "")</f>
        <v/>
      </c>
      <c r="DV27" s="395">
        <f t="array" ref="DV27">IFERROR(IF(AND(INDEX($E$8:$CE$57, MATCH($C27, $C$8:$C$57, 0), (COLUMNS($DU27:DV27)-1)*5 + 1) = INDEX($E$5:$CE$5, 1, (COLUMNS($DU27:DV27)-1)*5 + 1), INDEX($E$8:$CE$57, MATCH($C27, $C$8:$C$57, 0), (COLUMNS($DU27:DV27)-1)*5 + 4) = "SF"), INDEX($CZ$8:$CZ$23, COLUMNS($DU27:DV27)), "0"), "")</f>
        <v/>
      </c>
      <c r="DW27" s="395">
        <f t="array" ref="DW27">IFERROR(IF(AND(INDEX($E$8:$CE$57, MATCH($C27, $C$8:$C$57, 0), (COLUMNS($DU27:DW27)-1)*5 + 1) = INDEX($E$5:$CE$5, 1, (COLUMNS($DU27:DW27)-1)*5 + 1), INDEX($E$8:$CE$57, MATCH($C27, $C$8:$C$57, 0), (COLUMNS($DU27:DW27)-1)*5 + 4) = "SF"), INDEX($CZ$8:$CZ$23, COLUMNS($DU27:DW27)), "0"), "")</f>
        <v/>
      </c>
      <c r="DX27" s="395">
        <f t="array" ref="DX27">IFERROR(IF(AND(INDEX($E$8:$CE$57, MATCH($C27, $C$8:$C$57, 0), (COLUMNS($DU27:DX27)-1)*5 + 1) = INDEX($E$5:$CE$5, 1, (COLUMNS($DU27:DX27)-1)*5 + 1), INDEX($E$8:$CE$57, MATCH($C27, $C$8:$C$57, 0), (COLUMNS($DU27:DX27)-1)*5 + 4) = "SF"), INDEX($CZ$8:$CZ$23, COLUMNS($DU27:DX27)), "0"), "")</f>
        <v/>
      </c>
      <c r="DY27" s="395">
        <f t="array" ref="DY27">IFERROR(IF(AND(INDEX($E$8:$CE$57, MATCH($C27, $C$8:$C$57, 0), (COLUMNS($DU27:DY27)-1)*5 + 1) = INDEX($E$5:$CE$5, 1, (COLUMNS($DU27:DY27)-1)*5 + 1), INDEX($E$8:$CE$57, MATCH($C27, $C$8:$C$57, 0), (COLUMNS($DU27:DY27)-1)*5 + 4) = "SF"), INDEX($CZ$8:$CZ$23, COLUMNS($DU27:DY27)), "0"), "")</f>
        <v/>
      </c>
      <c r="DZ27" s="395">
        <f t="array" ref="DZ27">IFERROR(IF(AND(INDEX($E$8:$CE$57, MATCH($C27, $C$8:$C$57, 0), (COLUMNS($DU27:DZ27)-1)*5 + 1) = INDEX($E$5:$CE$5, 1, (COLUMNS($DU27:DZ27)-1)*5 + 1), INDEX($E$8:$CE$57, MATCH($C27, $C$8:$C$57, 0), (COLUMNS($DU27:DZ27)-1)*5 + 4) = "SF"), INDEX($CZ$8:$CZ$23, COLUMNS($DU27:DZ27)), "0"), "")</f>
        <v/>
      </c>
      <c r="EA27" s="395">
        <f t="array" ref="EA27">IFERROR(IF(AND(INDEX($E$8:$CE$57, MATCH($C27, $C$8:$C$57, 0), (COLUMNS($DU27:EA27)-1)*5 + 1) = INDEX($E$5:$CE$5, 1, (COLUMNS($DU27:EA27)-1)*5 + 1), INDEX($E$8:$CE$57, MATCH($C27, $C$8:$C$57, 0), (COLUMNS($DU27:EA27)-1)*5 + 4) = "SF"), INDEX($CZ$8:$CZ$23, COLUMNS($DU27:EA27)), "0"), "")</f>
        <v/>
      </c>
      <c r="EB27" s="395">
        <f t="array" ref="EB27">IFERROR(IF(AND(INDEX($E$8:$CE$57, MATCH($C27, $C$8:$C$57, 0), (COLUMNS($DU27:EB27)-1)*5 + 1) = INDEX($E$5:$CE$5, 1, (COLUMNS($DU27:EB27)-1)*5 + 1), INDEX($E$8:$CE$57, MATCH($C27, $C$8:$C$57, 0), (COLUMNS($DU27:EB27)-1)*5 + 4) = "SF"), INDEX($CZ$8:$CZ$23, COLUMNS($DU27:EB27)), "0"), "")</f>
        <v/>
      </c>
      <c r="EC27" s="395">
        <f t="array" ref="EC27">IFERROR(IF(AND(INDEX($E$8:$CE$57, MATCH($C27, $C$8:$C$57, 0), (COLUMNS($DU27:EC27)-1)*5 + 1) = INDEX($E$5:$CE$5, 1, (COLUMNS($DU27:EC27)-1)*5 + 1), INDEX($E$8:$CE$57, MATCH($C27, $C$8:$C$57, 0), (COLUMNS($DU27:EC27)-1)*5 + 4) = "SF"), INDEX($CZ$8:$CZ$23, COLUMNS($DU27:EC27)), "0"), "")</f>
        <v/>
      </c>
      <c r="ED27" s="395">
        <f t="array" ref="ED27">IFERROR(IF(AND(INDEX($E$8:$CE$57, MATCH($C27, $C$8:$C$57, 0), (COLUMNS($DU27:ED27)-1)*5 + 1) = INDEX($E$5:$CE$5, 1, (COLUMNS($DU27:ED27)-1)*5 + 1), INDEX($E$8:$CE$57, MATCH($C27, $C$8:$C$57, 0), (COLUMNS($DU27:ED27)-1)*5 + 4) = "SF"), INDEX($CZ$8:$CZ$23, COLUMNS($DU27:ED27)), "0"), "")</f>
        <v/>
      </c>
      <c r="EE27" s="395">
        <f t="array" ref="EE27">IFERROR(IF(AND(INDEX($E$8:$CE$57, MATCH($C27, $C$8:$C$57, 0), (COLUMNS($DU27:EE27)-1)*5 + 1) = INDEX($E$5:$CE$5, 1, (COLUMNS($DU27:EE27)-1)*5 + 1), INDEX($E$8:$CE$57, MATCH($C27, $C$8:$C$57, 0), (COLUMNS($DU27:EE27)-1)*5 + 4) = "SF"), INDEX($CZ$8:$CZ$23, COLUMNS($DU27:EE27)), "0"), "")</f>
        <v/>
      </c>
      <c r="EF27" s="395">
        <f t="array" ref="EF27">IFERROR(IF(AND(INDEX($E$8:$CE$57, MATCH($C27, $C$8:$C$57, 0), (COLUMNS($DU27:EF27)-1)*5 + 1) = INDEX($E$5:$CE$5, 1, (COLUMNS($DU27:EF27)-1)*5 + 1), INDEX($E$8:$CE$57, MATCH($C27, $C$8:$C$57, 0), (COLUMNS($DU27:EF27)-1)*5 + 4) = "SF"), INDEX($CZ$8:$CZ$23, COLUMNS($DU27:EF27)), "0"), "")</f>
        <v/>
      </c>
      <c r="EG27" s="395">
        <f t="array" ref="EG27">IFERROR(IF(AND(INDEX($E$8:$CE$57, MATCH($C27, $C$8:$C$57, 0), (COLUMNS($DU27:EG27)-1)*5 + 1) = INDEX($E$5:$CE$5, 1, (COLUMNS($DU27:EG27)-1)*5 + 1), INDEX($E$8:$CE$57, MATCH($C27, $C$8:$C$57, 0), (COLUMNS($DU27:EG27)-1)*5 + 4) = "SF"), INDEX($CZ$8:$CZ$23, COLUMNS($DU27:EG27)), "0"), "")</f>
        <v/>
      </c>
      <c r="EH27" s="395">
        <f t="array" ref="EH27">IFERROR(IF(AND(INDEX($E$8:$CE$57, MATCH($C27, $C$8:$C$57, 0), (COLUMNS($DU27:EH27)-1)*5 + 1) = INDEX($E$5:$CE$5, 1, (COLUMNS($DU27:EH27)-1)*5 + 1), INDEX($E$8:$CE$57, MATCH($C27, $C$8:$C$57, 0), (COLUMNS($DU27:EH27)-1)*5 + 4) = "SF"), INDEX($CZ$8:$CZ$23, COLUMNS($DU27:EH27)), "0"), "")</f>
        <v/>
      </c>
      <c r="EI27" s="395">
        <f t="array" ref="EI27">IFERROR(IF(AND(INDEX($E$8:$CE$57, MATCH($C27, $C$8:$C$57, 0), (COLUMNS($DU27:EI27)-1)*5 + 1) = INDEX($E$5:$CE$5, 1, (COLUMNS($DU27:EI27)-1)*5 + 1), INDEX($E$8:$CE$57, MATCH($C27, $C$8:$C$57, 0), (COLUMNS($DU27:EI27)-1)*5 + 4) = "SF"), INDEX($CZ$8:$CZ$23, COLUMNS($DU27:EI27)), "0"), "")</f>
        <v/>
      </c>
      <c r="EJ27" s="395">
        <f t="array" ref="EJ27">IFERROR(IF(AND(INDEX($E$8:$CE$57, MATCH($C27, $C$8:$C$57, 0), (COLUMNS($DU27:EJ27)-1)*5 + 1) = INDEX($E$5:$CE$5, 1, (COLUMNS($DU27:EJ27)-1)*5 + 1), INDEX($E$8:$CE$57, MATCH($C27, $C$8:$C$57, 0), (COLUMNS($DU27:EJ27)-1)*5 + 4) = "SF"), INDEX($CZ$8:$CZ$23, COLUMNS($DU27:EJ27)), "0"), "")</f>
        <v/>
      </c>
    </row>
    <row r="28" ht="20.1" customHeight="1" s="568">
      <c r="A28" s="576" t="n"/>
      <c r="B28" s="449">
        <f>IF(SEMANA29[[#This Row],[COD]]&lt;&gt;"",B27+1,"")</f>
        <v/>
      </c>
      <c r="C28" s="622" t="inlineStr">
        <is>
          <t>COD 21</t>
        </is>
      </c>
      <c r="D28" s="415">
        <f t="array" ref="D28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8" s="416" t="n"/>
      <c r="F28" s="417" t="n"/>
      <c r="G28" s="417" t="n"/>
      <c r="H28" s="417" t="n"/>
      <c r="I28" s="602">
        <f>SUM(IF(E28=E$5,4,0),IF(E28&amp;F28=E$5&amp;F$5,1,0),
IF(AND(E28=E$5,F$6&gt;=$D$115),1,0),
IF(AND(F28=E$5,F$6&gt;=$D$115),1,0),
IF(AND(G28=E$5,F$6&gt;=$D$115),1,0),
IF(E28&amp;H28=I$5,1,0),
IF(F28=E$5,2,0),
IF(G28=E$5,1,0),
IF(OR(E28&amp;F28&amp;G28=E$5&amp;F$5&amp;G$5,E28&amp;F28&amp;G28=E$5&amp;G$5&amp;F$5,E28&amp;F28&amp;G28=F$5&amp;E$5&amp;G$5,E28&amp;F28&amp;G28=F$5&amp;G$5&amp;E$5,E28&amp;F28&amp;G28=G$5&amp;E$5&amp;F$5,E28&amp;F28&amp;G28=G$5&amp;F$5&amp;E$5),2,0),IF(AND(E28=E$5,F$6&gt;=$D$129),1,0),IF(AND(F28=E$5,F$6&gt;=$D$129),1,0),IF(AND(G28=E$5,F$6&gt;=$D$129),1,0),IF(E28&amp;H28=H$5,4,0),IF(AND(E28=E$5,F$6&lt;=$D$104),-0.5,0),IF(AND(F28=E$5,F$6&lt;=$D$104),-0.5,0),IF(AND(G28=E$5,F$6&lt;=$D$104),-0.5,0))</f>
        <v/>
      </c>
      <c r="J28" s="416" t="n"/>
      <c r="K28" s="417" t="n"/>
      <c r="L28" s="417" t="n"/>
      <c r="M28" s="417" t="n"/>
      <c r="N28" s="602">
        <f>SUM(IF(J28=J$5,4,0),IF(J28&amp;K28=J$5&amp;K$5,1,0),
IF(AND(J28=J$5,K$6&gt;=$D$115),1,0),
IF(AND(K28=J$5,K$6&gt;=$D$115),1,0),
IF(AND(L28=J$5,K$6&gt;=$D$115),1,0),
IF(J28&amp;M28=N$5,1,0),
IF(K28=J$5,2,0),
IF(L28=J$5,1,0),
IF(OR(J28&amp;K28&amp;L28=J$5&amp;K$5&amp;L$5,J28&amp;K28&amp;L28=J$5&amp;L$5&amp;K$5,J28&amp;K28&amp;L28=K$5&amp;J$5&amp;L$5,J28&amp;K28&amp;L28=K$5&amp;L$5&amp;J$5,J28&amp;K28&amp;L28=L$5&amp;J$5&amp;K$5,J28&amp;K28&amp;L28=L$5&amp;K$5&amp;J$5),2,0),IF(AND(J28=J$5,K$6&gt;=$D$129),1,0),IF(AND(K28=J$5,K$6&gt;=$D$129),1,0),IF(AND(L28=J$5,K$6&gt;=$D$129),1,0),IF(J28&amp;M28=M$5,4,0),IF(AND(J28=J$5,K$6&lt;=$D$104),-0.5,0),IF(AND(K28=J$5,K$6&lt;=$D$104),-0.5,0),IF(AND(L28=J$5,K$6&lt;=$D$104),-0.5,0))</f>
        <v/>
      </c>
      <c r="O28" s="416" t="n"/>
      <c r="P28" s="417" t="n"/>
      <c r="Q28" s="417" t="n"/>
      <c r="R28" s="417" t="n"/>
      <c r="S28" s="602">
        <f>SUM(IF(O28=O$5,4,0),IF(O28&amp;P28=O$5&amp;P$5,1,0),
IF(AND(O28=O$5,P$6&gt;=$D$115),1,0),
IF(AND(P28=O$5,P$6&gt;=$D$115),1,0),
IF(AND(Q28=O$5,P$6&gt;=$D$115),1,0),
IF(O28&amp;R28=S$5,1,0),
IF(P28=O$5,2,0),
IF(Q28=O$5,1,0),
IF(OR(O28&amp;P28&amp;Q28=O$5&amp;P$5&amp;Q$5,O28&amp;P28&amp;Q28=O$5&amp;Q$5&amp;P$5,O28&amp;P28&amp;Q28=P$5&amp;O$5&amp;Q$5,O28&amp;P28&amp;Q28=P$5&amp;Q$5&amp;O$5,O28&amp;P28&amp;Q28=Q$5&amp;O$5&amp;P$5,O28&amp;P28&amp;Q28=Q$5&amp;P$5&amp;O$5),2,0),IF(AND(O28=O$5,P$6&gt;=$D$129),1,0),IF(AND(P28=O$5,P$6&gt;=$D$129),1,0),IF(AND(Q28=O$5,P$6&gt;=$D$129),1,0),IF(O28&amp;R28=R$5,4,0),IF(AND(O28=O$5,P$6&lt;=$D$104),-0.5,0),IF(AND(P28=O$5,P$6&lt;=$D$104),-0.5,0),IF(AND(Q28=O$5,P$6&lt;=$D$104),-0.5,0))</f>
        <v/>
      </c>
      <c r="T28" s="416" t="n"/>
      <c r="U28" s="417" t="n"/>
      <c r="V28" s="417" t="n"/>
      <c r="W28" s="417" t="n"/>
      <c r="X28" s="602">
        <f>SUM(IF(T28=T$5,4,0),IF(T28&amp;U28=T$5&amp;U$5,1,0),
IF(AND(T28=T$5,U$6&gt;=$D$115),1,0),
IF(AND(U28=T$5,U$6&gt;=$D$115),1,0),
IF(AND(V28=T$5,U$6&gt;=$D$115),1,0),
IF(T28&amp;W28=X$5,1,0),
IF(U28=T$5,2,0),
IF(V28=T$5,1,0),
IF(OR(T28&amp;U28&amp;V28=T$5&amp;U$5&amp;V$5,T28&amp;U28&amp;V28=T$5&amp;V$5&amp;U$5,T28&amp;U28&amp;V28=U$5&amp;T$5&amp;V$5,T28&amp;U28&amp;V28=U$5&amp;V$5&amp;T$5,T28&amp;U28&amp;V28=V$5&amp;T$5&amp;U$5,T28&amp;U28&amp;V28=V$5&amp;U$5&amp;T$5),2,0),IF(AND(T28=T$5,U$6&gt;=$D$129),1,0),IF(AND(U28=T$5,U$6&gt;=$D$129),1,0),IF(AND(V28=T$5,U$6&gt;=$D$129),1,0),IF(T28&amp;W28=W$5,4,0),IF(AND(T28=T$5,U$6&lt;=$D$104),-0.5,0),IF(AND(U28=T$5,U$6&lt;=$D$104),-0.5,0),IF(AND(V28=T$5,U$6&lt;=$D$104),-0.5,0))</f>
        <v/>
      </c>
      <c r="Y28" s="416" t="n"/>
      <c r="Z28" s="417" t="n"/>
      <c r="AA28" s="417" t="n"/>
      <c r="AB28" s="417" t="n"/>
      <c r="AC28" s="602">
        <f>SUM(IF(Y28=Y$5,4,0),IF(Y28&amp;Z28=Y$5&amp;Z$5,1,0),
IF(AND(Y28=Y$5,Z$6&gt;=$D$115),1,0),
IF(AND(Z28=Y$5,Z$6&gt;=$D$115),1,0),
IF(AND(AA28=Y$5,Z$6&gt;=$D$115),1,0),
IF(Y28&amp;AB28=AC$5,1,0),
IF(Z28=Y$5,2,0),
IF(AA28=Y$5,1,0),
IF(OR(Y28&amp;Z28&amp;AA28=Y$5&amp;Z$5&amp;AA$5,Y28&amp;Z28&amp;AA28=Y$5&amp;AA$5&amp;Z$5,Y28&amp;Z28&amp;AA28=Z$5&amp;Y$5&amp;AA$5,Y28&amp;Z28&amp;AA28=Z$5&amp;AA$5&amp;Y$5,Y28&amp;Z28&amp;AA28=AA$5&amp;Y$5&amp;Z$5,Y28&amp;Z28&amp;AA28=AA$5&amp;Z$5&amp;Y$5),2,0),IF(AND(Y28=Y$5,Z$6&gt;=$D$129),1,0),IF(AND(Z28=Y$5,Z$6&gt;=$D$129),1,0),IF(AND(AA28=Y$5,Z$6&gt;=$D$129),1,0),IF(Y28&amp;AB28=AB$5,4,0),IF(AND(Y28=Y$5,Z$6&lt;=$D$104),-0.5,0),IF(AND(Z28=Y$5,Z$6&lt;=$D$104),-0.5,0),IF(AND(AA28=Y$5,Z$6&lt;=$D$104),-0.5,0))</f>
        <v/>
      </c>
      <c r="AD28" s="416" t="n"/>
      <c r="AE28" s="417" t="n"/>
      <c r="AF28" s="417" t="n"/>
      <c r="AG28" s="417" t="n"/>
      <c r="AH28" s="602">
        <f>SUM(IF(AD28=AD$5,4,0),IF(AD28&amp;AE28=AD$5&amp;AE$5,1,0),
IF(AND(AD28=AD$5,AE$6&gt;=$D$115),1,0),
IF(AND(AE28=AD$5,AE$6&gt;=$D$115),1,0),
IF(AND(AF28=AD$5,AE$6&gt;=$D$115),1,0),
IF(AD28&amp;AG28=AH$5,1,0),
IF(AE28=AD$5,2,0),
IF(AF28=AD$5,1,0),
IF(OR(AD28&amp;AE28&amp;AF28=AD$5&amp;AE$5&amp;AF$5,AD28&amp;AE28&amp;AF28=AD$5&amp;AF$5&amp;AE$5,AD28&amp;AE28&amp;AF28=AE$5&amp;AD$5&amp;AF$5,AD28&amp;AE28&amp;AF28=AE$5&amp;AF$5&amp;AD$5,AD28&amp;AE28&amp;AF28=AF$5&amp;AD$5&amp;AE$5,AD28&amp;AE28&amp;AF28=AF$5&amp;AE$5&amp;AD$5),2,0),IF(AND(AD28=AD$5,AE$6&gt;=$D$129),1,0),IF(AND(AE28=AD$5,AE$6&gt;=$D$129),1,0),IF(AND(AF28=AD$5,AE$6&gt;=$D$129),1,0),IF(AD28&amp;AG28=AG$5,4,0),IF(AND(AD28=AD$5,AE$6&lt;=$D$104),-0.5,0),IF(AND(AE28=AD$5,AE$6&lt;=$D$104),-0.5,0),IF(AND(AF28=AD$5,AE$6&lt;=$D$104),-0.5,0))</f>
        <v/>
      </c>
      <c r="AI28" s="416" t="n"/>
      <c r="AJ28" s="417" t="n"/>
      <c r="AK28" s="417" t="n"/>
      <c r="AL28" s="417" t="n"/>
      <c r="AM28" s="602">
        <f>SUM(IF(AI28=AI$5,4,0),IF(AI28&amp;AJ28=AI$5&amp;AJ$5,1,0),
IF(AND(AI28=AI$5,AJ$6&gt;=$D$115),1,0),
IF(AND(AJ28=AI$5,AJ$6&gt;=$D$115),1,0),
IF(AND(AK28=AI$5,AJ$6&gt;=$D$115),1,0),
IF(AI28&amp;AL28=AM$5,1,0),
IF(AJ28=AI$5,2,0),
IF(AK28=AI$5,1,0),
IF(OR(AI28&amp;AJ28&amp;AK28=AI$5&amp;AJ$5&amp;AK$5,AI28&amp;AJ28&amp;AK28=AI$5&amp;AK$5&amp;AJ$5,AI28&amp;AJ28&amp;AK28=AJ$5&amp;AI$5&amp;AK$5,AI28&amp;AJ28&amp;AK28=AJ$5&amp;AK$5&amp;AI$5,AI28&amp;AJ28&amp;AK28=AK$5&amp;AI$5&amp;AJ$5,AI28&amp;AJ28&amp;AK28=AK$5&amp;AJ$5&amp;AI$5),2,0),IF(AND(AI28=AI$5,AJ$6&gt;=$D$129),1,0),IF(AND(AJ28=AI$5,AJ$6&gt;=$D$129),1,0),IF(AND(AK28=AI$5,AJ$6&gt;=$D$129),1,0),IF(AI28&amp;AL28=AL$5,4,0),IF(AND(AI28=AI$5,AJ$6&lt;=$D$104),-0.5,0),IF(AND(AJ28=AI$5,AJ$6&lt;=$D$104),-0.5,0),IF(AND(AK28=AI$5,AJ$6&lt;=$D$104),-0.5,0))</f>
        <v/>
      </c>
      <c r="AN28" s="416" t="n"/>
      <c r="AO28" s="417" t="n"/>
      <c r="AP28" s="417" t="n"/>
      <c r="AQ28" s="417" t="n"/>
      <c r="AR28" s="602">
        <f>SUM(IF(AN28=AN$5,4,0),IF(AN28&amp;AO28=AN$5&amp;AO$5,1,0),
IF(AND(AN28=AN$5,AO$6&gt;=$D$115),1,0),
IF(AND(AO28=AN$5,AO$6&gt;=$D$115),1,0),
IF(AND(AP28=AN$5,AO$6&gt;=$D$115),1,0),
IF(AN28&amp;AQ28=AR$5,1,0),
IF(AO28=AN$5,2,0),
IF(AP28=AN$5,1,0),
IF(OR(AN28&amp;AO28&amp;AP28=AN$5&amp;AO$5&amp;AP$5,AN28&amp;AO28&amp;AP28=AN$5&amp;AP$5&amp;AO$5,AN28&amp;AO28&amp;AP28=AO$5&amp;AN$5&amp;AP$5,AN28&amp;AO28&amp;AP28=AO$5&amp;AP$5&amp;AN$5,AN28&amp;AO28&amp;AP28=AP$5&amp;AN$5&amp;AO$5,AN28&amp;AO28&amp;AP28=AP$5&amp;AO$5&amp;AN$5),2,0),IF(AND(AN28=AN$5,AO$6&gt;=$D$129),1,0),IF(AND(AO28=AN$5,AO$6&gt;=$D$129),1,0),IF(AND(AP28=AN$5,AO$6&gt;=$D$129),1,0),IF(AN28&amp;AQ28=AQ$5,4,0),IF(AND(AN28=AN$5,AO$6&lt;=$D$104),-0.5,0),IF(AND(AO28=AN$5,AO$6&lt;=$D$104),-0.5,0),IF(AND(AP28=AN$5,AO$6&lt;=$D$104),-0.5,0))</f>
        <v/>
      </c>
      <c r="AS28" s="416" t="n"/>
      <c r="AT28" s="417" t="n"/>
      <c r="AU28" s="417" t="n"/>
      <c r="AV28" s="417" t="n"/>
      <c r="AW28" s="602">
        <f>SUM(IF(AS28=AS$5,4,0),IF(AS28&amp;AT28=AS$5&amp;AT$5,1,0),
IF(AND(AS28=AS$5,AT$6&gt;=$D$115),1,0),
IF(AND(AT28=AS$5,AT$6&gt;=$D$115),1,0),
IF(AND(AU28=AS$5,AT$6&gt;=$D$115),1,0),
IF(AS28&amp;AV28=AW$5,1,0),
IF(AT28=AS$5,2,0),
IF(AU28=AS$5,1,0),
IF(OR(AS28&amp;AT28&amp;AU28=AS$5&amp;AT$5&amp;AU$5,AS28&amp;AT28&amp;AU28=AS$5&amp;AU$5&amp;AT$5,AS28&amp;AT28&amp;AU28=AT$5&amp;AS$5&amp;AU$5,AS28&amp;AT28&amp;AU28=AT$5&amp;AU$5&amp;AS$5,AS28&amp;AT28&amp;AU28=AU$5&amp;AS$5&amp;AT$5,AS28&amp;AT28&amp;AU28=AU$5&amp;AT$5&amp;AS$5),2,0),IF(AND(AS28=AS$5,AT$6&gt;=$D$129),1,0),IF(AND(AT28=AS$5,AT$6&gt;=$D$129),1,0),IF(AND(AU28=AS$5,AT$6&gt;=$D$129),1,0),IF(AS28&amp;AV28=AV$5,4,0),IF(AND(AS28=AS$5,AT$6&lt;=$D$104),-0.5,0),IF(AND(AT28=AS$5,AT$6&lt;=$D$104),-0.5,0),IF(AND(AU28=AS$5,AT$6&lt;=$D$104),-0.5,0))</f>
        <v/>
      </c>
      <c r="AX28" s="416" t="n"/>
      <c r="AY28" s="417" t="n"/>
      <c r="AZ28" s="417" t="n"/>
      <c r="BA28" s="417" t="n"/>
      <c r="BB28" s="602">
        <f>SUM(IF(AX28=AX$5,4,0),IF(AX28&amp;AY28=AX$5&amp;AY$5,1,0),
IF(AND(AX28=AX$5,AY$6&gt;=$D$115),1,0),
IF(AND(AY28=AX$5,AY$6&gt;=$D$115),1,0),
IF(AND(AZ28=AX$5,AY$6&gt;=$D$115),1,0),
IF(AX28&amp;BA28=BB$5,1,0),
IF(AY28=AX$5,2,0),
IF(AZ28=AX$5,1,0),
IF(OR(AX28&amp;AY28&amp;AZ28=AX$5&amp;AY$5&amp;AZ$5,AX28&amp;AY28&amp;AZ28=AX$5&amp;AZ$5&amp;AY$5,AX28&amp;AY28&amp;AZ28=AY$5&amp;AX$5&amp;AZ$5,AX28&amp;AY28&amp;AZ28=AY$5&amp;AZ$5&amp;AX$5,AX28&amp;AY28&amp;AZ28=AZ$5&amp;AX$5&amp;AY$5,AX28&amp;AY28&amp;AZ28=AZ$5&amp;AY$5&amp;AX$5),2,0),IF(AND(AX28=AX$5,AY$6&gt;=$D$129),1,0),IF(AND(AY28=AX$5,AY$6&gt;=$D$129),1,0),IF(AND(AZ28=AX$5,AY$6&gt;=$D$129),1,0),IF(AX28&amp;BA28=BA$5,4,0),IF(AND(AX28=AX$5,AY$6&lt;=$D$104),-0.5,0),IF(AND(AY28=AX$5,AY$6&lt;=$D$104),-0.5,0),IF(AND(AZ28=AX$5,AY$6&lt;=$D$104),-0.5,0))</f>
        <v/>
      </c>
      <c r="BC28" s="416" t="n"/>
      <c r="BD28" s="417" t="n"/>
      <c r="BE28" s="417" t="n"/>
      <c r="BF28" s="417" t="n"/>
      <c r="BG28" s="602">
        <f>SUM(IF(BC28=BC$5,4,0),IF(BC28&amp;BD28=BC$5&amp;BD$5,1,0),
IF(AND(BC28=BC$5,BD$6&gt;=$D$115),1,0),
IF(AND(BD28=BC$5,BD$6&gt;=$D$115),1,0),
IF(AND(BE28=BC$5,BD$6&gt;=$D$115),1,0),
IF(BC28&amp;BF28=BG$5,1,0),
IF(BD28=BC$5,2,0),
IF(BE28=BC$5,1,0),
IF(OR(BC28&amp;BD28&amp;BE28=BC$5&amp;BD$5&amp;BE$5,BC28&amp;BD28&amp;BE28=BC$5&amp;BE$5&amp;BD$5,BC28&amp;BD28&amp;BE28=BD$5&amp;BC$5&amp;BE$5,BC28&amp;BD28&amp;BE28=BD$5&amp;BE$5&amp;BC$5,BC28&amp;BD28&amp;BE28=BE$5&amp;BC$5&amp;BD$5,BC28&amp;BD28&amp;BE28=BE$5&amp;BD$5&amp;BC$5),2,0),IF(AND(BC28=BC$5,BD$6&gt;=$D$129),1,0),IF(AND(BD28=BC$5,BD$6&gt;=$D$129),1,0),IF(AND(BE28=BC$5,BD$6&gt;=$D$129),1,0),IF(BC28&amp;BF28=BF$5,4,0),IF(AND(BC28=BC$5,BD$6&lt;=$D$104),-0.5,0),IF(AND(BD28=BC$5,BD$6&lt;=$D$104),-0.5,0),IF(AND(BE28=BC$5,BD$6&lt;=$D$104),-0.5,0))</f>
        <v/>
      </c>
      <c r="BH28" s="416" t="n"/>
      <c r="BI28" s="417" t="n"/>
      <c r="BJ28" s="417" t="n"/>
      <c r="BK28" s="417" t="n"/>
      <c r="BL28" s="602">
        <f>SUM(IF(BH28=BH$5,4,0),IF(BH28&amp;BI28=BH$5&amp;BI$5,1,0),
IF(AND(BH28=BH$5,BI$6&gt;=$D$115),1,0),
IF(AND(BI28=BH$5,BI$6&gt;=$D$115),1,0),
IF(AND(BJ28=BH$5,BI$6&gt;=$D$115),1,0),
IF(BH28&amp;BK28=BL$5,1,0),
IF(BI28=BH$5,2,0),
IF(BJ28=BH$5,1,0),
IF(OR(BH28&amp;BI28&amp;BJ28=BH$5&amp;BI$5&amp;BJ$5,BH28&amp;BI28&amp;BJ28=BH$5&amp;BJ$5&amp;BI$5,BH28&amp;BI28&amp;BJ28=BI$5&amp;BH$5&amp;BJ$5,BH28&amp;BI28&amp;BJ28=BI$5&amp;BJ$5&amp;BH$5,BH28&amp;BI28&amp;BJ28=BJ$5&amp;BH$5&amp;BI$5,BH28&amp;BI28&amp;BJ28=BJ$5&amp;BI$5&amp;BH$5),2,0),IF(AND(BH28=BH$5,BI$6&gt;=$D$129),1,0),IF(AND(BI28=BH$5,BI$6&gt;=$D$129),1,0),IF(AND(BJ28=BH$5,BI$6&gt;=$D$129),1,0),IF(BH28&amp;BK28=BK$5,4,0),IF(AND(BH28=BH$5,BI$6&lt;=$D$104),-0.5,0),IF(AND(BI28=BH$5,BI$6&lt;=$D$104),-0.5,0),IF(AND(BJ28=BH$5,BI$6&lt;=$D$104),-0.5,0))</f>
        <v/>
      </c>
      <c r="BM28" s="416" t="n"/>
      <c r="BN28" s="417" t="n"/>
      <c r="BO28" s="417" t="n"/>
      <c r="BP28" s="417" t="n"/>
      <c r="BQ28" s="602">
        <f>SUM(IF(BM28=BM$5,4,0),IF(BM28&amp;BN28=BM$5&amp;BN$5,1,0),
IF(AND(BM28=BM$5,BN$6&gt;=$D$115),1,0),
IF(AND(BN28=BM$5,BN$6&gt;=$D$115),1,0),
IF(AND(BO28=BM$5,BN$6&gt;=$D$115),1,0),
IF(BM28&amp;BP28=BQ$5,1,0),
IF(BN28=BM$5,2,0),
IF(BO28=BM$5,1,0),
IF(OR(BM28&amp;BN28&amp;BO28=BM$5&amp;BN$5&amp;BO$5,BM28&amp;BN28&amp;BO28=BM$5&amp;BO$5&amp;BN$5,BM28&amp;BN28&amp;BO28=BN$5&amp;BM$5&amp;BO$5,BM28&amp;BN28&amp;BO28=BN$5&amp;BO$5&amp;BM$5,BM28&amp;BN28&amp;BO28=BO$5&amp;BM$5&amp;BN$5,BM28&amp;BN28&amp;BO28=BO$5&amp;BN$5&amp;BM$5),2,0),IF(AND(BM28=BM$5,BN$6&gt;=$D$129),1,0),IF(AND(BN28=BM$5,BN$6&gt;=$D$129),1,0),IF(AND(BO28=BM$5,BN$6&gt;=$D$129),1,0),IF(BM28&amp;BP28=BP$5,4,0),IF(AND(BM28=BM$5,BN$6&lt;=$D$104),-0.5,0),IF(AND(BN28=BM$5,BN$6&lt;=$D$104),-0.5,0),IF(AND(BO28=BM$5,BN$6&lt;=$D$104),-0.5,0))</f>
        <v/>
      </c>
      <c r="BR28" s="416" t="n"/>
      <c r="BS28" s="417" t="n"/>
      <c r="BT28" s="417" t="n"/>
      <c r="BU28" s="417" t="n"/>
      <c r="BV28" s="602">
        <f>SUM(IF(BR28=BR$5,4,0),IF(BR28&amp;BS28=BR$5&amp;BS$5,1,0),
IF(AND(BR28=BR$5,BS$6&gt;=$D$115),1,0),
IF(AND(BS28=BR$5,BS$6&gt;=$D$115),1,0),
IF(AND(BT28=BR$5,BS$6&gt;=$D$115),1,0),
IF(BR28&amp;BU28=BV$5,1,0),
IF(BS28=BR$5,2,0),
IF(BT28=BR$5,1,0),
IF(OR(BR28&amp;BS28&amp;BT28=BR$5&amp;BS$5&amp;BT$5,BR28&amp;BS28&amp;BT28=BR$5&amp;BT$5&amp;BS$5,BR28&amp;BS28&amp;BT28=BS$5&amp;BR$5&amp;BT$5,BR28&amp;BS28&amp;BT28=BS$5&amp;BT$5&amp;BR$5,BR28&amp;BS28&amp;BT28=BT$5&amp;BR$5&amp;BS$5,BR28&amp;BS28&amp;BT28=BT$5&amp;BS$5&amp;BR$5),2,0),IF(AND(BR28=BR$5,BS$6&gt;=$D$129),1,0),IF(AND(BS28=BR$5,BS$6&gt;=$D$129),1,0),IF(AND(BT28=BR$5,BS$6&gt;=$D$129),1,0),IF(BR28&amp;BU28=BU$5,4,0),IF(AND(BR28=BR$5,BS$6&lt;=$D$104),-0.5,0),IF(AND(BS28=BR$5,BS$6&lt;=$D$104),-0.5,0),IF(AND(BT28=BR$5,BS$6&lt;=$D$104),-0.5,0))</f>
        <v/>
      </c>
      <c r="BW28" s="416" t="n"/>
      <c r="BX28" s="417" t="n"/>
      <c r="BY28" s="417" t="n"/>
      <c r="BZ28" s="417" t="n"/>
      <c r="CA28" s="602">
        <f>SUM(IF(BW28=BW$5,4,0),IF(BW28&amp;BX28=BW$5&amp;BX$5,1,0),
IF(AND(BW28=BW$5,BX$6&gt;=$D$115),1,0),
IF(AND(BX28=BW$5,BX$6&gt;=$D$115),1,0),
IF(AND(BY28=BW$5,BX$6&gt;=$D$115),1,0),
IF(BW28&amp;BZ28=CA$5,1,0),
IF(BX28=BW$5,2,0),
IF(BY28=BW$5,1,0),
IF(OR(BW28&amp;BX28&amp;BY28=BW$5&amp;BX$5&amp;BY$5,BW28&amp;BX28&amp;BY28=BW$5&amp;BY$5&amp;BX$5,BW28&amp;BX28&amp;BY28=BX$5&amp;BW$5&amp;BY$5,BW28&amp;BX28&amp;BY28=BX$5&amp;BY$5&amp;BW$5,BW28&amp;BX28&amp;BY28=BY$5&amp;BW$5&amp;BX$5,BW28&amp;BX28&amp;BY28=BY$5&amp;BX$5&amp;BW$5),2,0),IF(AND(BW28=BW$5,BX$6&gt;=$D$129),1,0),IF(AND(BX28=BW$5,BX$6&gt;=$D$129),1,0),IF(AND(BY28=BW$5,BX$6&gt;=$D$129),1,0),IF(BW28&amp;BZ28=BZ$5,4,0),IF(AND(BW28=BW$5,BX$6&lt;=$D$104),-0.5,0),IF(AND(BX28=BW$5,BX$6&lt;=$D$104),-0.5,0),IF(AND(BY28=BW$5,BX$6&lt;=$D$104),-0.5,0))</f>
        <v/>
      </c>
      <c r="CB28" s="416" t="n"/>
      <c r="CC28" s="417" t="n"/>
      <c r="CD28" s="417" t="n"/>
      <c r="CE28" s="417" t="n"/>
      <c r="CF28" s="602">
        <f>SUM(IF(CB28=CB$5,4,0),IF(CB28&amp;CC28=CB$5&amp;CC$5,1,0),
IF(AND(CB28=CB$5,CC$6&gt;=$D$115),1,0),
IF(AND(CC28=CB$5,CC$6&gt;=$D$115),1,0),
IF(AND(CD28=CB$5,CC$6&gt;=$D$115),1,0),
IF(CB28&amp;CE28=CF$5,1,0),
IF(CC28=CB$5,2,0),
IF(CD28=CB$5,1,0),
IF(OR(CB28&amp;CC28&amp;CD28=CB$5&amp;CC$5&amp;CD$5,CB28&amp;CC28&amp;CD28=CB$5&amp;CD$5&amp;CC$5,CB28&amp;CC28&amp;CD28=CC$5&amp;CB$5&amp;CD$5,CB28&amp;CC28&amp;CD28=CC$5&amp;CD$5&amp;CB$5,CB28&amp;CC28&amp;CD28=CD$5&amp;CB$5&amp;CC$5,CB28&amp;CC28&amp;CD28=CD$5&amp;CC$5&amp;CB$5),2,0),IF(AND(CB28=CB$5,CC$6&gt;=$D$129),1,0),IF(AND(CC28=CB$5,CC$6&gt;=$D$129),1,0),IF(AND(CD28=CB$5,CC$6&gt;=$D$129),1,0),IF(CB28&amp;CE28=CE$5,4,0),IF(AND(CB28=CB$5,CC$6&lt;=$D$104),-0.5,0),IF(AND(CC28=CB$5,CC$6&lt;=$D$104),-0.5,0),IF(AND(CD28=CB$5,CC$6&lt;=$D$104),-0.5,0))</f>
        <v/>
      </c>
      <c r="CG28" s="164">
        <f>IF(SEMANA29[[#This Row],[1]]="",0,$B$4)</f>
        <v/>
      </c>
      <c r="CH28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8" s="166">
        <f>IF(SEMANA29[[#This Row],[Columna14]]=0,0,(CH28/CG28))</f>
        <v/>
      </c>
      <c r="CJ28" s="165">
        <f>IF(SEMANA29[[#This Row],[1]]="",0,$B$4)</f>
        <v/>
      </c>
      <c r="CK28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8" s="166">
        <f>IF(SEMANA29[[#This Row],[Columna14]]=0,0,(CK28/CJ28))</f>
        <v/>
      </c>
      <c r="CM28" s="164">
        <f>IF(SEMANA29[[#This Row],[1]]="",0,$B$4)</f>
        <v/>
      </c>
      <c r="CN28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8" s="166">
        <f>IF(SEMANA29[[#This Row],[Columna14]]=0,0,(CN28/CM28))</f>
        <v/>
      </c>
      <c r="CP28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8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8" s="166">
        <f>IFERROR(IF(SEMANA29[[#This Row],[Columna14]]=0,0,(CQ28/CP28)),0)</f>
        <v/>
      </c>
      <c r="CS28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8" s="95">
        <f>_xlfn.XLOOKUP(SEMANA29[[#This Row],[COD]],SEMANA2[COD],SEMANA2[Columna33])</f>
        <v/>
      </c>
      <c r="CU28" s="604">
        <f>SUM(CS28,CT28)</f>
        <v/>
      </c>
      <c r="CV28" s="450">
        <f>IF(SEMANA29[[#This Row],[TIPO]]="PREMIO",$O$3,"0,00")</f>
        <v/>
      </c>
      <c r="CW28" s="576" t="n"/>
      <c r="CY28" s="392">
        <f>IF(CZ28="","",$CZ$25)</f>
        <v/>
      </c>
      <c r="CZ28" s="392" t="n"/>
      <c r="DA28" s="392">
        <f t="array" ref="DA28">IF(CZ28="", "", IF((INDEX(E$8:CE$57, MATCH(CZ28, C$8:C$57, 0), ($CZ$25-1)*5 + 1) &amp; "") = (INDEX(E$5:CE$5, 1, ($CZ$25-1)*5 + 1) &amp; ""), 1, IF((INDEX(E$8:CE$57, MATCH(CZ28, C$8:C$57, 0), ($CZ$25-1)*5 + 2) &amp; "") = (INDEX(E$5:CE$5, 1, ($CZ$25-1)*5 + 1) &amp; ""), 2, IF((INDEX(E$8:CE$57, MATCH(CZ28, C$8:C$57, 0), ($CZ$25-1)*5 + 3) &amp; "") = (INDEX(E$5:CE$5, 1, ($CZ$25-1)*5 + 1) &amp; ""), 3, ""))))</f>
        <v/>
      </c>
      <c r="DB28" s="605">
        <f>SEMANA29[[#This Row],[COD]]</f>
        <v/>
      </c>
      <c r="DC28" s="395">
        <f t="array" ref="DC28">IFERROR(IF(AND(INDEX($E$8:$CE$57, MATCH($C28, $C$8:$C$57, 0), (COLUMNS($DC28:DC28)-1)*5 + 1) = INDEX($E$5:$CE$5, 1, (COLUMNS($DC28:DC28)-1)*5 + 1), INDEX($E$8:$CE$57, MATCH($C28, $C$8:$C$57, 0), (COLUMNS($DC28:DC28)-1)*5 + 4) = "F"), INDEX($CZ$8:$CZ$23, COLUMNS($DC28:DC28)), "0"), "")</f>
        <v/>
      </c>
      <c r="DD28" s="395">
        <f t="array" ref="DD28">IFERROR(IF(AND(INDEX($E$8:$CE$57, MATCH($C28, $C$8:$C$57, 0), (COLUMNS($DC28:DD28)-1)*5 + 1) = INDEX($E$5:$CE$5, 1, (COLUMNS($DC28:DD28)-1)*5 + 1), INDEX($E$8:$CE$57, MATCH($C28, $C$8:$C$57, 0), (COLUMNS($DC28:DD28)-1)*5 + 4) = "F"), INDEX($CZ$8:$CZ$23, COLUMNS($DC28:DD28)), "0"), "")</f>
        <v/>
      </c>
      <c r="DE28" s="395">
        <f t="array" ref="DE28">IFERROR(IF(AND(INDEX($E$8:$CE$57, MATCH($C28, $C$8:$C$57, 0), (COLUMNS($DC28:DE28)-1)*5 + 1) = INDEX($E$5:$CE$5, 1, (COLUMNS($DC28:DE28)-1)*5 + 1), INDEX($E$8:$CE$57, MATCH($C28, $C$8:$C$57, 0), (COLUMNS($DC28:DE28)-1)*5 + 4) = "F"), INDEX($CZ$8:$CZ$23, COLUMNS($DC28:DE28)), "0"), "")</f>
        <v/>
      </c>
      <c r="DF28" s="395">
        <f t="array" ref="DF28">IFERROR(IF(AND(INDEX($E$8:$CE$57, MATCH($C28, $C$8:$C$57, 0), (COLUMNS($DC28:DF28)-1)*5 + 1) = INDEX($E$5:$CE$5, 1, (COLUMNS($DC28:DF28)-1)*5 + 1), INDEX($E$8:$CE$57, MATCH($C28, $C$8:$C$57, 0), (COLUMNS($DC28:DF28)-1)*5 + 4) = "F"), INDEX($CZ$8:$CZ$23, COLUMNS($DC28:DF28)), "0"), "")</f>
        <v/>
      </c>
      <c r="DG28" s="395">
        <f t="array" ref="DG28">IFERROR(IF(AND(INDEX($E$8:$CE$57, MATCH($C28, $C$8:$C$57, 0), (COLUMNS($DC28:DG28)-1)*5 + 1) = INDEX($E$5:$CE$5, 1, (COLUMNS($DC28:DG28)-1)*5 + 1), INDEX($E$8:$CE$57, MATCH($C28, $C$8:$C$57, 0), (COLUMNS($DC28:DG28)-1)*5 + 4) = "F"), INDEX($CZ$8:$CZ$23, COLUMNS($DC28:DG28)), "0"), "")</f>
        <v/>
      </c>
      <c r="DH28" s="395">
        <f t="array" ref="DH28">IFERROR(IF(AND(INDEX($E$8:$CE$57, MATCH($C28, $C$8:$C$57, 0), (COLUMNS($DC28:DH28)-1)*5 + 1) = INDEX($E$5:$CE$5, 1, (COLUMNS($DC28:DH28)-1)*5 + 1), INDEX($E$8:$CE$57, MATCH($C28, $C$8:$C$57, 0), (COLUMNS($DC28:DH28)-1)*5 + 4) = "F"), INDEX($CZ$8:$CZ$23, COLUMNS($DC28:DH28)), "0"), "")</f>
        <v/>
      </c>
      <c r="DI28" s="395">
        <f t="array" ref="DI28">IFERROR(IF(AND(INDEX($E$8:$CE$57, MATCH($C28, $C$8:$C$57, 0), (COLUMNS($DC28:DI28)-1)*5 + 1) = INDEX($E$5:$CE$5, 1, (COLUMNS($DC28:DI28)-1)*5 + 1), INDEX($E$8:$CE$57, MATCH($C28, $C$8:$C$57, 0), (COLUMNS($DC28:DI28)-1)*5 + 4) = "F"), INDEX($CZ$8:$CZ$23, COLUMNS($DC28:DI28)), "0"), "")</f>
        <v/>
      </c>
      <c r="DJ28" s="395">
        <f t="array" ref="DJ28">IFERROR(IF(AND(INDEX($E$8:$CE$57, MATCH($C28, $C$8:$C$57, 0), (COLUMNS($DC28:DJ28)-1)*5 + 1) = INDEX($E$5:$CE$5, 1, (COLUMNS($DC28:DJ28)-1)*5 + 1), INDEX($E$8:$CE$57, MATCH($C28, $C$8:$C$57, 0), (COLUMNS($DC28:DJ28)-1)*5 + 4) = "F"), INDEX($CZ$8:$CZ$23, COLUMNS($DC28:DJ28)), "0"), "")</f>
        <v/>
      </c>
      <c r="DK28" s="395">
        <f t="array" ref="DK28">IFERROR(IF(AND(INDEX($E$8:$CE$57, MATCH($C28, $C$8:$C$57, 0), (COLUMNS($DC28:DK28)-1)*5 + 1) = INDEX($E$5:$CE$5, 1, (COLUMNS($DC28:DK28)-1)*5 + 1), INDEX($E$8:$CE$57, MATCH($C28, $C$8:$C$57, 0), (COLUMNS($DC28:DK28)-1)*5 + 4) = "F"), INDEX($CZ$8:$CZ$23, COLUMNS($DC28:DK28)), "0"), "")</f>
        <v/>
      </c>
      <c r="DL28" s="395">
        <f t="array" ref="DL28">IFERROR(IF(AND(INDEX($E$8:$CE$57, MATCH($C28, $C$8:$C$57, 0), (COLUMNS($DC28:DL28)-1)*5 + 1) = INDEX($E$5:$CE$5, 1, (COLUMNS($DC28:DL28)-1)*5 + 1), INDEX($E$8:$CE$57, MATCH($C28, $C$8:$C$57, 0), (COLUMNS($DC28:DL28)-1)*5 + 4) = "F"), INDEX($CZ$8:$CZ$23, COLUMNS($DC28:DL28)), "0"), "")</f>
        <v/>
      </c>
      <c r="DM28" s="395">
        <f t="array" ref="DM28">IFERROR(IF(AND(INDEX($E$8:$CE$57, MATCH($C28, $C$8:$C$57, 0), (COLUMNS($DC28:DM28)-1)*5 + 1) = INDEX($E$5:$CE$5, 1, (COLUMNS($DC28:DM28)-1)*5 + 1), INDEX($E$8:$CE$57, MATCH($C28, $C$8:$C$57, 0), (COLUMNS($DC28:DM28)-1)*5 + 4) = "F"), INDEX($CZ$8:$CZ$23, COLUMNS($DC28:DM28)), "0"), "")</f>
        <v/>
      </c>
      <c r="DN28" s="395">
        <f t="array" ref="DN28">IFERROR(IF(AND(INDEX($E$8:$CE$57, MATCH($C28, $C$8:$C$57, 0), (COLUMNS($DC28:DN28)-1)*5 + 1) = INDEX($E$5:$CE$5, 1, (COLUMNS($DC28:DN28)-1)*5 + 1), INDEX($E$8:$CE$57, MATCH($C28, $C$8:$C$57, 0), (COLUMNS($DC28:DN28)-1)*5 + 4) = "F"), INDEX($CZ$8:$CZ$23, COLUMNS($DC28:DN28)), "0"), "")</f>
        <v/>
      </c>
      <c r="DO28" s="395">
        <f t="array" ref="DO28">IFERROR(IF(AND(INDEX($E$8:$CE$57, MATCH($C28, $C$8:$C$57, 0), (COLUMNS($DC28:DO28)-1)*5 + 1) = INDEX($E$5:$CE$5, 1, (COLUMNS($DC28:DO28)-1)*5 + 1), INDEX($E$8:$CE$57, MATCH($C28, $C$8:$C$57, 0), (COLUMNS($DC28:DO28)-1)*5 + 4) = "F"), INDEX($CZ$8:$CZ$23, COLUMNS($DC28:DO28)), "0"), "")</f>
        <v/>
      </c>
      <c r="DP28" s="395">
        <f t="array" ref="DP28">IFERROR(IF(AND(INDEX($E$8:$CE$57, MATCH($C28, $C$8:$C$57, 0), (COLUMNS($DC28:DP28)-1)*5 + 1) = INDEX($E$5:$CE$5, 1, (COLUMNS($DC28:DP28)-1)*5 + 1), INDEX($E$8:$CE$57, MATCH($C28, $C$8:$C$57, 0), (COLUMNS($DC28:DP28)-1)*5 + 4) = "F"), INDEX($CZ$8:$CZ$23, COLUMNS($DC28:DP28)), "0"), "")</f>
        <v/>
      </c>
      <c r="DQ28" s="395">
        <f t="array" ref="DQ28">IFERROR(IF(AND(INDEX($E$8:$CE$57, MATCH($C28, $C$8:$C$57, 0), (COLUMNS($DC28:DQ28)-1)*5 + 1) = INDEX($E$5:$CE$5, 1, (COLUMNS($DC28:DQ28)-1)*5 + 1), INDEX($E$8:$CE$57, MATCH($C28, $C$8:$C$57, 0), (COLUMNS($DC28:DQ28)-1)*5 + 4) = "F"), INDEX($CZ$8:$CZ$23, COLUMNS($DC28:DQ28)), "0"), "")</f>
        <v/>
      </c>
      <c r="DR28" s="395">
        <f t="array" ref="DR28">IFERROR(IF(AND(INDEX($E$8:$CE$57, MATCH($C28, $C$8:$C$57, 0), (COLUMNS($DC28:DR28)-1)*5 + 1) = INDEX($E$5:$CE$5, 1, (COLUMNS($DC28:DR28)-1)*5 + 1), INDEX($E$8:$CE$57, MATCH($C28, $C$8:$C$57, 0), (COLUMNS($DC28:DR28)-1)*5 + 4) = "F"), INDEX($CZ$8:$CZ$23, COLUMNS($DC28:DR28)), "0"), "")</f>
        <v/>
      </c>
      <c r="DT28" s="605">
        <f>SEMANA29[[#This Row],[COD]]</f>
        <v/>
      </c>
      <c r="DU28" s="395">
        <f t="array" ref="DU28">IFERROR(IF(AND(INDEX($E$8:$CE$57, MATCH($C28, $C$8:$C$57, 0), (COLUMNS($DU28:DU28)-1)*5 + 1) = INDEX($E$5:$CE$5, 1, (COLUMNS($DU28:DU28)-1)*5 + 1), INDEX($E$8:$CE$57, MATCH($C28, $C$8:$C$57, 0), (COLUMNS($DU28:DU28)-1)*5 + 4) = "SF"), INDEX($CZ$8:$CZ$23, COLUMNS($DU28:DU28)), "0"), "")</f>
        <v/>
      </c>
      <c r="DV28" s="395">
        <f t="array" ref="DV28">IFERROR(IF(AND(INDEX($E$8:$CE$57, MATCH($C28, $C$8:$C$57, 0), (COLUMNS($DU28:DV28)-1)*5 + 1) = INDEX($E$5:$CE$5, 1, (COLUMNS($DU28:DV28)-1)*5 + 1), INDEX($E$8:$CE$57, MATCH($C28, $C$8:$C$57, 0), (COLUMNS($DU28:DV28)-1)*5 + 4) = "SF"), INDEX($CZ$8:$CZ$23, COLUMNS($DU28:DV28)), "0"), "")</f>
        <v/>
      </c>
      <c r="DW28" s="395">
        <f t="array" ref="DW28">IFERROR(IF(AND(INDEX($E$8:$CE$57, MATCH($C28, $C$8:$C$57, 0), (COLUMNS($DU28:DW28)-1)*5 + 1) = INDEX($E$5:$CE$5, 1, (COLUMNS($DU28:DW28)-1)*5 + 1), INDEX($E$8:$CE$57, MATCH($C28, $C$8:$C$57, 0), (COLUMNS($DU28:DW28)-1)*5 + 4) = "SF"), INDEX($CZ$8:$CZ$23, COLUMNS($DU28:DW28)), "0"), "")</f>
        <v/>
      </c>
      <c r="DX28" s="395">
        <f t="array" ref="DX28">IFERROR(IF(AND(INDEX($E$8:$CE$57, MATCH($C28, $C$8:$C$57, 0), (COLUMNS($DU28:DX28)-1)*5 + 1) = INDEX($E$5:$CE$5, 1, (COLUMNS($DU28:DX28)-1)*5 + 1), INDEX($E$8:$CE$57, MATCH($C28, $C$8:$C$57, 0), (COLUMNS($DU28:DX28)-1)*5 + 4) = "SF"), INDEX($CZ$8:$CZ$23, COLUMNS($DU28:DX28)), "0"), "")</f>
        <v/>
      </c>
      <c r="DY28" s="395">
        <f t="array" ref="DY28">IFERROR(IF(AND(INDEX($E$8:$CE$57, MATCH($C28, $C$8:$C$57, 0), (COLUMNS($DU28:DY28)-1)*5 + 1) = INDEX($E$5:$CE$5, 1, (COLUMNS($DU28:DY28)-1)*5 + 1), INDEX($E$8:$CE$57, MATCH($C28, $C$8:$C$57, 0), (COLUMNS($DU28:DY28)-1)*5 + 4) = "SF"), INDEX($CZ$8:$CZ$23, COLUMNS($DU28:DY28)), "0"), "")</f>
        <v/>
      </c>
      <c r="DZ28" s="395">
        <f t="array" ref="DZ28">IFERROR(IF(AND(INDEX($E$8:$CE$57, MATCH($C28, $C$8:$C$57, 0), (COLUMNS($DU28:DZ28)-1)*5 + 1) = INDEX($E$5:$CE$5, 1, (COLUMNS($DU28:DZ28)-1)*5 + 1), INDEX($E$8:$CE$57, MATCH($C28, $C$8:$C$57, 0), (COLUMNS($DU28:DZ28)-1)*5 + 4) = "SF"), INDEX($CZ$8:$CZ$23, COLUMNS($DU28:DZ28)), "0"), "")</f>
        <v/>
      </c>
      <c r="EA28" s="395">
        <f t="array" ref="EA28">IFERROR(IF(AND(INDEX($E$8:$CE$57, MATCH($C28, $C$8:$C$57, 0), (COLUMNS($DU28:EA28)-1)*5 + 1) = INDEX($E$5:$CE$5, 1, (COLUMNS($DU28:EA28)-1)*5 + 1), INDEX($E$8:$CE$57, MATCH($C28, $C$8:$C$57, 0), (COLUMNS($DU28:EA28)-1)*5 + 4) = "SF"), INDEX($CZ$8:$CZ$23, COLUMNS($DU28:EA28)), "0"), "")</f>
        <v/>
      </c>
      <c r="EB28" s="395">
        <f t="array" ref="EB28">IFERROR(IF(AND(INDEX($E$8:$CE$57, MATCH($C28, $C$8:$C$57, 0), (COLUMNS($DU28:EB28)-1)*5 + 1) = INDEX($E$5:$CE$5, 1, (COLUMNS($DU28:EB28)-1)*5 + 1), INDEX($E$8:$CE$57, MATCH($C28, $C$8:$C$57, 0), (COLUMNS($DU28:EB28)-1)*5 + 4) = "SF"), INDEX($CZ$8:$CZ$23, COLUMNS($DU28:EB28)), "0"), "")</f>
        <v/>
      </c>
      <c r="EC28" s="395">
        <f t="array" ref="EC28">IFERROR(IF(AND(INDEX($E$8:$CE$57, MATCH($C28, $C$8:$C$57, 0), (COLUMNS($DU28:EC28)-1)*5 + 1) = INDEX($E$5:$CE$5, 1, (COLUMNS($DU28:EC28)-1)*5 + 1), INDEX($E$8:$CE$57, MATCH($C28, $C$8:$C$57, 0), (COLUMNS($DU28:EC28)-1)*5 + 4) = "SF"), INDEX($CZ$8:$CZ$23, COLUMNS($DU28:EC28)), "0"), "")</f>
        <v/>
      </c>
      <c r="ED28" s="395">
        <f t="array" ref="ED28">IFERROR(IF(AND(INDEX($E$8:$CE$57, MATCH($C28, $C$8:$C$57, 0), (COLUMNS($DU28:ED28)-1)*5 + 1) = INDEX($E$5:$CE$5, 1, (COLUMNS($DU28:ED28)-1)*5 + 1), INDEX($E$8:$CE$57, MATCH($C28, $C$8:$C$57, 0), (COLUMNS($DU28:ED28)-1)*5 + 4) = "SF"), INDEX($CZ$8:$CZ$23, COLUMNS($DU28:ED28)), "0"), "")</f>
        <v/>
      </c>
      <c r="EE28" s="395">
        <f t="array" ref="EE28">IFERROR(IF(AND(INDEX($E$8:$CE$57, MATCH($C28, $C$8:$C$57, 0), (COLUMNS($DU28:EE28)-1)*5 + 1) = INDEX($E$5:$CE$5, 1, (COLUMNS($DU28:EE28)-1)*5 + 1), INDEX($E$8:$CE$57, MATCH($C28, $C$8:$C$57, 0), (COLUMNS($DU28:EE28)-1)*5 + 4) = "SF"), INDEX($CZ$8:$CZ$23, COLUMNS($DU28:EE28)), "0"), "")</f>
        <v/>
      </c>
      <c r="EF28" s="395">
        <f t="array" ref="EF28">IFERROR(IF(AND(INDEX($E$8:$CE$57, MATCH($C28, $C$8:$C$57, 0), (COLUMNS($DU28:EF28)-1)*5 + 1) = INDEX($E$5:$CE$5, 1, (COLUMNS($DU28:EF28)-1)*5 + 1), INDEX($E$8:$CE$57, MATCH($C28, $C$8:$C$57, 0), (COLUMNS($DU28:EF28)-1)*5 + 4) = "SF"), INDEX($CZ$8:$CZ$23, COLUMNS($DU28:EF28)), "0"), "")</f>
        <v/>
      </c>
      <c r="EG28" s="395">
        <f t="array" ref="EG28">IFERROR(IF(AND(INDEX($E$8:$CE$57, MATCH($C28, $C$8:$C$57, 0), (COLUMNS($DU28:EG28)-1)*5 + 1) = INDEX($E$5:$CE$5, 1, (COLUMNS($DU28:EG28)-1)*5 + 1), INDEX($E$8:$CE$57, MATCH($C28, $C$8:$C$57, 0), (COLUMNS($DU28:EG28)-1)*5 + 4) = "SF"), INDEX($CZ$8:$CZ$23, COLUMNS($DU28:EG28)), "0"), "")</f>
        <v/>
      </c>
      <c r="EH28" s="395">
        <f t="array" ref="EH28">IFERROR(IF(AND(INDEX($E$8:$CE$57, MATCH($C28, $C$8:$C$57, 0), (COLUMNS($DU28:EH28)-1)*5 + 1) = INDEX($E$5:$CE$5, 1, (COLUMNS($DU28:EH28)-1)*5 + 1), INDEX($E$8:$CE$57, MATCH($C28, $C$8:$C$57, 0), (COLUMNS($DU28:EH28)-1)*5 + 4) = "SF"), INDEX($CZ$8:$CZ$23, COLUMNS($DU28:EH28)), "0"), "")</f>
        <v/>
      </c>
      <c r="EI28" s="395">
        <f t="array" ref="EI28">IFERROR(IF(AND(INDEX($E$8:$CE$57, MATCH($C28, $C$8:$C$57, 0), (COLUMNS($DU28:EI28)-1)*5 + 1) = INDEX($E$5:$CE$5, 1, (COLUMNS($DU28:EI28)-1)*5 + 1), INDEX($E$8:$CE$57, MATCH($C28, $C$8:$C$57, 0), (COLUMNS($DU28:EI28)-1)*5 + 4) = "SF"), INDEX($CZ$8:$CZ$23, COLUMNS($DU28:EI28)), "0"), "")</f>
        <v/>
      </c>
      <c r="EJ28" s="395">
        <f t="array" ref="EJ28">IFERROR(IF(AND(INDEX($E$8:$CE$57, MATCH($C28, $C$8:$C$57, 0), (COLUMNS($DU28:EJ28)-1)*5 + 1) = INDEX($E$5:$CE$5, 1, (COLUMNS($DU28:EJ28)-1)*5 + 1), INDEX($E$8:$CE$57, MATCH($C28, $C$8:$C$57, 0), (COLUMNS($DU28:EJ28)-1)*5 + 4) = "SF"), INDEX($CZ$8:$CZ$23, COLUMNS($DU28:EJ28)), "0"), "")</f>
        <v/>
      </c>
    </row>
    <row r="29" ht="19.5" customHeight="1" s="568">
      <c r="A29" s="576" t="n"/>
      <c r="B29" s="449">
        <f>IF(SEMANA29[[#This Row],[COD]]&lt;&gt;"",B28+1,"")</f>
        <v/>
      </c>
      <c r="C29" s="622" t="inlineStr">
        <is>
          <t>COD 22</t>
        </is>
      </c>
      <c r="D29" s="415">
        <f t="array" ref="D29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29" s="416" t="n"/>
      <c r="F29" s="417" t="n"/>
      <c r="G29" s="417" t="n"/>
      <c r="H29" s="417" t="n"/>
      <c r="I29" s="602">
        <f>SUM(IF(E29=E$5,4,0),IF(E29&amp;F29=E$5&amp;F$5,1,0),
IF(AND(E29=E$5,F$6&gt;=$D$115),1,0),
IF(AND(F29=E$5,F$6&gt;=$D$115),1,0),
IF(AND(G29=E$5,F$6&gt;=$D$115),1,0),
IF(E29&amp;H29=I$5,1,0),
IF(F29=E$5,2,0),
IF(G29=E$5,1,0),
IF(OR(E29&amp;F29&amp;G29=E$5&amp;F$5&amp;G$5,E29&amp;F29&amp;G29=E$5&amp;G$5&amp;F$5,E29&amp;F29&amp;G29=F$5&amp;E$5&amp;G$5,E29&amp;F29&amp;G29=F$5&amp;G$5&amp;E$5,E29&amp;F29&amp;G29=G$5&amp;E$5&amp;F$5,E29&amp;F29&amp;G29=G$5&amp;F$5&amp;E$5),2,0),IF(AND(E29=E$5,F$6&gt;=$D$129),1,0),IF(AND(F29=E$5,F$6&gt;=$D$129),1,0),IF(AND(G29=E$5,F$6&gt;=$D$129),1,0),IF(E29&amp;H29=H$5,4,0),IF(AND(E29=E$5,F$6&lt;=$D$104),-0.5,0),IF(AND(F29=E$5,F$6&lt;=$D$104),-0.5,0),IF(AND(G29=E$5,F$6&lt;=$D$104),-0.5,0))</f>
        <v/>
      </c>
      <c r="J29" s="416" t="n"/>
      <c r="K29" s="417" t="n"/>
      <c r="L29" s="417" t="n"/>
      <c r="M29" s="417" t="n"/>
      <c r="N29" s="602">
        <f>SUM(IF(J29=J$5,4,0),IF(J29&amp;K29=J$5&amp;K$5,1,0),
IF(AND(J29=J$5,K$6&gt;=$D$115),1,0),
IF(AND(K29=J$5,K$6&gt;=$D$115),1,0),
IF(AND(L29=J$5,K$6&gt;=$D$115),1,0),
IF(J29&amp;M29=N$5,1,0),
IF(K29=J$5,2,0),
IF(L29=J$5,1,0),
IF(OR(J29&amp;K29&amp;L29=J$5&amp;K$5&amp;L$5,J29&amp;K29&amp;L29=J$5&amp;L$5&amp;K$5,J29&amp;K29&amp;L29=K$5&amp;J$5&amp;L$5,J29&amp;K29&amp;L29=K$5&amp;L$5&amp;J$5,J29&amp;K29&amp;L29=L$5&amp;J$5&amp;K$5,J29&amp;K29&amp;L29=L$5&amp;K$5&amp;J$5),2,0),IF(AND(J29=J$5,K$6&gt;=$D$129),1,0),IF(AND(K29=J$5,K$6&gt;=$D$129),1,0),IF(AND(L29=J$5,K$6&gt;=$D$129),1,0),IF(J29&amp;M29=M$5,4,0),IF(AND(J29=J$5,K$6&lt;=$D$104),-0.5,0),IF(AND(K29=J$5,K$6&lt;=$D$104),-0.5,0),IF(AND(L29=J$5,K$6&lt;=$D$104),-0.5,0))</f>
        <v/>
      </c>
      <c r="O29" s="416" t="n"/>
      <c r="P29" s="417" t="n"/>
      <c r="Q29" s="417" t="n"/>
      <c r="R29" s="417" t="n"/>
      <c r="S29" s="602">
        <f>SUM(IF(O29=O$5,4,0),IF(O29&amp;P29=O$5&amp;P$5,1,0),
IF(AND(O29=O$5,P$6&gt;=$D$115),1,0),
IF(AND(P29=O$5,P$6&gt;=$D$115),1,0),
IF(AND(Q29=O$5,P$6&gt;=$D$115),1,0),
IF(O29&amp;R29=S$5,1,0),
IF(P29=O$5,2,0),
IF(Q29=O$5,1,0),
IF(OR(O29&amp;P29&amp;Q29=O$5&amp;P$5&amp;Q$5,O29&amp;P29&amp;Q29=O$5&amp;Q$5&amp;P$5,O29&amp;P29&amp;Q29=P$5&amp;O$5&amp;Q$5,O29&amp;P29&amp;Q29=P$5&amp;Q$5&amp;O$5,O29&amp;P29&amp;Q29=Q$5&amp;O$5&amp;P$5,O29&amp;P29&amp;Q29=Q$5&amp;P$5&amp;O$5),2,0),IF(AND(O29=O$5,P$6&gt;=$D$129),1,0),IF(AND(P29=O$5,P$6&gt;=$D$129),1,0),IF(AND(Q29=O$5,P$6&gt;=$D$129),1,0),IF(O29&amp;R29=R$5,4,0),IF(AND(O29=O$5,P$6&lt;=$D$104),-0.5,0),IF(AND(P29=O$5,P$6&lt;=$D$104),-0.5,0),IF(AND(Q29=O$5,P$6&lt;=$D$104),-0.5,0))</f>
        <v/>
      </c>
      <c r="T29" s="416" t="n"/>
      <c r="U29" s="417" t="n"/>
      <c r="V29" s="417" t="n"/>
      <c r="W29" s="417" t="n"/>
      <c r="X29" s="602">
        <f>SUM(IF(T29=T$5,4,0),IF(T29&amp;U29=T$5&amp;U$5,1,0),
IF(AND(T29=T$5,U$6&gt;=$D$115),1,0),
IF(AND(U29=T$5,U$6&gt;=$D$115),1,0),
IF(AND(V29=T$5,U$6&gt;=$D$115),1,0),
IF(T29&amp;W29=X$5,1,0),
IF(U29=T$5,2,0),
IF(V29=T$5,1,0),
IF(OR(T29&amp;U29&amp;V29=T$5&amp;U$5&amp;V$5,T29&amp;U29&amp;V29=T$5&amp;V$5&amp;U$5,T29&amp;U29&amp;V29=U$5&amp;T$5&amp;V$5,T29&amp;U29&amp;V29=U$5&amp;V$5&amp;T$5,T29&amp;U29&amp;V29=V$5&amp;T$5&amp;U$5,T29&amp;U29&amp;V29=V$5&amp;U$5&amp;T$5),2,0),IF(AND(T29=T$5,U$6&gt;=$D$129),1,0),IF(AND(U29=T$5,U$6&gt;=$D$129),1,0),IF(AND(V29=T$5,U$6&gt;=$D$129),1,0),IF(T29&amp;W29=W$5,4,0),IF(AND(T29=T$5,U$6&lt;=$D$104),-0.5,0),IF(AND(U29=T$5,U$6&lt;=$D$104),-0.5,0),IF(AND(V29=T$5,U$6&lt;=$D$104),-0.5,0))</f>
        <v/>
      </c>
      <c r="Y29" s="416" t="n"/>
      <c r="Z29" s="417" t="n"/>
      <c r="AA29" s="417" t="n"/>
      <c r="AB29" s="417" t="n"/>
      <c r="AC29" s="602">
        <f>SUM(IF(Y29=Y$5,4,0),IF(Y29&amp;Z29=Y$5&amp;Z$5,1,0),
IF(AND(Y29=Y$5,Z$6&gt;=$D$115),1,0),
IF(AND(Z29=Y$5,Z$6&gt;=$D$115),1,0),
IF(AND(AA29=Y$5,Z$6&gt;=$D$115),1,0),
IF(Y29&amp;AB29=AC$5,1,0),
IF(Z29=Y$5,2,0),
IF(AA29=Y$5,1,0),
IF(OR(Y29&amp;Z29&amp;AA29=Y$5&amp;Z$5&amp;AA$5,Y29&amp;Z29&amp;AA29=Y$5&amp;AA$5&amp;Z$5,Y29&amp;Z29&amp;AA29=Z$5&amp;Y$5&amp;AA$5,Y29&amp;Z29&amp;AA29=Z$5&amp;AA$5&amp;Y$5,Y29&amp;Z29&amp;AA29=AA$5&amp;Y$5&amp;Z$5,Y29&amp;Z29&amp;AA29=AA$5&amp;Z$5&amp;Y$5),2,0),IF(AND(Y29=Y$5,Z$6&gt;=$D$129),1,0),IF(AND(Z29=Y$5,Z$6&gt;=$D$129),1,0),IF(AND(AA29=Y$5,Z$6&gt;=$D$129),1,0),IF(Y29&amp;AB29=AB$5,4,0),IF(AND(Y29=Y$5,Z$6&lt;=$D$104),-0.5,0),IF(AND(Z29=Y$5,Z$6&lt;=$D$104),-0.5,0),IF(AND(AA29=Y$5,Z$6&lt;=$D$104),-0.5,0))</f>
        <v/>
      </c>
      <c r="AD29" s="416" t="n"/>
      <c r="AE29" s="417" t="n"/>
      <c r="AF29" s="417" t="n"/>
      <c r="AG29" s="417" t="n"/>
      <c r="AH29" s="602">
        <f>SUM(IF(AD29=AD$5,4,0),IF(AD29&amp;AE29=AD$5&amp;AE$5,1,0),
IF(AND(AD29=AD$5,AE$6&gt;=$D$115),1,0),
IF(AND(AE29=AD$5,AE$6&gt;=$D$115),1,0),
IF(AND(AF29=AD$5,AE$6&gt;=$D$115),1,0),
IF(AD29&amp;AG29=AH$5,1,0),
IF(AE29=AD$5,2,0),
IF(AF29=AD$5,1,0),
IF(OR(AD29&amp;AE29&amp;AF29=AD$5&amp;AE$5&amp;AF$5,AD29&amp;AE29&amp;AF29=AD$5&amp;AF$5&amp;AE$5,AD29&amp;AE29&amp;AF29=AE$5&amp;AD$5&amp;AF$5,AD29&amp;AE29&amp;AF29=AE$5&amp;AF$5&amp;AD$5,AD29&amp;AE29&amp;AF29=AF$5&amp;AD$5&amp;AE$5,AD29&amp;AE29&amp;AF29=AF$5&amp;AE$5&amp;AD$5),2,0),IF(AND(AD29=AD$5,AE$6&gt;=$D$129),1,0),IF(AND(AE29=AD$5,AE$6&gt;=$D$129),1,0),IF(AND(AF29=AD$5,AE$6&gt;=$D$129),1,0),IF(AD29&amp;AG29=AG$5,4,0),IF(AND(AD29=AD$5,AE$6&lt;=$D$104),-0.5,0),IF(AND(AE29=AD$5,AE$6&lt;=$D$104),-0.5,0),IF(AND(AF29=AD$5,AE$6&lt;=$D$104),-0.5,0))</f>
        <v/>
      </c>
      <c r="AI29" s="416" t="n"/>
      <c r="AJ29" s="417" t="n"/>
      <c r="AK29" s="417" t="n"/>
      <c r="AL29" s="417" t="n"/>
      <c r="AM29" s="602">
        <f>SUM(IF(AI29=AI$5,4,0),IF(AI29&amp;AJ29=AI$5&amp;AJ$5,1,0),
IF(AND(AI29=AI$5,AJ$6&gt;=$D$115),1,0),
IF(AND(AJ29=AI$5,AJ$6&gt;=$D$115),1,0),
IF(AND(AK29=AI$5,AJ$6&gt;=$D$115),1,0),
IF(AI29&amp;AL29=AM$5,1,0),
IF(AJ29=AI$5,2,0),
IF(AK29=AI$5,1,0),
IF(OR(AI29&amp;AJ29&amp;AK29=AI$5&amp;AJ$5&amp;AK$5,AI29&amp;AJ29&amp;AK29=AI$5&amp;AK$5&amp;AJ$5,AI29&amp;AJ29&amp;AK29=AJ$5&amp;AI$5&amp;AK$5,AI29&amp;AJ29&amp;AK29=AJ$5&amp;AK$5&amp;AI$5,AI29&amp;AJ29&amp;AK29=AK$5&amp;AI$5&amp;AJ$5,AI29&amp;AJ29&amp;AK29=AK$5&amp;AJ$5&amp;AI$5),2,0),IF(AND(AI29=AI$5,AJ$6&gt;=$D$129),1,0),IF(AND(AJ29=AI$5,AJ$6&gt;=$D$129),1,0),IF(AND(AK29=AI$5,AJ$6&gt;=$D$129),1,0),IF(AI29&amp;AL29=AL$5,4,0),IF(AND(AI29=AI$5,AJ$6&lt;=$D$104),-0.5,0),IF(AND(AJ29=AI$5,AJ$6&lt;=$D$104),-0.5,0),IF(AND(AK29=AI$5,AJ$6&lt;=$D$104),-0.5,0))</f>
        <v/>
      </c>
      <c r="AN29" s="416" t="n"/>
      <c r="AO29" s="417" t="n"/>
      <c r="AP29" s="417" t="n"/>
      <c r="AQ29" s="417" t="n"/>
      <c r="AR29" s="602">
        <f>SUM(IF(AN29=AN$5,4,0),IF(AN29&amp;AO29=AN$5&amp;AO$5,1,0),
IF(AND(AN29=AN$5,AO$6&gt;=$D$115),1,0),
IF(AND(AO29=AN$5,AO$6&gt;=$D$115),1,0),
IF(AND(AP29=AN$5,AO$6&gt;=$D$115),1,0),
IF(AN29&amp;AQ29=AR$5,1,0),
IF(AO29=AN$5,2,0),
IF(AP29=AN$5,1,0),
IF(OR(AN29&amp;AO29&amp;AP29=AN$5&amp;AO$5&amp;AP$5,AN29&amp;AO29&amp;AP29=AN$5&amp;AP$5&amp;AO$5,AN29&amp;AO29&amp;AP29=AO$5&amp;AN$5&amp;AP$5,AN29&amp;AO29&amp;AP29=AO$5&amp;AP$5&amp;AN$5,AN29&amp;AO29&amp;AP29=AP$5&amp;AN$5&amp;AO$5,AN29&amp;AO29&amp;AP29=AP$5&amp;AO$5&amp;AN$5),2,0),IF(AND(AN29=AN$5,AO$6&gt;=$D$129),1,0),IF(AND(AO29=AN$5,AO$6&gt;=$D$129),1,0),IF(AND(AP29=AN$5,AO$6&gt;=$D$129),1,0),IF(AN29&amp;AQ29=AQ$5,4,0),IF(AND(AN29=AN$5,AO$6&lt;=$D$104),-0.5,0),IF(AND(AO29=AN$5,AO$6&lt;=$D$104),-0.5,0),IF(AND(AP29=AN$5,AO$6&lt;=$D$104),-0.5,0))</f>
        <v/>
      </c>
      <c r="AS29" s="416" t="n"/>
      <c r="AT29" s="417" t="n"/>
      <c r="AU29" s="417" t="n"/>
      <c r="AV29" s="417" t="n"/>
      <c r="AW29" s="602">
        <f>SUM(IF(AS29=AS$5,4,0),IF(AS29&amp;AT29=AS$5&amp;AT$5,1,0),
IF(AND(AS29=AS$5,AT$6&gt;=$D$115),1,0),
IF(AND(AT29=AS$5,AT$6&gt;=$D$115),1,0),
IF(AND(AU29=AS$5,AT$6&gt;=$D$115),1,0),
IF(AS29&amp;AV29=AW$5,1,0),
IF(AT29=AS$5,2,0),
IF(AU29=AS$5,1,0),
IF(OR(AS29&amp;AT29&amp;AU29=AS$5&amp;AT$5&amp;AU$5,AS29&amp;AT29&amp;AU29=AS$5&amp;AU$5&amp;AT$5,AS29&amp;AT29&amp;AU29=AT$5&amp;AS$5&amp;AU$5,AS29&amp;AT29&amp;AU29=AT$5&amp;AU$5&amp;AS$5,AS29&amp;AT29&amp;AU29=AU$5&amp;AS$5&amp;AT$5,AS29&amp;AT29&amp;AU29=AU$5&amp;AT$5&amp;AS$5),2,0),IF(AND(AS29=AS$5,AT$6&gt;=$D$129),1,0),IF(AND(AT29=AS$5,AT$6&gt;=$D$129),1,0),IF(AND(AU29=AS$5,AT$6&gt;=$D$129),1,0),IF(AS29&amp;AV29=AV$5,4,0),IF(AND(AS29=AS$5,AT$6&lt;=$D$104),-0.5,0),IF(AND(AT29=AS$5,AT$6&lt;=$D$104),-0.5,0),IF(AND(AU29=AS$5,AT$6&lt;=$D$104),-0.5,0))</f>
        <v/>
      </c>
      <c r="AX29" s="416" t="n"/>
      <c r="AY29" s="417" t="n"/>
      <c r="AZ29" s="417" t="n"/>
      <c r="BA29" s="417" t="n"/>
      <c r="BB29" s="602">
        <f>SUM(IF(AX29=AX$5,4,0),IF(AX29&amp;AY29=AX$5&amp;AY$5,1,0),
IF(AND(AX29=AX$5,AY$6&gt;=$D$115),1,0),
IF(AND(AY29=AX$5,AY$6&gt;=$D$115),1,0),
IF(AND(AZ29=AX$5,AY$6&gt;=$D$115),1,0),
IF(AX29&amp;BA29=BB$5,1,0),
IF(AY29=AX$5,2,0),
IF(AZ29=AX$5,1,0),
IF(OR(AX29&amp;AY29&amp;AZ29=AX$5&amp;AY$5&amp;AZ$5,AX29&amp;AY29&amp;AZ29=AX$5&amp;AZ$5&amp;AY$5,AX29&amp;AY29&amp;AZ29=AY$5&amp;AX$5&amp;AZ$5,AX29&amp;AY29&amp;AZ29=AY$5&amp;AZ$5&amp;AX$5,AX29&amp;AY29&amp;AZ29=AZ$5&amp;AX$5&amp;AY$5,AX29&amp;AY29&amp;AZ29=AZ$5&amp;AY$5&amp;AX$5),2,0),IF(AND(AX29=AX$5,AY$6&gt;=$D$129),1,0),IF(AND(AY29=AX$5,AY$6&gt;=$D$129),1,0),IF(AND(AZ29=AX$5,AY$6&gt;=$D$129),1,0),IF(AX29&amp;BA29=BA$5,4,0),IF(AND(AX29=AX$5,AY$6&lt;=$D$104),-0.5,0),IF(AND(AY29=AX$5,AY$6&lt;=$D$104),-0.5,0),IF(AND(AZ29=AX$5,AY$6&lt;=$D$104),-0.5,0))</f>
        <v/>
      </c>
      <c r="BC29" s="416" t="n"/>
      <c r="BD29" s="417" t="n"/>
      <c r="BE29" s="417" t="n"/>
      <c r="BF29" s="417" t="n"/>
      <c r="BG29" s="602">
        <f>SUM(IF(BC29=BC$5,4,0),IF(BC29&amp;BD29=BC$5&amp;BD$5,1,0),
IF(AND(BC29=BC$5,BD$6&gt;=$D$115),1,0),
IF(AND(BD29=BC$5,BD$6&gt;=$D$115),1,0),
IF(AND(BE29=BC$5,BD$6&gt;=$D$115),1,0),
IF(BC29&amp;BF29=BG$5,1,0),
IF(BD29=BC$5,2,0),
IF(BE29=BC$5,1,0),
IF(OR(BC29&amp;BD29&amp;BE29=BC$5&amp;BD$5&amp;BE$5,BC29&amp;BD29&amp;BE29=BC$5&amp;BE$5&amp;BD$5,BC29&amp;BD29&amp;BE29=BD$5&amp;BC$5&amp;BE$5,BC29&amp;BD29&amp;BE29=BD$5&amp;BE$5&amp;BC$5,BC29&amp;BD29&amp;BE29=BE$5&amp;BC$5&amp;BD$5,BC29&amp;BD29&amp;BE29=BE$5&amp;BD$5&amp;BC$5),2,0),IF(AND(BC29=BC$5,BD$6&gt;=$D$129),1,0),IF(AND(BD29=BC$5,BD$6&gt;=$D$129),1,0),IF(AND(BE29=BC$5,BD$6&gt;=$D$129),1,0),IF(BC29&amp;BF29=BF$5,4,0),IF(AND(BC29=BC$5,BD$6&lt;=$D$104),-0.5,0),IF(AND(BD29=BC$5,BD$6&lt;=$D$104),-0.5,0),IF(AND(BE29=BC$5,BD$6&lt;=$D$104),-0.5,0))</f>
        <v/>
      </c>
      <c r="BH29" s="416" t="n"/>
      <c r="BI29" s="417" t="n"/>
      <c r="BJ29" s="417" t="n"/>
      <c r="BK29" s="417" t="n"/>
      <c r="BL29" s="602">
        <f>SUM(IF(BH29=BH$5,4,0),IF(BH29&amp;BI29=BH$5&amp;BI$5,1,0),
IF(AND(BH29=BH$5,BI$6&gt;=$D$115),1,0),
IF(AND(BI29=BH$5,BI$6&gt;=$D$115),1,0),
IF(AND(BJ29=BH$5,BI$6&gt;=$D$115),1,0),
IF(BH29&amp;BK29=BL$5,1,0),
IF(BI29=BH$5,2,0),
IF(BJ29=BH$5,1,0),
IF(OR(BH29&amp;BI29&amp;BJ29=BH$5&amp;BI$5&amp;BJ$5,BH29&amp;BI29&amp;BJ29=BH$5&amp;BJ$5&amp;BI$5,BH29&amp;BI29&amp;BJ29=BI$5&amp;BH$5&amp;BJ$5,BH29&amp;BI29&amp;BJ29=BI$5&amp;BJ$5&amp;BH$5,BH29&amp;BI29&amp;BJ29=BJ$5&amp;BH$5&amp;BI$5,BH29&amp;BI29&amp;BJ29=BJ$5&amp;BI$5&amp;BH$5),2,0),IF(AND(BH29=BH$5,BI$6&gt;=$D$129),1,0),IF(AND(BI29=BH$5,BI$6&gt;=$D$129),1,0),IF(AND(BJ29=BH$5,BI$6&gt;=$D$129),1,0),IF(BH29&amp;BK29=BK$5,4,0),IF(AND(BH29=BH$5,BI$6&lt;=$D$104),-0.5,0),IF(AND(BI29=BH$5,BI$6&lt;=$D$104),-0.5,0),IF(AND(BJ29=BH$5,BI$6&lt;=$D$104),-0.5,0))</f>
        <v/>
      </c>
      <c r="BM29" s="416" t="n"/>
      <c r="BN29" s="417" t="n"/>
      <c r="BO29" s="417" t="n"/>
      <c r="BP29" s="417" t="n"/>
      <c r="BQ29" s="602">
        <f>SUM(IF(BM29=BM$5,4,0),IF(BM29&amp;BN29=BM$5&amp;BN$5,1,0),
IF(AND(BM29=BM$5,BN$6&gt;=$D$115),1,0),
IF(AND(BN29=BM$5,BN$6&gt;=$D$115),1,0),
IF(AND(BO29=BM$5,BN$6&gt;=$D$115),1,0),
IF(BM29&amp;BP29=BQ$5,1,0),
IF(BN29=BM$5,2,0),
IF(BO29=BM$5,1,0),
IF(OR(BM29&amp;BN29&amp;BO29=BM$5&amp;BN$5&amp;BO$5,BM29&amp;BN29&amp;BO29=BM$5&amp;BO$5&amp;BN$5,BM29&amp;BN29&amp;BO29=BN$5&amp;BM$5&amp;BO$5,BM29&amp;BN29&amp;BO29=BN$5&amp;BO$5&amp;BM$5,BM29&amp;BN29&amp;BO29=BO$5&amp;BM$5&amp;BN$5,BM29&amp;BN29&amp;BO29=BO$5&amp;BN$5&amp;BM$5),2,0),IF(AND(BM29=BM$5,BN$6&gt;=$D$129),1,0),IF(AND(BN29=BM$5,BN$6&gt;=$D$129),1,0),IF(AND(BO29=BM$5,BN$6&gt;=$D$129),1,0),IF(BM29&amp;BP29=BP$5,4,0),IF(AND(BM29=BM$5,BN$6&lt;=$D$104),-0.5,0),IF(AND(BN29=BM$5,BN$6&lt;=$D$104),-0.5,0),IF(AND(BO29=BM$5,BN$6&lt;=$D$104),-0.5,0))</f>
        <v/>
      </c>
      <c r="BR29" s="416" t="n"/>
      <c r="BS29" s="417" t="n"/>
      <c r="BT29" s="417" t="n"/>
      <c r="BU29" s="417" t="n"/>
      <c r="BV29" s="602">
        <f>SUM(IF(BR29=BR$5,4,0),IF(BR29&amp;BS29=BR$5&amp;BS$5,1,0),
IF(AND(BR29=BR$5,BS$6&gt;=$D$115),1,0),
IF(AND(BS29=BR$5,BS$6&gt;=$D$115),1,0),
IF(AND(BT29=BR$5,BS$6&gt;=$D$115),1,0),
IF(BR29&amp;BU29=BV$5,1,0),
IF(BS29=BR$5,2,0),
IF(BT29=BR$5,1,0),
IF(OR(BR29&amp;BS29&amp;BT29=BR$5&amp;BS$5&amp;BT$5,BR29&amp;BS29&amp;BT29=BR$5&amp;BT$5&amp;BS$5,BR29&amp;BS29&amp;BT29=BS$5&amp;BR$5&amp;BT$5,BR29&amp;BS29&amp;BT29=BS$5&amp;BT$5&amp;BR$5,BR29&amp;BS29&amp;BT29=BT$5&amp;BR$5&amp;BS$5,BR29&amp;BS29&amp;BT29=BT$5&amp;BS$5&amp;BR$5),2,0),IF(AND(BR29=BR$5,BS$6&gt;=$D$129),1,0),IF(AND(BS29=BR$5,BS$6&gt;=$D$129),1,0),IF(AND(BT29=BR$5,BS$6&gt;=$D$129),1,0),IF(BR29&amp;BU29=BU$5,4,0),IF(AND(BR29=BR$5,BS$6&lt;=$D$104),-0.5,0),IF(AND(BS29=BR$5,BS$6&lt;=$D$104),-0.5,0),IF(AND(BT29=BR$5,BS$6&lt;=$D$104),-0.5,0))</f>
        <v/>
      </c>
      <c r="BW29" s="416" t="n"/>
      <c r="BX29" s="417" t="n"/>
      <c r="BY29" s="417" t="n"/>
      <c r="BZ29" s="417" t="n"/>
      <c r="CA29" s="602">
        <f>SUM(IF(BW29=BW$5,4,0),IF(BW29&amp;BX29=BW$5&amp;BX$5,1,0),
IF(AND(BW29=BW$5,BX$6&gt;=$D$115),1,0),
IF(AND(BX29=BW$5,BX$6&gt;=$D$115),1,0),
IF(AND(BY29=BW$5,BX$6&gt;=$D$115),1,0),
IF(BW29&amp;BZ29=CA$5,1,0),
IF(BX29=BW$5,2,0),
IF(BY29=BW$5,1,0),
IF(OR(BW29&amp;BX29&amp;BY29=BW$5&amp;BX$5&amp;BY$5,BW29&amp;BX29&amp;BY29=BW$5&amp;BY$5&amp;BX$5,BW29&amp;BX29&amp;BY29=BX$5&amp;BW$5&amp;BY$5,BW29&amp;BX29&amp;BY29=BX$5&amp;BY$5&amp;BW$5,BW29&amp;BX29&amp;BY29=BY$5&amp;BW$5&amp;BX$5,BW29&amp;BX29&amp;BY29=BY$5&amp;BX$5&amp;BW$5),2,0),IF(AND(BW29=BW$5,BX$6&gt;=$D$129),1,0),IF(AND(BX29=BW$5,BX$6&gt;=$D$129),1,0),IF(AND(BY29=BW$5,BX$6&gt;=$D$129),1,0),IF(BW29&amp;BZ29=BZ$5,4,0),IF(AND(BW29=BW$5,BX$6&lt;=$D$104),-0.5,0),IF(AND(BX29=BW$5,BX$6&lt;=$D$104),-0.5,0),IF(AND(BY29=BW$5,BX$6&lt;=$D$104),-0.5,0))</f>
        <v/>
      </c>
      <c r="CB29" s="416" t="n"/>
      <c r="CC29" s="417" t="n"/>
      <c r="CD29" s="417" t="n"/>
      <c r="CE29" s="417" t="n"/>
      <c r="CF29" s="602">
        <f>SUM(IF(CB29=CB$5,4,0),IF(CB29&amp;CC29=CB$5&amp;CC$5,1,0),
IF(AND(CB29=CB$5,CC$6&gt;=$D$115),1,0),
IF(AND(CC29=CB$5,CC$6&gt;=$D$115),1,0),
IF(AND(CD29=CB$5,CC$6&gt;=$D$115),1,0),
IF(CB29&amp;CE29=CF$5,1,0),
IF(CC29=CB$5,2,0),
IF(CD29=CB$5,1,0),
IF(OR(CB29&amp;CC29&amp;CD29=CB$5&amp;CC$5&amp;CD$5,CB29&amp;CC29&amp;CD29=CB$5&amp;CD$5&amp;CC$5,CB29&amp;CC29&amp;CD29=CC$5&amp;CB$5&amp;CD$5,CB29&amp;CC29&amp;CD29=CC$5&amp;CD$5&amp;CB$5,CB29&amp;CC29&amp;CD29=CD$5&amp;CB$5&amp;CC$5,CB29&amp;CC29&amp;CD29=CD$5&amp;CC$5&amp;CB$5),2,0),IF(AND(CB29=CB$5,CC$6&gt;=$D$129),1,0),IF(AND(CC29=CB$5,CC$6&gt;=$D$129),1,0),IF(AND(CD29=CB$5,CC$6&gt;=$D$129),1,0),IF(CB29&amp;CE29=CE$5,4,0),IF(AND(CB29=CB$5,CC$6&lt;=$D$104),-0.5,0),IF(AND(CC29=CB$5,CC$6&lt;=$D$104),-0.5,0),IF(AND(CD29=CB$5,CC$6&lt;=$D$104),-0.5,0))</f>
        <v/>
      </c>
      <c r="CG29" s="164">
        <f>IF(SEMANA29[[#This Row],[1]]="",0,$B$4)</f>
        <v/>
      </c>
      <c r="CH29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29" s="166">
        <f>IF(SEMANA29[[#This Row],[Columna14]]=0,0,(CH29/CG29))</f>
        <v/>
      </c>
      <c r="CJ29" s="165">
        <f>IF(SEMANA29[[#This Row],[1]]="",0,$B$4)</f>
        <v/>
      </c>
      <c r="CK29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29" s="166">
        <f>IF(SEMANA29[[#This Row],[Columna14]]=0,0,(CK29/CJ29))</f>
        <v/>
      </c>
      <c r="CM29" s="164">
        <f>IF(SEMANA29[[#This Row],[1]]="",0,$B$4)</f>
        <v/>
      </c>
      <c r="CN29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29" s="166">
        <f>IF(SEMANA29[[#This Row],[Columna14]]=0,0,(CN29/CM29))</f>
        <v/>
      </c>
      <c r="CP29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29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Row],[Columna25]],$AX$5,BA29,"SF")+COUNTIFS(SEMANA29[[#This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29" s="166">
        <f>IFERROR(IF(SEMANA29[[#This Row],[Columna14]]=0,0,(CQ29/CP29)),0)</f>
        <v/>
      </c>
      <c r="CS29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29" s="95">
        <f>_xlfn.XLOOKUP(SEMANA29[[#This Row],[COD]],SEMANA2[COD],SEMANA2[Columna33])</f>
        <v/>
      </c>
      <c r="CU29" s="604">
        <f>SUM(CS29,CT29)</f>
        <v/>
      </c>
      <c r="CV29" s="450">
        <f>IF(SEMANA29[[#This Row],[TIPO]]="PREMIO",$O$3,"0,00")</f>
        <v/>
      </c>
      <c r="CW29" s="576" t="n"/>
      <c r="CY29" s="392">
        <f>IF(CZ29="","",$CZ$25)</f>
        <v/>
      </c>
      <c r="CZ29" s="392" t="n"/>
      <c r="DA29" s="392">
        <f t="array" ref="DA29">IF(CZ29="", "", IF((INDEX(E$8:CE$57, MATCH(CZ29, C$8:C$57, 0), ($CZ$25-1)*5 + 1) &amp; "") = (INDEX(E$5:CE$5, 1, ($CZ$25-1)*5 + 1) &amp; ""), 1, IF((INDEX(E$8:CE$57, MATCH(CZ29, C$8:C$57, 0), ($CZ$25-1)*5 + 2) &amp; "") = (INDEX(E$5:CE$5, 1, ($CZ$25-1)*5 + 1) &amp; ""), 2, IF((INDEX(E$8:CE$57, MATCH(CZ29, C$8:C$57, 0), ($CZ$25-1)*5 + 3) &amp; "") = (INDEX(E$5:CE$5, 1, ($CZ$25-1)*5 + 1) &amp; ""), 3, ""))))</f>
        <v/>
      </c>
      <c r="DB29" s="605">
        <f>SEMANA29[[#This Row],[COD]]</f>
        <v/>
      </c>
      <c r="DC29" s="395">
        <f t="array" ref="DC29">IFERROR(IF(AND(INDEX($E$8:$CE$57, MATCH($C29, $C$8:$C$57, 0), (COLUMNS($DC29:DC29)-1)*5 + 1) = INDEX($E$5:$CE$5, 1, (COLUMNS($DC29:DC29)-1)*5 + 1), INDEX($E$8:$CE$57, MATCH($C29, $C$8:$C$57, 0), (COLUMNS($DC29:DC29)-1)*5 + 4) = "F"), INDEX($CZ$8:$CZ$23, COLUMNS($DC29:DC29)), "0"), "")</f>
        <v/>
      </c>
      <c r="DD29" s="395">
        <f t="array" ref="DD29">IFERROR(IF(AND(INDEX($E$8:$CE$57, MATCH($C29, $C$8:$C$57, 0), (COLUMNS($DC29:DD29)-1)*5 + 1) = INDEX($E$5:$CE$5, 1, (COLUMNS($DC29:DD29)-1)*5 + 1), INDEX($E$8:$CE$57, MATCH($C29, $C$8:$C$57, 0), (COLUMNS($DC29:DD29)-1)*5 + 4) = "F"), INDEX($CZ$8:$CZ$23, COLUMNS($DC29:DD29)), "0"), "")</f>
        <v/>
      </c>
      <c r="DE29" s="395">
        <f t="array" ref="DE29">IFERROR(IF(AND(INDEX($E$8:$CE$57, MATCH($C29, $C$8:$C$57, 0), (COLUMNS($DC29:DE29)-1)*5 + 1) = INDEX($E$5:$CE$5, 1, (COLUMNS($DC29:DE29)-1)*5 + 1), INDEX($E$8:$CE$57, MATCH($C29, $C$8:$C$57, 0), (COLUMNS($DC29:DE29)-1)*5 + 4) = "F"), INDEX($CZ$8:$CZ$23, COLUMNS($DC29:DE29)), "0"), "")</f>
        <v/>
      </c>
      <c r="DF29" s="395">
        <f t="array" ref="DF29">IFERROR(IF(AND(INDEX($E$8:$CE$57, MATCH($C29, $C$8:$C$57, 0), (COLUMNS($DC29:DF29)-1)*5 + 1) = INDEX($E$5:$CE$5, 1, (COLUMNS($DC29:DF29)-1)*5 + 1), INDEX($E$8:$CE$57, MATCH($C29, $C$8:$C$57, 0), (COLUMNS($DC29:DF29)-1)*5 + 4) = "F"), INDEX($CZ$8:$CZ$23, COLUMNS($DC29:DF29)), "0"), "")</f>
        <v/>
      </c>
      <c r="DG29" s="395">
        <f t="array" ref="DG29">IFERROR(IF(AND(INDEX($E$8:$CE$57, MATCH($C29, $C$8:$C$57, 0), (COLUMNS($DC29:DG29)-1)*5 + 1) = INDEX($E$5:$CE$5, 1, (COLUMNS($DC29:DG29)-1)*5 + 1), INDEX($E$8:$CE$57, MATCH($C29, $C$8:$C$57, 0), (COLUMNS($DC29:DG29)-1)*5 + 4) = "F"), INDEX($CZ$8:$CZ$23, COLUMNS($DC29:DG29)), "0"), "")</f>
        <v/>
      </c>
      <c r="DH29" s="395">
        <f t="array" ref="DH29">IFERROR(IF(AND(INDEX($E$8:$CE$57, MATCH($C29, $C$8:$C$57, 0), (COLUMNS($DC29:DH29)-1)*5 + 1) = INDEX($E$5:$CE$5, 1, (COLUMNS($DC29:DH29)-1)*5 + 1), INDEX($E$8:$CE$57, MATCH($C29, $C$8:$C$57, 0), (COLUMNS($DC29:DH29)-1)*5 + 4) = "F"), INDEX($CZ$8:$CZ$23, COLUMNS($DC29:DH29)), "0"), "")</f>
        <v/>
      </c>
      <c r="DI29" s="395">
        <f t="array" ref="DI29">IFERROR(IF(AND(INDEX($E$8:$CE$57, MATCH($C29, $C$8:$C$57, 0), (COLUMNS($DC29:DI29)-1)*5 + 1) = INDEX($E$5:$CE$5, 1, (COLUMNS($DC29:DI29)-1)*5 + 1), INDEX($E$8:$CE$57, MATCH($C29, $C$8:$C$57, 0), (COLUMNS($DC29:DI29)-1)*5 + 4) = "F"), INDEX($CZ$8:$CZ$23, COLUMNS($DC29:DI29)), "0"), "")</f>
        <v/>
      </c>
      <c r="DJ29" s="395">
        <f t="array" ref="DJ29">IFERROR(IF(AND(INDEX($E$8:$CE$57, MATCH($C29, $C$8:$C$57, 0), (COLUMNS($DC29:DJ29)-1)*5 + 1) = INDEX($E$5:$CE$5, 1, (COLUMNS($DC29:DJ29)-1)*5 + 1), INDEX($E$8:$CE$57, MATCH($C29, $C$8:$C$57, 0), (COLUMNS($DC29:DJ29)-1)*5 + 4) = "F"), INDEX($CZ$8:$CZ$23, COLUMNS($DC29:DJ29)), "0"), "")</f>
        <v/>
      </c>
      <c r="DK29" s="395">
        <f t="array" ref="DK29">IFERROR(IF(AND(INDEX($E$8:$CE$57, MATCH($C29, $C$8:$C$57, 0), (COLUMNS($DC29:DK29)-1)*5 + 1) = INDEX($E$5:$CE$5, 1, (COLUMNS($DC29:DK29)-1)*5 + 1), INDEX($E$8:$CE$57, MATCH($C29, $C$8:$C$57, 0), (COLUMNS($DC29:DK29)-1)*5 + 4) = "F"), INDEX($CZ$8:$CZ$23, COLUMNS($DC29:DK29)), "0"), "")</f>
        <v/>
      </c>
      <c r="DL29" s="395">
        <f t="array" ref="DL29">IFERROR(IF(AND(INDEX($E$8:$CE$57, MATCH($C29, $C$8:$C$57, 0), (COLUMNS($DC29:DL29)-1)*5 + 1) = INDEX($E$5:$CE$5, 1, (COLUMNS($DC29:DL29)-1)*5 + 1), INDEX($E$8:$CE$57, MATCH($C29, $C$8:$C$57, 0), (COLUMNS($DC29:DL29)-1)*5 + 4) = "F"), INDEX($CZ$8:$CZ$23, COLUMNS($DC29:DL29)), "0"), "")</f>
        <v/>
      </c>
      <c r="DM29" s="395">
        <f t="array" ref="DM29">IFERROR(IF(AND(INDEX($E$8:$CE$57, MATCH($C29, $C$8:$C$57, 0), (COLUMNS($DC29:DM29)-1)*5 + 1) = INDEX($E$5:$CE$5, 1, (COLUMNS($DC29:DM29)-1)*5 + 1), INDEX($E$8:$CE$57, MATCH($C29, $C$8:$C$57, 0), (COLUMNS($DC29:DM29)-1)*5 + 4) = "F"), INDEX($CZ$8:$CZ$23, COLUMNS($DC29:DM29)), "0"), "")</f>
        <v/>
      </c>
      <c r="DN29" s="395">
        <f t="array" ref="DN29">IFERROR(IF(AND(INDEX($E$8:$CE$57, MATCH($C29, $C$8:$C$57, 0), (COLUMNS($DC29:DN29)-1)*5 + 1) = INDEX($E$5:$CE$5, 1, (COLUMNS($DC29:DN29)-1)*5 + 1), INDEX($E$8:$CE$57, MATCH($C29, $C$8:$C$57, 0), (COLUMNS($DC29:DN29)-1)*5 + 4) = "F"), INDEX($CZ$8:$CZ$23, COLUMNS($DC29:DN29)), "0"), "")</f>
        <v/>
      </c>
      <c r="DO29" s="395">
        <f t="array" ref="DO29">IFERROR(IF(AND(INDEX($E$8:$CE$57, MATCH($C29, $C$8:$C$57, 0), (COLUMNS($DC29:DO29)-1)*5 + 1) = INDEX($E$5:$CE$5, 1, (COLUMNS($DC29:DO29)-1)*5 + 1), INDEX($E$8:$CE$57, MATCH($C29, $C$8:$C$57, 0), (COLUMNS($DC29:DO29)-1)*5 + 4) = "F"), INDEX($CZ$8:$CZ$23, COLUMNS($DC29:DO29)), "0"), "")</f>
        <v/>
      </c>
      <c r="DP29" s="395">
        <f t="array" ref="DP29">IFERROR(IF(AND(INDEX($E$8:$CE$57, MATCH($C29, $C$8:$C$57, 0), (COLUMNS($DC29:DP29)-1)*5 + 1) = INDEX($E$5:$CE$5, 1, (COLUMNS($DC29:DP29)-1)*5 + 1), INDEX($E$8:$CE$57, MATCH($C29, $C$8:$C$57, 0), (COLUMNS($DC29:DP29)-1)*5 + 4) = "F"), INDEX($CZ$8:$CZ$23, COLUMNS($DC29:DP29)), "0"), "")</f>
        <v/>
      </c>
      <c r="DQ29" s="395">
        <f t="array" ref="DQ29">IFERROR(IF(AND(INDEX($E$8:$CE$57, MATCH($C29, $C$8:$C$57, 0), (COLUMNS($DC29:DQ29)-1)*5 + 1) = INDEX($E$5:$CE$5, 1, (COLUMNS($DC29:DQ29)-1)*5 + 1), INDEX($E$8:$CE$57, MATCH($C29, $C$8:$C$57, 0), (COLUMNS($DC29:DQ29)-1)*5 + 4) = "F"), INDEX($CZ$8:$CZ$23, COLUMNS($DC29:DQ29)), "0"), "")</f>
        <v/>
      </c>
      <c r="DR29" s="395">
        <f t="array" ref="DR29">IFERROR(IF(AND(INDEX($E$8:$CE$57, MATCH($C29, $C$8:$C$57, 0), (COLUMNS($DC29:DR29)-1)*5 + 1) = INDEX($E$5:$CE$5, 1, (COLUMNS($DC29:DR29)-1)*5 + 1), INDEX($E$8:$CE$57, MATCH($C29, $C$8:$C$57, 0), (COLUMNS($DC29:DR29)-1)*5 + 4) = "F"), INDEX($CZ$8:$CZ$23, COLUMNS($DC29:DR29)), "0"), "")</f>
        <v/>
      </c>
      <c r="DT29" s="605">
        <f>SEMANA29[[#This Row],[COD]]</f>
        <v/>
      </c>
      <c r="DU29" s="395">
        <f t="array" ref="DU29">IFERROR(IF(AND(INDEX($E$8:$CE$57, MATCH($C29, $C$8:$C$57, 0), (COLUMNS($DU29:DU29)-1)*5 + 1) = INDEX($E$5:$CE$5, 1, (COLUMNS($DU29:DU29)-1)*5 + 1), INDEX($E$8:$CE$57, MATCH($C29, $C$8:$C$57, 0), (COLUMNS($DU29:DU29)-1)*5 + 4) = "SF"), INDEX($CZ$8:$CZ$23, COLUMNS($DU29:DU29)), "0"), "")</f>
        <v/>
      </c>
      <c r="DV29" s="395">
        <f t="array" ref="DV29">IFERROR(IF(AND(INDEX($E$8:$CE$57, MATCH($C29, $C$8:$C$57, 0), (COLUMNS($DU29:DV29)-1)*5 + 1) = INDEX($E$5:$CE$5, 1, (COLUMNS($DU29:DV29)-1)*5 + 1), INDEX($E$8:$CE$57, MATCH($C29, $C$8:$C$57, 0), (COLUMNS($DU29:DV29)-1)*5 + 4) = "SF"), INDEX($CZ$8:$CZ$23, COLUMNS($DU29:DV29)), "0"), "")</f>
        <v/>
      </c>
      <c r="DW29" s="395">
        <f t="array" ref="DW29">IFERROR(IF(AND(INDEX($E$8:$CE$57, MATCH($C29, $C$8:$C$57, 0), (COLUMNS($DU29:DW29)-1)*5 + 1) = INDEX($E$5:$CE$5, 1, (COLUMNS($DU29:DW29)-1)*5 + 1), INDEX($E$8:$CE$57, MATCH($C29, $C$8:$C$57, 0), (COLUMNS($DU29:DW29)-1)*5 + 4) = "SF"), INDEX($CZ$8:$CZ$23, COLUMNS($DU29:DW29)), "0"), "")</f>
        <v/>
      </c>
      <c r="DX29" s="395">
        <f t="array" ref="DX29">IFERROR(IF(AND(INDEX($E$8:$CE$57, MATCH($C29, $C$8:$C$57, 0), (COLUMNS($DU29:DX29)-1)*5 + 1) = INDEX($E$5:$CE$5, 1, (COLUMNS($DU29:DX29)-1)*5 + 1), INDEX($E$8:$CE$57, MATCH($C29, $C$8:$C$57, 0), (COLUMNS($DU29:DX29)-1)*5 + 4) = "SF"), INDEX($CZ$8:$CZ$23, COLUMNS($DU29:DX29)), "0"), "")</f>
        <v/>
      </c>
      <c r="DY29" s="395">
        <f t="array" ref="DY29">IFERROR(IF(AND(INDEX($E$8:$CE$57, MATCH($C29, $C$8:$C$57, 0), (COLUMNS($DU29:DY29)-1)*5 + 1) = INDEX($E$5:$CE$5, 1, (COLUMNS($DU29:DY29)-1)*5 + 1), INDEX($E$8:$CE$57, MATCH($C29, $C$8:$C$57, 0), (COLUMNS($DU29:DY29)-1)*5 + 4) = "SF"), INDEX($CZ$8:$CZ$23, COLUMNS($DU29:DY29)), "0"), "")</f>
        <v/>
      </c>
      <c r="DZ29" s="395">
        <f t="array" ref="DZ29">IFERROR(IF(AND(INDEX($E$8:$CE$57, MATCH($C29, $C$8:$C$57, 0), (COLUMNS($DU29:DZ29)-1)*5 + 1) = INDEX($E$5:$CE$5, 1, (COLUMNS($DU29:DZ29)-1)*5 + 1), INDEX($E$8:$CE$57, MATCH($C29, $C$8:$C$57, 0), (COLUMNS($DU29:DZ29)-1)*5 + 4) = "SF"), INDEX($CZ$8:$CZ$23, COLUMNS($DU29:DZ29)), "0"), "")</f>
        <v/>
      </c>
      <c r="EA29" s="395">
        <f t="array" ref="EA29">IFERROR(IF(AND(INDEX($E$8:$CE$57, MATCH($C29, $C$8:$C$57, 0), (COLUMNS($DU29:EA29)-1)*5 + 1) = INDEX($E$5:$CE$5, 1, (COLUMNS($DU29:EA29)-1)*5 + 1), INDEX($E$8:$CE$57, MATCH($C29, $C$8:$C$57, 0), (COLUMNS($DU29:EA29)-1)*5 + 4) = "SF"), INDEX($CZ$8:$CZ$23, COLUMNS($DU29:EA29)), "0"), "")</f>
        <v/>
      </c>
      <c r="EB29" s="395">
        <f t="array" ref="EB29">IFERROR(IF(AND(INDEX($E$8:$CE$57, MATCH($C29, $C$8:$C$57, 0), (COLUMNS($DU29:EB29)-1)*5 + 1) = INDEX($E$5:$CE$5, 1, (COLUMNS($DU29:EB29)-1)*5 + 1), INDEX($E$8:$CE$57, MATCH($C29, $C$8:$C$57, 0), (COLUMNS($DU29:EB29)-1)*5 + 4) = "SF"), INDEX($CZ$8:$CZ$23, COLUMNS($DU29:EB29)), "0"), "")</f>
        <v/>
      </c>
      <c r="EC29" s="395">
        <f t="array" ref="EC29">IFERROR(IF(AND(INDEX($E$8:$CE$57, MATCH($C29, $C$8:$C$57, 0), (COLUMNS($DU29:EC29)-1)*5 + 1) = INDEX($E$5:$CE$5, 1, (COLUMNS($DU29:EC29)-1)*5 + 1), INDEX($E$8:$CE$57, MATCH($C29, $C$8:$C$57, 0), (COLUMNS($DU29:EC29)-1)*5 + 4) = "SF"), INDEX($CZ$8:$CZ$23, COLUMNS($DU29:EC29)), "0"), "")</f>
        <v/>
      </c>
      <c r="ED29" s="395">
        <f t="array" ref="ED29">IFERROR(IF(AND(INDEX($E$8:$CE$57, MATCH($C29, $C$8:$C$57, 0), (COLUMNS($DU29:ED29)-1)*5 + 1) = INDEX($E$5:$CE$5, 1, (COLUMNS($DU29:ED29)-1)*5 + 1), INDEX($E$8:$CE$57, MATCH($C29, $C$8:$C$57, 0), (COLUMNS($DU29:ED29)-1)*5 + 4) = "SF"), INDEX($CZ$8:$CZ$23, COLUMNS($DU29:ED29)), "0"), "")</f>
        <v/>
      </c>
      <c r="EE29" s="395">
        <f t="array" ref="EE29">IFERROR(IF(AND(INDEX($E$8:$CE$57, MATCH($C29, $C$8:$C$57, 0), (COLUMNS($DU29:EE29)-1)*5 + 1) = INDEX($E$5:$CE$5, 1, (COLUMNS($DU29:EE29)-1)*5 + 1), INDEX($E$8:$CE$57, MATCH($C29, $C$8:$C$57, 0), (COLUMNS($DU29:EE29)-1)*5 + 4) = "SF"), INDEX($CZ$8:$CZ$23, COLUMNS($DU29:EE29)), "0"), "")</f>
        <v/>
      </c>
      <c r="EF29" s="395">
        <f t="array" ref="EF29">IFERROR(IF(AND(INDEX($E$8:$CE$57, MATCH($C29, $C$8:$C$57, 0), (COLUMNS($DU29:EF29)-1)*5 + 1) = INDEX($E$5:$CE$5, 1, (COLUMNS($DU29:EF29)-1)*5 + 1), INDEX($E$8:$CE$57, MATCH($C29, $C$8:$C$57, 0), (COLUMNS($DU29:EF29)-1)*5 + 4) = "SF"), INDEX($CZ$8:$CZ$23, COLUMNS($DU29:EF29)), "0"), "")</f>
        <v/>
      </c>
      <c r="EG29" s="395">
        <f t="array" ref="EG29">IFERROR(IF(AND(INDEX($E$8:$CE$57, MATCH($C29, $C$8:$C$57, 0), (COLUMNS($DU29:EG29)-1)*5 + 1) = INDEX($E$5:$CE$5, 1, (COLUMNS($DU29:EG29)-1)*5 + 1), INDEX($E$8:$CE$57, MATCH($C29, $C$8:$C$57, 0), (COLUMNS($DU29:EG29)-1)*5 + 4) = "SF"), INDEX($CZ$8:$CZ$23, COLUMNS($DU29:EG29)), "0"), "")</f>
        <v/>
      </c>
      <c r="EH29" s="395">
        <f t="array" ref="EH29">IFERROR(IF(AND(INDEX($E$8:$CE$57, MATCH($C29, $C$8:$C$57, 0), (COLUMNS($DU29:EH29)-1)*5 + 1) = INDEX($E$5:$CE$5, 1, (COLUMNS($DU29:EH29)-1)*5 + 1), INDEX($E$8:$CE$57, MATCH($C29, $C$8:$C$57, 0), (COLUMNS($DU29:EH29)-1)*5 + 4) = "SF"), INDEX($CZ$8:$CZ$23, COLUMNS($DU29:EH29)), "0"), "")</f>
        <v/>
      </c>
      <c r="EI29" s="395">
        <f t="array" ref="EI29">IFERROR(IF(AND(INDEX($E$8:$CE$57, MATCH($C29, $C$8:$C$57, 0), (COLUMNS($DU29:EI29)-1)*5 + 1) = INDEX($E$5:$CE$5, 1, (COLUMNS($DU29:EI29)-1)*5 + 1), INDEX($E$8:$CE$57, MATCH($C29, $C$8:$C$57, 0), (COLUMNS($DU29:EI29)-1)*5 + 4) = "SF"), INDEX($CZ$8:$CZ$23, COLUMNS($DU29:EI29)), "0"), "")</f>
        <v/>
      </c>
      <c r="EJ29" s="395">
        <f t="array" ref="EJ29">IFERROR(IF(AND(INDEX($E$8:$CE$57, MATCH($C29, $C$8:$C$57, 0), (COLUMNS($DU29:EJ29)-1)*5 + 1) = INDEX($E$5:$CE$5, 1, (COLUMNS($DU29:EJ29)-1)*5 + 1), INDEX($E$8:$CE$57, MATCH($C29, $C$8:$C$57, 0), (COLUMNS($DU29:EJ29)-1)*5 + 4) = "SF"), INDEX($CZ$8:$CZ$23, COLUMNS($DU29:EJ29)), "0"), "")</f>
        <v/>
      </c>
    </row>
    <row r="30" ht="19.5" customHeight="1" s="568">
      <c r="A30" s="576" t="n"/>
      <c r="B30" s="449">
        <f>IF(SEMANA29[[#This Row],[COD]]&lt;&gt;"",B29+1,"")</f>
        <v/>
      </c>
      <c r="C30" s="622" t="inlineStr">
        <is>
          <t>COD 23</t>
        </is>
      </c>
      <c r="D30" s="415">
        <f t="array" ref="D30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0" s="416" t="n"/>
      <c r="F30" s="418" t="n"/>
      <c r="G30" s="418" t="n"/>
      <c r="H30" s="418" t="n"/>
      <c r="I30" s="602">
        <f>SUM(IF(E30=E$5,4,0),IF(E30&amp;F30=E$5&amp;F$5,1,0),
IF(AND(E30=E$5,F$6&gt;=$D$115),1,0),
IF(AND(F30=E$5,F$6&gt;=$D$115),1,0),
IF(AND(G30=E$5,F$6&gt;=$D$115),1,0),
IF(E30&amp;H30=I$5,1,0),
IF(F30=E$5,2,0),
IF(G30=E$5,1,0),
IF(OR(E30&amp;F30&amp;G30=E$5&amp;F$5&amp;G$5,E30&amp;F30&amp;G30=E$5&amp;G$5&amp;F$5,E30&amp;F30&amp;G30=F$5&amp;E$5&amp;G$5,E30&amp;F30&amp;G30=F$5&amp;G$5&amp;E$5,E30&amp;F30&amp;G30=G$5&amp;E$5&amp;F$5,E30&amp;F30&amp;G30=G$5&amp;F$5&amp;E$5),2,0),IF(AND(E30=E$5,F$6&gt;=$D$129),1,0),IF(AND(F30=E$5,F$6&gt;=$D$129),1,0),IF(AND(G30=E$5,F$6&gt;=$D$129),1,0),IF(E30&amp;H30=H$5,4,0),IF(AND(E30=E$5,F$6&lt;=$D$104),-0.5,0),IF(AND(F30=E$5,F$6&lt;=$D$104),-0.5,0),IF(AND(G30=E$5,F$6&lt;=$D$104),-0.5,0))</f>
        <v/>
      </c>
      <c r="J30" s="416" t="n"/>
      <c r="K30" s="418" t="n"/>
      <c r="L30" s="418" t="n"/>
      <c r="M30" s="418" t="n"/>
      <c r="N30" s="602">
        <f>SUM(IF(J30=J$5,4,0),IF(J30&amp;K30=J$5&amp;K$5,1,0),
IF(AND(J30=J$5,K$6&gt;=$D$115),1,0),
IF(AND(K30=J$5,K$6&gt;=$D$115),1,0),
IF(AND(L30=J$5,K$6&gt;=$D$115),1,0),
IF(J30&amp;M30=N$5,1,0),
IF(K30=J$5,2,0),
IF(L30=J$5,1,0),
IF(OR(J30&amp;K30&amp;L30=J$5&amp;K$5&amp;L$5,J30&amp;K30&amp;L30=J$5&amp;L$5&amp;K$5,J30&amp;K30&amp;L30=K$5&amp;J$5&amp;L$5,J30&amp;K30&amp;L30=K$5&amp;L$5&amp;J$5,J30&amp;K30&amp;L30=L$5&amp;J$5&amp;K$5,J30&amp;K30&amp;L30=L$5&amp;K$5&amp;J$5),2,0),IF(AND(J30=J$5,K$6&gt;=$D$129),1,0),IF(AND(K30=J$5,K$6&gt;=$D$129),1,0),IF(AND(L30=J$5,K$6&gt;=$D$129),1,0),IF(J30&amp;M30=M$5,4,0),IF(AND(J30=J$5,K$6&lt;=$D$104),-0.5,0),IF(AND(K30=J$5,K$6&lt;=$D$104),-0.5,0),IF(AND(L30=J$5,K$6&lt;=$D$104),-0.5,0))</f>
        <v/>
      </c>
      <c r="O30" s="416" t="n"/>
      <c r="P30" s="418" t="n"/>
      <c r="Q30" s="418" t="n"/>
      <c r="R30" s="418" t="n"/>
      <c r="S30" s="602">
        <f>SUM(IF(O30=O$5,4,0),IF(O30&amp;P30=O$5&amp;P$5,1,0),
IF(AND(O30=O$5,P$6&gt;=$D$115),1,0),
IF(AND(P30=O$5,P$6&gt;=$D$115),1,0),
IF(AND(Q30=O$5,P$6&gt;=$D$115),1,0),
IF(O30&amp;R30=S$5,1,0),
IF(P30=O$5,2,0),
IF(Q30=O$5,1,0),
IF(OR(O30&amp;P30&amp;Q30=O$5&amp;P$5&amp;Q$5,O30&amp;P30&amp;Q30=O$5&amp;Q$5&amp;P$5,O30&amp;P30&amp;Q30=P$5&amp;O$5&amp;Q$5,O30&amp;P30&amp;Q30=P$5&amp;Q$5&amp;O$5,O30&amp;P30&amp;Q30=Q$5&amp;O$5&amp;P$5,O30&amp;P30&amp;Q30=Q$5&amp;P$5&amp;O$5),2,0),IF(AND(O30=O$5,P$6&gt;=$D$129),1,0),IF(AND(P30=O$5,P$6&gt;=$D$129),1,0),IF(AND(Q30=O$5,P$6&gt;=$D$129),1,0),IF(O30&amp;R30=R$5,4,0),IF(AND(O30=O$5,P$6&lt;=$D$104),-0.5,0),IF(AND(P30=O$5,P$6&lt;=$D$104),-0.5,0),IF(AND(Q30=O$5,P$6&lt;=$D$104),-0.5,0))</f>
        <v/>
      </c>
      <c r="T30" s="416" t="n"/>
      <c r="U30" s="418" t="n"/>
      <c r="V30" s="418" t="n"/>
      <c r="W30" s="418" t="n"/>
      <c r="X30" s="602">
        <f>SUM(IF(T30=T$5,4,0),IF(T30&amp;U30=T$5&amp;U$5,1,0),
IF(AND(T30=T$5,U$6&gt;=$D$115),1,0),
IF(AND(U30=T$5,U$6&gt;=$D$115),1,0),
IF(AND(V30=T$5,U$6&gt;=$D$115),1,0),
IF(T30&amp;W30=X$5,1,0),
IF(U30=T$5,2,0),
IF(V30=T$5,1,0),
IF(OR(T30&amp;U30&amp;V30=T$5&amp;U$5&amp;V$5,T30&amp;U30&amp;V30=T$5&amp;V$5&amp;U$5,T30&amp;U30&amp;V30=U$5&amp;T$5&amp;V$5,T30&amp;U30&amp;V30=U$5&amp;V$5&amp;T$5,T30&amp;U30&amp;V30=V$5&amp;T$5&amp;U$5,T30&amp;U30&amp;V30=V$5&amp;U$5&amp;T$5),2,0),IF(AND(T30=T$5,U$6&gt;=$D$129),1,0),IF(AND(U30=T$5,U$6&gt;=$D$129),1,0),IF(AND(V30=T$5,U$6&gt;=$D$129),1,0),IF(T30&amp;W30=W$5,4,0),IF(AND(T30=T$5,U$6&lt;=$D$104),-0.5,0),IF(AND(U30=T$5,U$6&lt;=$D$104),-0.5,0),IF(AND(V30=T$5,U$6&lt;=$D$104),-0.5,0))</f>
        <v/>
      </c>
      <c r="Y30" s="416" t="n"/>
      <c r="Z30" s="418" t="n"/>
      <c r="AA30" s="418" t="n"/>
      <c r="AB30" s="418" t="n"/>
      <c r="AC30" s="602">
        <f>SUM(IF(Y30=Y$5,4,0),IF(Y30&amp;Z30=Y$5&amp;Z$5,1,0),
IF(AND(Y30=Y$5,Z$6&gt;=$D$115),1,0),
IF(AND(Z30=Y$5,Z$6&gt;=$D$115),1,0),
IF(AND(AA30=Y$5,Z$6&gt;=$D$115),1,0),
IF(Y30&amp;AB30=AC$5,1,0),
IF(Z30=Y$5,2,0),
IF(AA30=Y$5,1,0),
IF(OR(Y30&amp;Z30&amp;AA30=Y$5&amp;Z$5&amp;AA$5,Y30&amp;Z30&amp;AA30=Y$5&amp;AA$5&amp;Z$5,Y30&amp;Z30&amp;AA30=Z$5&amp;Y$5&amp;AA$5,Y30&amp;Z30&amp;AA30=Z$5&amp;AA$5&amp;Y$5,Y30&amp;Z30&amp;AA30=AA$5&amp;Y$5&amp;Z$5,Y30&amp;Z30&amp;AA30=AA$5&amp;Z$5&amp;Y$5),2,0),IF(AND(Y30=Y$5,Z$6&gt;=$D$129),1,0),IF(AND(Z30=Y$5,Z$6&gt;=$D$129),1,0),IF(AND(AA30=Y$5,Z$6&gt;=$D$129),1,0),IF(Y30&amp;AB30=AB$5,4,0),IF(AND(Y30=Y$5,Z$6&lt;=$D$104),-0.5,0),IF(AND(Z30=Y$5,Z$6&lt;=$D$104),-0.5,0),IF(AND(AA30=Y$5,Z$6&lt;=$D$104),-0.5,0))</f>
        <v/>
      </c>
      <c r="AD30" s="416" t="n"/>
      <c r="AE30" s="418" t="n"/>
      <c r="AF30" s="418" t="n"/>
      <c r="AG30" s="418" t="n"/>
      <c r="AH30" s="602">
        <f>SUM(IF(AD30=AD$5,4,0),IF(AD30&amp;AE30=AD$5&amp;AE$5,1,0),
IF(AND(AD30=AD$5,AE$6&gt;=$D$115),1,0),
IF(AND(AE30=AD$5,AE$6&gt;=$D$115),1,0),
IF(AND(AF30=AD$5,AE$6&gt;=$D$115),1,0),
IF(AD30&amp;AG30=AH$5,1,0),
IF(AE30=AD$5,2,0),
IF(AF30=AD$5,1,0),
IF(OR(AD30&amp;AE30&amp;AF30=AD$5&amp;AE$5&amp;AF$5,AD30&amp;AE30&amp;AF30=AD$5&amp;AF$5&amp;AE$5,AD30&amp;AE30&amp;AF30=AE$5&amp;AD$5&amp;AF$5,AD30&amp;AE30&amp;AF30=AE$5&amp;AF$5&amp;AD$5,AD30&amp;AE30&amp;AF30=AF$5&amp;AD$5&amp;AE$5,AD30&amp;AE30&amp;AF30=AF$5&amp;AE$5&amp;AD$5),2,0),IF(AND(AD30=AD$5,AE$6&gt;=$D$129),1,0),IF(AND(AE30=AD$5,AE$6&gt;=$D$129),1,0),IF(AND(AF30=AD$5,AE$6&gt;=$D$129),1,0),IF(AD30&amp;AG30=AG$5,4,0),IF(AND(AD30=AD$5,AE$6&lt;=$D$104),-0.5,0),IF(AND(AE30=AD$5,AE$6&lt;=$D$104),-0.5,0),IF(AND(AF30=AD$5,AE$6&lt;=$D$104),-0.5,0))</f>
        <v/>
      </c>
      <c r="AI30" s="416" t="n"/>
      <c r="AJ30" s="418" t="n"/>
      <c r="AK30" s="418" t="n"/>
      <c r="AL30" s="418" t="n"/>
      <c r="AM30" s="602">
        <f>SUM(IF(AI30=AI$5,4,0),IF(AI30&amp;AJ30=AI$5&amp;AJ$5,1,0),
IF(AND(AI30=AI$5,AJ$6&gt;=$D$115),1,0),
IF(AND(AJ30=AI$5,AJ$6&gt;=$D$115),1,0),
IF(AND(AK30=AI$5,AJ$6&gt;=$D$115),1,0),
IF(AI30&amp;AL30=AM$5,1,0),
IF(AJ30=AI$5,2,0),
IF(AK30=AI$5,1,0),
IF(OR(AI30&amp;AJ30&amp;AK30=AI$5&amp;AJ$5&amp;AK$5,AI30&amp;AJ30&amp;AK30=AI$5&amp;AK$5&amp;AJ$5,AI30&amp;AJ30&amp;AK30=AJ$5&amp;AI$5&amp;AK$5,AI30&amp;AJ30&amp;AK30=AJ$5&amp;AK$5&amp;AI$5,AI30&amp;AJ30&amp;AK30=AK$5&amp;AI$5&amp;AJ$5,AI30&amp;AJ30&amp;AK30=AK$5&amp;AJ$5&amp;AI$5),2,0),IF(AND(AI30=AI$5,AJ$6&gt;=$D$129),1,0),IF(AND(AJ30=AI$5,AJ$6&gt;=$D$129),1,0),IF(AND(AK30=AI$5,AJ$6&gt;=$D$129),1,0),IF(AI30&amp;AL30=AL$5,4,0),IF(AND(AI30=AI$5,AJ$6&lt;=$D$104),-0.5,0),IF(AND(AJ30=AI$5,AJ$6&lt;=$D$104),-0.5,0),IF(AND(AK30=AI$5,AJ$6&lt;=$D$104),-0.5,0))</f>
        <v/>
      </c>
      <c r="AN30" s="416" t="n"/>
      <c r="AO30" s="418" t="n"/>
      <c r="AP30" s="418" t="n"/>
      <c r="AQ30" s="418" t="n"/>
      <c r="AR30" s="602">
        <f>SUM(IF(AN30=AN$5,4,0),IF(AN30&amp;AO30=AN$5&amp;AO$5,1,0),
IF(AND(AN30=AN$5,AO$6&gt;=$D$115),1,0),
IF(AND(AO30=AN$5,AO$6&gt;=$D$115),1,0),
IF(AND(AP30=AN$5,AO$6&gt;=$D$115),1,0),
IF(AN30&amp;AQ30=AR$5,1,0),
IF(AO30=AN$5,2,0),
IF(AP30=AN$5,1,0),
IF(OR(AN30&amp;AO30&amp;AP30=AN$5&amp;AO$5&amp;AP$5,AN30&amp;AO30&amp;AP30=AN$5&amp;AP$5&amp;AO$5,AN30&amp;AO30&amp;AP30=AO$5&amp;AN$5&amp;AP$5,AN30&amp;AO30&amp;AP30=AO$5&amp;AP$5&amp;AN$5,AN30&amp;AO30&amp;AP30=AP$5&amp;AN$5&amp;AO$5,AN30&amp;AO30&amp;AP30=AP$5&amp;AO$5&amp;AN$5),2,0),IF(AND(AN30=AN$5,AO$6&gt;=$D$129),1,0),IF(AND(AO30=AN$5,AO$6&gt;=$D$129),1,0),IF(AND(AP30=AN$5,AO$6&gt;=$D$129),1,0),IF(AN30&amp;AQ30=AQ$5,4,0),IF(AND(AN30=AN$5,AO$6&lt;=$D$104),-0.5,0),IF(AND(AO30=AN$5,AO$6&lt;=$D$104),-0.5,0),IF(AND(AP30=AN$5,AO$6&lt;=$D$104),-0.5,0))</f>
        <v/>
      </c>
      <c r="AS30" s="416" t="n"/>
      <c r="AT30" s="418" t="n"/>
      <c r="AU30" s="418" t="n"/>
      <c r="AV30" s="418" t="n"/>
      <c r="AW30" s="602">
        <f>SUM(IF(AS30=AS$5,4,0),IF(AS30&amp;AT30=AS$5&amp;AT$5,1,0),
IF(AND(AS30=AS$5,AT$6&gt;=$D$115),1,0),
IF(AND(AT30=AS$5,AT$6&gt;=$D$115),1,0),
IF(AND(AU30=AS$5,AT$6&gt;=$D$115),1,0),
IF(AS30&amp;AV30=AW$5,1,0),
IF(AT30=AS$5,2,0),
IF(AU30=AS$5,1,0),
IF(OR(AS30&amp;AT30&amp;AU30=AS$5&amp;AT$5&amp;AU$5,AS30&amp;AT30&amp;AU30=AS$5&amp;AU$5&amp;AT$5,AS30&amp;AT30&amp;AU30=AT$5&amp;AS$5&amp;AU$5,AS30&amp;AT30&amp;AU30=AT$5&amp;AU$5&amp;AS$5,AS30&amp;AT30&amp;AU30=AU$5&amp;AS$5&amp;AT$5,AS30&amp;AT30&amp;AU30=AU$5&amp;AT$5&amp;AS$5),2,0),IF(AND(AS30=AS$5,AT$6&gt;=$D$129),1,0),IF(AND(AT30=AS$5,AT$6&gt;=$D$129),1,0),IF(AND(AU30=AS$5,AT$6&gt;=$D$129),1,0),IF(AS30&amp;AV30=AV$5,4,0),IF(AND(AS30=AS$5,AT$6&lt;=$D$104),-0.5,0),IF(AND(AT30=AS$5,AT$6&lt;=$D$104),-0.5,0),IF(AND(AU30=AS$5,AT$6&lt;=$D$104),-0.5,0))</f>
        <v/>
      </c>
      <c r="AX30" s="416" t="n"/>
      <c r="AY30" s="418" t="n"/>
      <c r="AZ30" s="418" t="n"/>
      <c r="BA30" s="418" t="n"/>
      <c r="BB30" s="602">
        <f>SUM(IF(AX30=AX$5,4,0),IF(AX30&amp;AY30=AX$5&amp;AY$5,1,0),
IF(AND(AX30=AX$5,AY$6&gt;=$D$115),1,0),
IF(AND(AY30=AX$5,AY$6&gt;=$D$115),1,0),
IF(AND(AZ30=AX$5,AY$6&gt;=$D$115),1,0),
IF(AX30&amp;BA30=BB$5,1,0),
IF(AY30=AX$5,2,0),
IF(AZ30=AX$5,1,0),
IF(OR(AX30&amp;AY30&amp;AZ30=AX$5&amp;AY$5&amp;AZ$5,AX30&amp;AY30&amp;AZ30=AX$5&amp;AZ$5&amp;AY$5,AX30&amp;AY30&amp;AZ30=AY$5&amp;AX$5&amp;AZ$5,AX30&amp;AY30&amp;AZ30=AY$5&amp;AZ$5&amp;AX$5,AX30&amp;AY30&amp;AZ30=AZ$5&amp;AX$5&amp;AY$5,AX30&amp;AY30&amp;AZ30=AZ$5&amp;AY$5&amp;AX$5),2,0),IF(AND(AX30=AX$5,AY$6&gt;=$D$129),1,0),IF(AND(AY30=AX$5,AY$6&gt;=$D$129),1,0),IF(AND(AZ30=AX$5,AY$6&gt;=$D$129),1,0),IF(AX30&amp;BA30=BA$5,4,0),IF(AND(AX30=AX$5,AY$6&lt;=$D$104),-0.5,0),IF(AND(AY30=AX$5,AY$6&lt;=$D$104),-0.5,0),IF(AND(AZ30=AX$5,AY$6&lt;=$D$104),-0.5,0))</f>
        <v/>
      </c>
      <c r="BC30" s="416" t="n"/>
      <c r="BD30" s="418" t="n"/>
      <c r="BE30" s="418" t="n"/>
      <c r="BF30" s="418" t="n"/>
      <c r="BG30" s="602">
        <f>SUM(IF(BC30=BC$5,4,0),IF(BC30&amp;BD30=BC$5&amp;BD$5,1,0),
IF(AND(BC30=BC$5,BD$6&gt;=$D$115),1,0),
IF(AND(BD30=BC$5,BD$6&gt;=$D$115),1,0),
IF(AND(BE30=BC$5,BD$6&gt;=$D$115),1,0),
IF(BC30&amp;BF30=BG$5,1,0),
IF(BD30=BC$5,2,0),
IF(BE30=BC$5,1,0),
IF(OR(BC30&amp;BD30&amp;BE30=BC$5&amp;BD$5&amp;BE$5,BC30&amp;BD30&amp;BE30=BC$5&amp;BE$5&amp;BD$5,BC30&amp;BD30&amp;BE30=BD$5&amp;BC$5&amp;BE$5,BC30&amp;BD30&amp;BE30=BD$5&amp;BE$5&amp;BC$5,BC30&amp;BD30&amp;BE30=BE$5&amp;BC$5&amp;BD$5,BC30&amp;BD30&amp;BE30=BE$5&amp;BD$5&amp;BC$5),2,0),IF(AND(BC30=BC$5,BD$6&gt;=$D$129),1,0),IF(AND(BD30=BC$5,BD$6&gt;=$D$129),1,0),IF(AND(BE30=BC$5,BD$6&gt;=$D$129),1,0),IF(BC30&amp;BF30=BF$5,4,0),IF(AND(BC30=BC$5,BD$6&lt;=$D$104),-0.5,0),IF(AND(BD30=BC$5,BD$6&lt;=$D$104),-0.5,0),IF(AND(BE30=BC$5,BD$6&lt;=$D$104),-0.5,0))</f>
        <v/>
      </c>
      <c r="BH30" s="416" t="n"/>
      <c r="BI30" s="418" t="n"/>
      <c r="BJ30" s="418" t="n"/>
      <c r="BK30" s="418" t="n"/>
      <c r="BL30" s="602">
        <f>SUM(IF(BH30=BH$5,4,0),IF(BH30&amp;BI30=BH$5&amp;BI$5,1,0),
IF(AND(BH30=BH$5,BI$6&gt;=$D$115),1,0),
IF(AND(BI30=BH$5,BI$6&gt;=$D$115),1,0),
IF(AND(BJ30=BH$5,BI$6&gt;=$D$115),1,0),
IF(BH30&amp;BK30=BL$5,1,0),
IF(BI30=BH$5,2,0),
IF(BJ30=BH$5,1,0),
IF(OR(BH30&amp;BI30&amp;BJ30=BH$5&amp;BI$5&amp;BJ$5,BH30&amp;BI30&amp;BJ30=BH$5&amp;BJ$5&amp;BI$5,BH30&amp;BI30&amp;BJ30=BI$5&amp;BH$5&amp;BJ$5,BH30&amp;BI30&amp;BJ30=BI$5&amp;BJ$5&amp;BH$5,BH30&amp;BI30&amp;BJ30=BJ$5&amp;BH$5&amp;BI$5,BH30&amp;BI30&amp;BJ30=BJ$5&amp;BI$5&amp;BH$5),2,0),IF(AND(BH30=BH$5,BI$6&gt;=$D$129),1,0),IF(AND(BI30=BH$5,BI$6&gt;=$D$129),1,0),IF(AND(BJ30=BH$5,BI$6&gt;=$D$129),1,0),IF(BH30&amp;BK30=BK$5,4,0),IF(AND(BH30=BH$5,BI$6&lt;=$D$104),-0.5,0),IF(AND(BI30=BH$5,BI$6&lt;=$D$104),-0.5,0),IF(AND(BJ30=BH$5,BI$6&lt;=$D$104),-0.5,0))</f>
        <v/>
      </c>
      <c r="BM30" s="416" t="n"/>
      <c r="BN30" s="418" t="n"/>
      <c r="BO30" s="418" t="n"/>
      <c r="BP30" s="418" t="n"/>
      <c r="BQ30" s="602">
        <f>SUM(IF(BM30=BM$5,4,0),IF(BM30&amp;BN30=BM$5&amp;BN$5,1,0),
IF(AND(BM30=BM$5,BN$6&gt;=$D$115),1,0),
IF(AND(BN30=BM$5,BN$6&gt;=$D$115),1,0),
IF(AND(BO30=BM$5,BN$6&gt;=$D$115),1,0),
IF(BM30&amp;BP30=BQ$5,1,0),
IF(BN30=BM$5,2,0),
IF(BO30=BM$5,1,0),
IF(OR(BM30&amp;BN30&amp;BO30=BM$5&amp;BN$5&amp;BO$5,BM30&amp;BN30&amp;BO30=BM$5&amp;BO$5&amp;BN$5,BM30&amp;BN30&amp;BO30=BN$5&amp;BM$5&amp;BO$5,BM30&amp;BN30&amp;BO30=BN$5&amp;BO$5&amp;BM$5,BM30&amp;BN30&amp;BO30=BO$5&amp;BM$5&amp;BN$5,BM30&amp;BN30&amp;BO30=BO$5&amp;BN$5&amp;BM$5),2,0),IF(AND(BM30=BM$5,BN$6&gt;=$D$129),1,0),IF(AND(BN30=BM$5,BN$6&gt;=$D$129),1,0),IF(AND(BO30=BM$5,BN$6&gt;=$D$129),1,0),IF(BM30&amp;BP30=BP$5,4,0),IF(AND(BM30=BM$5,BN$6&lt;=$D$104),-0.5,0),IF(AND(BN30=BM$5,BN$6&lt;=$D$104),-0.5,0),IF(AND(BO30=BM$5,BN$6&lt;=$D$104),-0.5,0))</f>
        <v/>
      </c>
      <c r="BR30" s="416" t="n"/>
      <c r="BS30" s="418" t="n"/>
      <c r="BT30" s="418" t="n"/>
      <c r="BU30" s="418" t="n"/>
      <c r="BV30" s="602">
        <f>SUM(IF(BR30=BR$5,4,0),IF(BR30&amp;BS30=BR$5&amp;BS$5,1,0),
IF(AND(BR30=BR$5,BS$6&gt;=$D$115),1,0),
IF(AND(BS30=BR$5,BS$6&gt;=$D$115),1,0),
IF(AND(BT30=BR$5,BS$6&gt;=$D$115),1,0),
IF(BR30&amp;BU30=BV$5,1,0),
IF(BS30=BR$5,2,0),
IF(BT30=BR$5,1,0),
IF(OR(BR30&amp;BS30&amp;BT30=BR$5&amp;BS$5&amp;BT$5,BR30&amp;BS30&amp;BT30=BR$5&amp;BT$5&amp;BS$5,BR30&amp;BS30&amp;BT30=BS$5&amp;BR$5&amp;BT$5,BR30&amp;BS30&amp;BT30=BS$5&amp;BT$5&amp;BR$5,BR30&amp;BS30&amp;BT30=BT$5&amp;BR$5&amp;BS$5,BR30&amp;BS30&amp;BT30=BT$5&amp;BS$5&amp;BR$5),2,0),IF(AND(BR30=BR$5,BS$6&gt;=$D$129),1,0),IF(AND(BS30=BR$5,BS$6&gt;=$D$129),1,0),IF(AND(BT30=BR$5,BS$6&gt;=$D$129),1,0),IF(BR30&amp;BU30=BU$5,4,0),IF(AND(BR30=BR$5,BS$6&lt;=$D$104),-0.5,0),IF(AND(BS30=BR$5,BS$6&lt;=$D$104),-0.5,0),IF(AND(BT30=BR$5,BS$6&lt;=$D$104),-0.5,0))</f>
        <v/>
      </c>
      <c r="BW30" s="416" t="n"/>
      <c r="BX30" s="418" t="n"/>
      <c r="BY30" s="418" t="n"/>
      <c r="BZ30" s="418" t="n"/>
      <c r="CA30" s="602">
        <f>SUM(IF(BW30=BW$5,4,0),IF(BW30&amp;BX30=BW$5&amp;BX$5,1,0),
IF(AND(BW30=BW$5,BX$6&gt;=$D$115),1,0),
IF(AND(BX30=BW$5,BX$6&gt;=$D$115),1,0),
IF(AND(BY30=BW$5,BX$6&gt;=$D$115),1,0),
IF(BW30&amp;BZ30=CA$5,1,0),
IF(BX30=BW$5,2,0),
IF(BY30=BW$5,1,0),
IF(OR(BW30&amp;BX30&amp;BY30=BW$5&amp;BX$5&amp;BY$5,BW30&amp;BX30&amp;BY30=BW$5&amp;BY$5&amp;BX$5,BW30&amp;BX30&amp;BY30=BX$5&amp;BW$5&amp;BY$5,BW30&amp;BX30&amp;BY30=BX$5&amp;BY$5&amp;BW$5,BW30&amp;BX30&amp;BY30=BY$5&amp;BW$5&amp;BX$5,BW30&amp;BX30&amp;BY30=BY$5&amp;BX$5&amp;BW$5),2,0),IF(AND(BW30=BW$5,BX$6&gt;=$D$129),1,0),IF(AND(BX30=BW$5,BX$6&gt;=$D$129),1,0),IF(AND(BY30=BW$5,BX$6&gt;=$D$129),1,0),IF(BW30&amp;BZ30=BZ$5,4,0),IF(AND(BW30=BW$5,BX$6&lt;=$D$104),-0.5,0),IF(AND(BX30=BW$5,BX$6&lt;=$D$104),-0.5,0),IF(AND(BY30=BW$5,BX$6&lt;=$D$104),-0.5,0))</f>
        <v/>
      </c>
      <c r="CB30" s="416" t="n"/>
      <c r="CC30" s="418" t="n"/>
      <c r="CD30" s="418" t="n"/>
      <c r="CE30" s="418" t="n"/>
      <c r="CF30" s="602">
        <f>SUM(IF(CB30=CB$5,4,0),IF(CB30&amp;CC30=CB$5&amp;CC$5,1,0),
IF(AND(CB30=CB$5,CC$6&gt;=$D$115),1,0),
IF(AND(CC30=CB$5,CC$6&gt;=$D$115),1,0),
IF(AND(CD30=CB$5,CC$6&gt;=$D$115),1,0),
IF(CB30&amp;CE30=CF$5,1,0),
IF(CC30=CB$5,2,0),
IF(CD30=CB$5,1,0),
IF(OR(CB30&amp;CC30&amp;CD30=CB$5&amp;CC$5&amp;CD$5,CB30&amp;CC30&amp;CD30=CB$5&amp;CD$5&amp;CC$5,CB30&amp;CC30&amp;CD30=CC$5&amp;CB$5&amp;CD$5,CB30&amp;CC30&amp;CD30=CC$5&amp;CD$5&amp;CB$5,CB30&amp;CC30&amp;CD30=CD$5&amp;CB$5&amp;CC$5,CB30&amp;CC30&amp;CD30=CD$5&amp;CC$5&amp;CB$5),2,0),IF(AND(CB30=CB$5,CC$6&gt;=$D$129),1,0),IF(AND(CC30=CB$5,CC$6&gt;=$D$129),1,0),IF(AND(CD30=CB$5,CC$6&gt;=$D$129),1,0),IF(CB30&amp;CE30=CE$5,4,0),IF(AND(CB30=CB$5,CC$6&lt;=$D$104),-0.5,0),IF(AND(CC30=CB$5,CC$6&lt;=$D$104),-0.5,0),IF(AND(CD30=CB$5,CC$6&lt;=$D$104),-0.5,0))</f>
        <v/>
      </c>
      <c r="CG30" s="164">
        <f>IF(SEMANA29[[#This Row],[1]]="",0,$B$4)</f>
        <v/>
      </c>
      <c r="CH30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0" s="166">
        <f>IF(SEMANA29[[#This Row],[Columna14]]=0,0,(CH30/CG30))</f>
        <v/>
      </c>
      <c r="CJ30" s="165">
        <f>IF(SEMANA29[[#This Row],[1]]="",0,$B$4)</f>
        <v/>
      </c>
      <c r="CK30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0" s="166">
        <f>IF(SEMANA29[[#This Row],[Columna14]]=0,0,(CK30/CJ30))</f>
        <v/>
      </c>
      <c r="CM30" s="164">
        <f>IF(SEMANA29[[#This Row],[1]]="",0,$B$4)</f>
        <v/>
      </c>
      <c r="CN30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0" s="166">
        <f>IF(SEMANA29[[#This Row],[Columna14]]=0,0,(CN30/CM30))</f>
        <v/>
      </c>
      <c r="CP30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0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Row],[Columna25]],$AX$5,BA30,"SF")+COUNTIFS(SEMANA29[[#This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0" s="166">
        <f>IFERROR(IF(SEMANA29[[#This Row],[Columna14]]=0,0,(CQ30/CP30)),0)</f>
        <v/>
      </c>
      <c r="CS30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0" s="95">
        <f>_xlfn.XLOOKUP(SEMANA29[[#This Row],[COD]],SEMANA2[COD],SEMANA2[Columna33])</f>
        <v/>
      </c>
      <c r="CU30" s="604">
        <f>SUM(CS30,CT30)</f>
        <v/>
      </c>
      <c r="CV30" s="450">
        <f>IF(SEMANA29[[#This Row],[TIPO]]="PREMIO",$O$3,"0,00")</f>
        <v/>
      </c>
      <c r="CW30" s="576" t="n"/>
      <c r="CY30" s="392">
        <f>IF(CZ30="","",$CZ$25)</f>
        <v/>
      </c>
      <c r="CZ30" s="392" t="n"/>
      <c r="DA30" s="392">
        <f t="array" ref="DA30">IF(CZ30="", "", IF((INDEX(E$8:CE$57, MATCH(CZ30, C$8:C$57, 0), ($CZ$25-1)*5 + 1) &amp; "") = (INDEX(E$5:CE$5, 1, ($CZ$25-1)*5 + 1) &amp; ""), 1, IF((INDEX(E$8:CE$57, MATCH(CZ30, C$8:C$57, 0), ($CZ$25-1)*5 + 2) &amp; "") = (INDEX(E$5:CE$5, 1, ($CZ$25-1)*5 + 1) &amp; ""), 2, IF((INDEX(E$8:CE$57, MATCH(CZ30, C$8:C$57, 0), ($CZ$25-1)*5 + 3) &amp; "") = (INDEX(E$5:CE$5, 1, ($CZ$25-1)*5 + 1) &amp; ""), 3, ""))))</f>
        <v/>
      </c>
      <c r="DB30" s="605">
        <f>SEMANA29[[#This Row],[COD]]</f>
        <v/>
      </c>
      <c r="DC30" s="395">
        <f t="array" ref="DC30">IFERROR(IF(AND(INDEX($E$8:$CE$57, MATCH($C30, $C$8:$C$57, 0), (COLUMNS($DC30:DC30)-1)*5 + 1) = INDEX($E$5:$CE$5, 1, (COLUMNS($DC30:DC30)-1)*5 + 1), INDEX($E$8:$CE$57, MATCH($C30, $C$8:$C$57, 0), (COLUMNS($DC30:DC30)-1)*5 + 4) = "F"), INDEX($CZ$8:$CZ$23, COLUMNS($DC30:DC30)), "0"), "")</f>
        <v/>
      </c>
      <c r="DD30" s="395">
        <f t="array" ref="DD30">IFERROR(IF(AND(INDEX($E$8:$CE$57, MATCH($C30, $C$8:$C$57, 0), (COLUMNS($DC30:DD30)-1)*5 + 1) = INDEX($E$5:$CE$5, 1, (COLUMNS($DC30:DD30)-1)*5 + 1), INDEX($E$8:$CE$57, MATCH($C30, $C$8:$C$57, 0), (COLUMNS($DC30:DD30)-1)*5 + 4) = "F"), INDEX($CZ$8:$CZ$23, COLUMNS($DC30:DD30)), "0"), "")</f>
        <v/>
      </c>
      <c r="DE30" s="395">
        <f t="array" ref="DE30">IFERROR(IF(AND(INDEX($E$8:$CE$57, MATCH($C30, $C$8:$C$57, 0), (COLUMNS($DC30:DE30)-1)*5 + 1) = INDEX($E$5:$CE$5, 1, (COLUMNS($DC30:DE30)-1)*5 + 1), INDEX($E$8:$CE$57, MATCH($C30, $C$8:$C$57, 0), (COLUMNS($DC30:DE30)-1)*5 + 4) = "F"), INDEX($CZ$8:$CZ$23, COLUMNS($DC30:DE30)), "0"), "")</f>
        <v/>
      </c>
      <c r="DF30" s="395">
        <f t="array" ref="DF30">IFERROR(IF(AND(INDEX($E$8:$CE$57, MATCH($C30, $C$8:$C$57, 0), (COLUMNS($DC30:DF30)-1)*5 + 1) = INDEX($E$5:$CE$5, 1, (COLUMNS($DC30:DF30)-1)*5 + 1), INDEX($E$8:$CE$57, MATCH($C30, $C$8:$C$57, 0), (COLUMNS($DC30:DF30)-1)*5 + 4) = "F"), INDEX($CZ$8:$CZ$23, COLUMNS($DC30:DF30)), "0"), "")</f>
        <v/>
      </c>
      <c r="DG30" s="395">
        <f t="array" ref="DG30">IFERROR(IF(AND(INDEX($E$8:$CE$57, MATCH($C30, $C$8:$C$57, 0), (COLUMNS($DC30:DG30)-1)*5 + 1) = INDEX($E$5:$CE$5, 1, (COLUMNS($DC30:DG30)-1)*5 + 1), INDEX($E$8:$CE$57, MATCH($C30, $C$8:$C$57, 0), (COLUMNS($DC30:DG30)-1)*5 + 4) = "F"), INDEX($CZ$8:$CZ$23, COLUMNS($DC30:DG30)), "0"), "")</f>
        <v/>
      </c>
      <c r="DH30" s="395">
        <f t="array" ref="DH30">IFERROR(IF(AND(INDEX($E$8:$CE$57, MATCH($C30, $C$8:$C$57, 0), (COLUMNS($DC30:DH30)-1)*5 + 1) = INDEX($E$5:$CE$5, 1, (COLUMNS($DC30:DH30)-1)*5 + 1), INDEX($E$8:$CE$57, MATCH($C30, $C$8:$C$57, 0), (COLUMNS($DC30:DH30)-1)*5 + 4) = "F"), INDEX($CZ$8:$CZ$23, COLUMNS($DC30:DH30)), "0"), "")</f>
        <v/>
      </c>
      <c r="DI30" s="395">
        <f t="array" ref="DI30">IFERROR(IF(AND(INDEX($E$8:$CE$57, MATCH($C30, $C$8:$C$57, 0), (COLUMNS($DC30:DI30)-1)*5 + 1) = INDEX($E$5:$CE$5, 1, (COLUMNS($DC30:DI30)-1)*5 + 1), INDEX($E$8:$CE$57, MATCH($C30, $C$8:$C$57, 0), (COLUMNS($DC30:DI30)-1)*5 + 4) = "F"), INDEX($CZ$8:$CZ$23, COLUMNS($DC30:DI30)), "0"), "")</f>
        <v/>
      </c>
      <c r="DJ30" s="395">
        <f t="array" ref="DJ30">IFERROR(IF(AND(INDEX($E$8:$CE$57, MATCH($C30, $C$8:$C$57, 0), (COLUMNS($DC30:DJ30)-1)*5 + 1) = INDEX($E$5:$CE$5, 1, (COLUMNS($DC30:DJ30)-1)*5 + 1), INDEX($E$8:$CE$57, MATCH($C30, $C$8:$C$57, 0), (COLUMNS($DC30:DJ30)-1)*5 + 4) = "F"), INDEX($CZ$8:$CZ$23, COLUMNS($DC30:DJ30)), "0"), "")</f>
        <v/>
      </c>
      <c r="DK30" s="395">
        <f t="array" ref="DK30">IFERROR(IF(AND(INDEX($E$8:$CE$57, MATCH($C30, $C$8:$C$57, 0), (COLUMNS($DC30:DK30)-1)*5 + 1) = INDEX($E$5:$CE$5, 1, (COLUMNS($DC30:DK30)-1)*5 + 1), INDEX($E$8:$CE$57, MATCH($C30, $C$8:$C$57, 0), (COLUMNS($DC30:DK30)-1)*5 + 4) = "F"), INDEX($CZ$8:$CZ$23, COLUMNS($DC30:DK30)), "0"), "")</f>
        <v/>
      </c>
      <c r="DL30" s="395">
        <f t="array" ref="DL30">IFERROR(IF(AND(INDEX($E$8:$CE$57, MATCH($C30, $C$8:$C$57, 0), (COLUMNS($DC30:DL30)-1)*5 + 1) = INDEX($E$5:$CE$5, 1, (COLUMNS($DC30:DL30)-1)*5 + 1), INDEX($E$8:$CE$57, MATCH($C30, $C$8:$C$57, 0), (COLUMNS($DC30:DL30)-1)*5 + 4) = "F"), INDEX($CZ$8:$CZ$23, COLUMNS($DC30:DL30)), "0"), "")</f>
        <v/>
      </c>
      <c r="DM30" s="395">
        <f t="array" ref="DM30">IFERROR(IF(AND(INDEX($E$8:$CE$57, MATCH($C30, $C$8:$C$57, 0), (COLUMNS($DC30:DM30)-1)*5 + 1) = INDEX($E$5:$CE$5, 1, (COLUMNS($DC30:DM30)-1)*5 + 1), INDEX($E$8:$CE$57, MATCH($C30, $C$8:$C$57, 0), (COLUMNS($DC30:DM30)-1)*5 + 4) = "F"), INDEX($CZ$8:$CZ$23, COLUMNS($DC30:DM30)), "0"), "")</f>
        <v/>
      </c>
      <c r="DN30" s="395">
        <f t="array" ref="DN30">IFERROR(IF(AND(INDEX($E$8:$CE$57, MATCH($C30, $C$8:$C$57, 0), (COLUMNS($DC30:DN30)-1)*5 + 1) = INDEX($E$5:$CE$5, 1, (COLUMNS($DC30:DN30)-1)*5 + 1), INDEX($E$8:$CE$57, MATCH($C30, $C$8:$C$57, 0), (COLUMNS($DC30:DN30)-1)*5 + 4) = "F"), INDEX($CZ$8:$CZ$23, COLUMNS($DC30:DN30)), "0"), "")</f>
        <v/>
      </c>
      <c r="DO30" s="395">
        <f t="array" ref="DO30">IFERROR(IF(AND(INDEX($E$8:$CE$57, MATCH($C30, $C$8:$C$57, 0), (COLUMNS($DC30:DO30)-1)*5 + 1) = INDEX($E$5:$CE$5, 1, (COLUMNS($DC30:DO30)-1)*5 + 1), INDEX($E$8:$CE$57, MATCH($C30, $C$8:$C$57, 0), (COLUMNS($DC30:DO30)-1)*5 + 4) = "F"), INDEX($CZ$8:$CZ$23, COLUMNS($DC30:DO30)), "0"), "")</f>
        <v/>
      </c>
      <c r="DP30" s="395">
        <f t="array" ref="DP30">IFERROR(IF(AND(INDEX($E$8:$CE$57, MATCH($C30, $C$8:$C$57, 0), (COLUMNS($DC30:DP30)-1)*5 + 1) = INDEX($E$5:$CE$5, 1, (COLUMNS($DC30:DP30)-1)*5 + 1), INDEX($E$8:$CE$57, MATCH($C30, $C$8:$C$57, 0), (COLUMNS($DC30:DP30)-1)*5 + 4) = "F"), INDEX($CZ$8:$CZ$23, COLUMNS($DC30:DP30)), "0"), "")</f>
        <v/>
      </c>
      <c r="DQ30" s="395">
        <f t="array" ref="DQ30">IFERROR(IF(AND(INDEX($E$8:$CE$57, MATCH($C30, $C$8:$C$57, 0), (COLUMNS($DC30:DQ30)-1)*5 + 1) = INDEX($E$5:$CE$5, 1, (COLUMNS($DC30:DQ30)-1)*5 + 1), INDEX($E$8:$CE$57, MATCH($C30, $C$8:$C$57, 0), (COLUMNS($DC30:DQ30)-1)*5 + 4) = "F"), INDEX($CZ$8:$CZ$23, COLUMNS($DC30:DQ30)), "0"), "")</f>
        <v/>
      </c>
      <c r="DR30" s="395">
        <f t="array" ref="DR30">IFERROR(IF(AND(INDEX($E$8:$CE$57, MATCH($C30, $C$8:$C$57, 0), (COLUMNS($DC30:DR30)-1)*5 + 1) = INDEX($E$5:$CE$5, 1, (COLUMNS($DC30:DR30)-1)*5 + 1), INDEX($E$8:$CE$57, MATCH($C30, $C$8:$C$57, 0), (COLUMNS($DC30:DR30)-1)*5 + 4) = "F"), INDEX($CZ$8:$CZ$23, COLUMNS($DC30:DR30)), "0"), "")</f>
        <v/>
      </c>
      <c r="DT30" s="605">
        <f>SEMANA29[[#This Row],[COD]]</f>
        <v/>
      </c>
      <c r="DU30" s="395">
        <f t="array" ref="DU30">IFERROR(IF(AND(INDEX($E$8:$CE$57, MATCH($C30, $C$8:$C$57, 0), (COLUMNS($DU30:DU30)-1)*5 + 1) = INDEX($E$5:$CE$5, 1, (COLUMNS($DU30:DU30)-1)*5 + 1), INDEX($E$8:$CE$57, MATCH($C30, $C$8:$C$57, 0), (COLUMNS($DU30:DU30)-1)*5 + 4) = "SF"), INDEX($CZ$8:$CZ$23, COLUMNS($DU30:DU30)), "0"), "")</f>
        <v/>
      </c>
      <c r="DV30" s="395">
        <f t="array" ref="DV30">IFERROR(IF(AND(INDEX($E$8:$CE$57, MATCH($C30, $C$8:$C$57, 0), (COLUMNS($DU30:DV30)-1)*5 + 1) = INDEX($E$5:$CE$5, 1, (COLUMNS($DU30:DV30)-1)*5 + 1), INDEX($E$8:$CE$57, MATCH($C30, $C$8:$C$57, 0), (COLUMNS($DU30:DV30)-1)*5 + 4) = "SF"), INDEX($CZ$8:$CZ$23, COLUMNS($DU30:DV30)), "0"), "")</f>
        <v/>
      </c>
      <c r="DW30" s="395">
        <f t="array" ref="DW30">IFERROR(IF(AND(INDEX($E$8:$CE$57, MATCH($C30, $C$8:$C$57, 0), (COLUMNS($DU30:DW30)-1)*5 + 1) = INDEX($E$5:$CE$5, 1, (COLUMNS($DU30:DW30)-1)*5 + 1), INDEX($E$8:$CE$57, MATCH($C30, $C$8:$C$57, 0), (COLUMNS($DU30:DW30)-1)*5 + 4) = "SF"), INDEX($CZ$8:$CZ$23, COLUMNS($DU30:DW30)), "0"), "")</f>
        <v/>
      </c>
      <c r="DX30" s="395">
        <f t="array" ref="DX30">IFERROR(IF(AND(INDEX($E$8:$CE$57, MATCH($C30, $C$8:$C$57, 0), (COLUMNS($DU30:DX30)-1)*5 + 1) = INDEX($E$5:$CE$5, 1, (COLUMNS($DU30:DX30)-1)*5 + 1), INDEX($E$8:$CE$57, MATCH($C30, $C$8:$C$57, 0), (COLUMNS($DU30:DX30)-1)*5 + 4) = "SF"), INDEX($CZ$8:$CZ$23, COLUMNS($DU30:DX30)), "0"), "")</f>
        <v/>
      </c>
      <c r="DY30" s="395">
        <f t="array" ref="DY30">IFERROR(IF(AND(INDEX($E$8:$CE$57, MATCH($C30, $C$8:$C$57, 0), (COLUMNS($DU30:DY30)-1)*5 + 1) = INDEX($E$5:$CE$5, 1, (COLUMNS($DU30:DY30)-1)*5 + 1), INDEX($E$8:$CE$57, MATCH($C30, $C$8:$C$57, 0), (COLUMNS($DU30:DY30)-1)*5 + 4) = "SF"), INDEX($CZ$8:$CZ$23, COLUMNS($DU30:DY30)), "0"), "")</f>
        <v/>
      </c>
      <c r="DZ30" s="395">
        <f t="array" ref="DZ30">IFERROR(IF(AND(INDEX($E$8:$CE$57, MATCH($C30, $C$8:$C$57, 0), (COLUMNS($DU30:DZ30)-1)*5 + 1) = INDEX($E$5:$CE$5, 1, (COLUMNS($DU30:DZ30)-1)*5 + 1), INDEX($E$8:$CE$57, MATCH($C30, $C$8:$C$57, 0), (COLUMNS($DU30:DZ30)-1)*5 + 4) = "SF"), INDEX($CZ$8:$CZ$23, COLUMNS($DU30:DZ30)), "0"), "")</f>
        <v/>
      </c>
      <c r="EA30" s="395">
        <f t="array" ref="EA30">IFERROR(IF(AND(INDEX($E$8:$CE$57, MATCH($C30, $C$8:$C$57, 0), (COLUMNS($DU30:EA30)-1)*5 + 1) = INDEX($E$5:$CE$5, 1, (COLUMNS($DU30:EA30)-1)*5 + 1), INDEX($E$8:$CE$57, MATCH($C30, $C$8:$C$57, 0), (COLUMNS($DU30:EA30)-1)*5 + 4) = "SF"), INDEX($CZ$8:$CZ$23, COLUMNS($DU30:EA30)), "0"), "")</f>
        <v/>
      </c>
      <c r="EB30" s="395">
        <f t="array" ref="EB30">IFERROR(IF(AND(INDEX($E$8:$CE$57, MATCH($C30, $C$8:$C$57, 0), (COLUMNS($DU30:EB30)-1)*5 + 1) = INDEX($E$5:$CE$5, 1, (COLUMNS($DU30:EB30)-1)*5 + 1), INDEX($E$8:$CE$57, MATCH($C30, $C$8:$C$57, 0), (COLUMNS($DU30:EB30)-1)*5 + 4) = "SF"), INDEX($CZ$8:$CZ$23, COLUMNS($DU30:EB30)), "0"), "")</f>
        <v/>
      </c>
      <c r="EC30" s="395">
        <f t="array" ref="EC30">IFERROR(IF(AND(INDEX($E$8:$CE$57, MATCH($C30, $C$8:$C$57, 0), (COLUMNS($DU30:EC30)-1)*5 + 1) = INDEX($E$5:$CE$5, 1, (COLUMNS($DU30:EC30)-1)*5 + 1), INDEX($E$8:$CE$57, MATCH($C30, $C$8:$C$57, 0), (COLUMNS($DU30:EC30)-1)*5 + 4) = "SF"), INDEX($CZ$8:$CZ$23, COLUMNS($DU30:EC30)), "0"), "")</f>
        <v/>
      </c>
      <c r="ED30" s="395">
        <f t="array" ref="ED30">IFERROR(IF(AND(INDEX($E$8:$CE$57, MATCH($C30, $C$8:$C$57, 0), (COLUMNS($DU30:ED30)-1)*5 + 1) = INDEX($E$5:$CE$5, 1, (COLUMNS($DU30:ED30)-1)*5 + 1), INDEX($E$8:$CE$57, MATCH($C30, $C$8:$C$57, 0), (COLUMNS($DU30:ED30)-1)*5 + 4) = "SF"), INDEX($CZ$8:$CZ$23, COLUMNS($DU30:ED30)), "0"), "")</f>
        <v/>
      </c>
      <c r="EE30" s="395">
        <f t="array" ref="EE30">IFERROR(IF(AND(INDEX($E$8:$CE$57, MATCH($C30, $C$8:$C$57, 0), (COLUMNS($DU30:EE30)-1)*5 + 1) = INDEX($E$5:$CE$5, 1, (COLUMNS($DU30:EE30)-1)*5 + 1), INDEX($E$8:$CE$57, MATCH($C30, $C$8:$C$57, 0), (COLUMNS($DU30:EE30)-1)*5 + 4) = "SF"), INDEX($CZ$8:$CZ$23, COLUMNS($DU30:EE30)), "0"), "")</f>
        <v/>
      </c>
      <c r="EF30" s="395">
        <f t="array" ref="EF30">IFERROR(IF(AND(INDEX($E$8:$CE$57, MATCH($C30, $C$8:$C$57, 0), (COLUMNS($DU30:EF30)-1)*5 + 1) = INDEX($E$5:$CE$5, 1, (COLUMNS($DU30:EF30)-1)*5 + 1), INDEX($E$8:$CE$57, MATCH($C30, $C$8:$C$57, 0), (COLUMNS($DU30:EF30)-1)*5 + 4) = "SF"), INDEX($CZ$8:$CZ$23, COLUMNS($DU30:EF30)), "0"), "")</f>
        <v/>
      </c>
      <c r="EG30" s="395">
        <f t="array" ref="EG30">IFERROR(IF(AND(INDEX($E$8:$CE$57, MATCH($C30, $C$8:$C$57, 0), (COLUMNS($DU30:EG30)-1)*5 + 1) = INDEX($E$5:$CE$5, 1, (COLUMNS($DU30:EG30)-1)*5 + 1), INDEX($E$8:$CE$57, MATCH($C30, $C$8:$C$57, 0), (COLUMNS($DU30:EG30)-1)*5 + 4) = "SF"), INDEX($CZ$8:$CZ$23, COLUMNS($DU30:EG30)), "0"), "")</f>
        <v/>
      </c>
      <c r="EH30" s="395">
        <f t="array" ref="EH30">IFERROR(IF(AND(INDEX($E$8:$CE$57, MATCH($C30, $C$8:$C$57, 0), (COLUMNS($DU30:EH30)-1)*5 + 1) = INDEX($E$5:$CE$5, 1, (COLUMNS($DU30:EH30)-1)*5 + 1), INDEX($E$8:$CE$57, MATCH($C30, $C$8:$C$57, 0), (COLUMNS($DU30:EH30)-1)*5 + 4) = "SF"), INDEX($CZ$8:$CZ$23, COLUMNS($DU30:EH30)), "0"), "")</f>
        <v/>
      </c>
      <c r="EI30" s="395">
        <f t="array" ref="EI30">IFERROR(IF(AND(INDEX($E$8:$CE$57, MATCH($C30, $C$8:$C$57, 0), (COLUMNS($DU30:EI30)-1)*5 + 1) = INDEX($E$5:$CE$5, 1, (COLUMNS($DU30:EI30)-1)*5 + 1), INDEX($E$8:$CE$57, MATCH($C30, $C$8:$C$57, 0), (COLUMNS($DU30:EI30)-1)*5 + 4) = "SF"), INDEX($CZ$8:$CZ$23, COLUMNS($DU30:EI30)), "0"), "")</f>
        <v/>
      </c>
      <c r="EJ30" s="395">
        <f t="array" ref="EJ30">IFERROR(IF(AND(INDEX($E$8:$CE$57, MATCH($C30, $C$8:$C$57, 0), (COLUMNS($DU30:EJ30)-1)*5 + 1) = INDEX($E$5:$CE$5, 1, (COLUMNS($DU30:EJ30)-1)*5 + 1), INDEX($E$8:$CE$57, MATCH($C30, $C$8:$C$57, 0), (COLUMNS($DU30:EJ30)-1)*5 + 4) = "SF"), INDEX($CZ$8:$CZ$23, COLUMNS($DU30:EJ30)), "0"), "")</f>
        <v/>
      </c>
    </row>
    <row r="31" ht="19.5" customHeight="1" s="568">
      <c r="A31" s="576" t="n"/>
      <c r="B31" s="449">
        <f>IF(SEMANA29[[#This Row],[COD]]&lt;&gt;"",B30+1,"")</f>
        <v/>
      </c>
      <c r="C31" s="622" t="inlineStr">
        <is>
          <t>COD 24</t>
        </is>
      </c>
      <c r="D31" s="415">
        <f t="array" ref="D31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1" s="416" t="n"/>
      <c r="F31" s="418" t="n"/>
      <c r="G31" s="418" t="n"/>
      <c r="H31" s="418" t="n"/>
      <c r="I31" s="602">
        <f>SUM(IF(E31=E$5,4,0),IF(E31&amp;F31=E$5&amp;F$5,1,0),
IF(AND(E31=E$5,F$6&gt;=$D$115),1,0),
IF(AND(F31=E$5,F$6&gt;=$D$115),1,0),
IF(AND(G31=E$5,F$6&gt;=$D$115),1,0),
IF(E31&amp;H31=I$5,1,0),
IF(F31=E$5,2,0),
IF(G31=E$5,1,0),
IF(OR(E31&amp;F31&amp;G31=E$5&amp;F$5&amp;G$5,E31&amp;F31&amp;G31=E$5&amp;G$5&amp;F$5,E31&amp;F31&amp;G31=F$5&amp;E$5&amp;G$5,E31&amp;F31&amp;G31=F$5&amp;G$5&amp;E$5,E31&amp;F31&amp;G31=G$5&amp;E$5&amp;F$5,E31&amp;F31&amp;G31=G$5&amp;F$5&amp;E$5),2,0),IF(AND(E31=E$5,F$6&gt;=$D$129),1,0),IF(AND(F31=E$5,F$6&gt;=$D$129),1,0),IF(AND(G31=E$5,F$6&gt;=$D$129),1,0),IF(E31&amp;H31=H$5,4,0),IF(AND(E31=E$5,F$6&lt;=$D$104),-0.5,0),IF(AND(F31=E$5,F$6&lt;=$D$104),-0.5,0),IF(AND(G31=E$5,F$6&lt;=$D$104),-0.5,0))</f>
        <v/>
      </c>
      <c r="J31" s="416" t="n"/>
      <c r="K31" s="418" t="n"/>
      <c r="L31" s="418" t="n"/>
      <c r="M31" s="418" t="n"/>
      <c r="N31" s="602">
        <f>SUM(IF(J31=J$5,4,0),IF(J31&amp;K31=J$5&amp;K$5,1,0),
IF(AND(J31=J$5,K$6&gt;=$D$115),1,0),
IF(AND(K31=J$5,K$6&gt;=$D$115),1,0),
IF(AND(L31=J$5,K$6&gt;=$D$115),1,0),
IF(J31&amp;M31=N$5,1,0),
IF(K31=J$5,2,0),
IF(L31=J$5,1,0),
IF(OR(J31&amp;K31&amp;L31=J$5&amp;K$5&amp;L$5,J31&amp;K31&amp;L31=J$5&amp;L$5&amp;K$5,J31&amp;K31&amp;L31=K$5&amp;J$5&amp;L$5,J31&amp;K31&amp;L31=K$5&amp;L$5&amp;J$5,J31&amp;K31&amp;L31=L$5&amp;J$5&amp;K$5,J31&amp;K31&amp;L31=L$5&amp;K$5&amp;J$5),2,0),IF(AND(J31=J$5,K$6&gt;=$D$129),1,0),IF(AND(K31=J$5,K$6&gt;=$D$129),1,0),IF(AND(L31=J$5,K$6&gt;=$D$129),1,0),IF(J31&amp;M31=M$5,4,0),IF(AND(J31=J$5,K$6&lt;=$D$104),-0.5,0),IF(AND(K31=J$5,K$6&lt;=$D$104),-0.5,0),IF(AND(L31=J$5,K$6&lt;=$D$104),-0.5,0))</f>
        <v/>
      </c>
      <c r="O31" s="416" t="n"/>
      <c r="P31" s="418" t="n"/>
      <c r="Q31" s="418" t="n"/>
      <c r="R31" s="418" t="n"/>
      <c r="S31" s="602">
        <f>SUM(IF(O31=O$5,4,0),IF(O31&amp;P31=O$5&amp;P$5,1,0),
IF(AND(O31=O$5,P$6&gt;=$D$115),1,0),
IF(AND(P31=O$5,P$6&gt;=$D$115),1,0),
IF(AND(Q31=O$5,P$6&gt;=$D$115),1,0),
IF(O31&amp;R31=S$5,1,0),
IF(P31=O$5,2,0),
IF(Q31=O$5,1,0),
IF(OR(O31&amp;P31&amp;Q31=O$5&amp;P$5&amp;Q$5,O31&amp;P31&amp;Q31=O$5&amp;Q$5&amp;P$5,O31&amp;P31&amp;Q31=P$5&amp;O$5&amp;Q$5,O31&amp;P31&amp;Q31=P$5&amp;Q$5&amp;O$5,O31&amp;P31&amp;Q31=Q$5&amp;O$5&amp;P$5,O31&amp;P31&amp;Q31=Q$5&amp;P$5&amp;O$5),2,0),IF(AND(O31=O$5,P$6&gt;=$D$129),1,0),IF(AND(P31=O$5,P$6&gt;=$D$129),1,0),IF(AND(Q31=O$5,P$6&gt;=$D$129),1,0),IF(O31&amp;R31=R$5,4,0),IF(AND(O31=O$5,P$6&lt;=$D$104),-0.5,0),IF(AND(P31=O$5,P$6&lt;=$D$104),-0.5,0),IF(AND(Q31=O$5,P$6&lt;=$D$104),-0.5,0))</f>
        <v/>
      </c>
      <c r="T31" s="416" t="n"/>
      <c r="U31" s="418" t="n"/>
      <c r="V31" s="418" t="n"/>
      <c r="W31" s="418" t="n"/>
      <c r="X31" s="602">
        <f>SUM(IF(T31=T$5,4,0),IF(T31&amp;U31=T$5&amp;U$5,1,0),
IF(AND(T31=T$5,U$6&gt;=$D$115),1,0),
IF(AND(U31=T$5,U$6&gt;=$D$115),1,0),
IF(AND(V31=T$5,U$6&gt;=$D$115),1,0),
IF(T31&amp;W31=X$5,1,0),
IF(U31=T$5,2,0),
IF(V31=T$5,1,0),
IF(OR(T31&amp;U31&amp;V31=T$5&amp;U$5&amp;V$5,T31&amp;U31&amp;V31=T$5&amp;V$5&amp;U$5,T31&amp;U31&amp;V31=U$5&amp;T$5&amp;V$5,T31&amp;U31&amp;V31=U$5&amp;V$5&amp;T$5,T31&amp;U31&amp;V31=V$5&amp;T$5&amp;U$5,T31&amp;U31&amp;V31=V$5&amp;U$5&amp;T$5),2,0),IF(AND(T31=T$5,U$6&gt;=$D$129),1,0),IF(AND(U31=T$5,U$6&gt;=$D$129),1,0),IF(AND(V31=T$5,U$6&gt;=$D$129),1,0),IF(T31&amp;W31=W$5,4,0),IF(AND(T31=T$5,U$6&lt;=$D$104),-0.5,0),IF(AND(U31=T$5,U$6&lt;=$D$104),-0.5,0),IF(AND(V31=T$5,U$6&lt;=$D$104),-0.5,0))</f>
        <v/>
      </c>
      <c r="Y31" s="416" t="n"/>
      <c r="Z31" s="418" t="n"/>
      <c r="AA31" s="418" t="n"/>
      <c r="AB31" s="418" t="n"/>
      <c r="AC31" s="602">
        <f>SUM(IF(Y31=Y$5,4,0),IF(Y31&amp;Z31=Y$5&amp;Z$5,1,0),
IF(AND(Y31=Y$5,Z$6&gt;=$D$115),1,0),
IF(AND(Z31=Y$5,Z$6&gt;=$D$115),1,0),
IF(AND(AA31=Y$5,Z$6&gt;=$D$115),1,0),
IF(Y31&amp;AB31=AC$5,1,0),
IF(Z31=Y$5,2,0),
IF(AA31=Y$5,1,0),
IF(OR(Y31&amp;Z31&amp;AA31=Y$5&amp;Z$5&amp;AA$5,Y31&amp;Z31&amp;AA31=Y$5&amp;AA$5&amp;Z$5,Y31&amp;Z31&amp;AA31=Z$5&amp;Y$5&amp;AA$5,Y31&amp;Z31&amp;AA31=Z$5&amp;AA$5&amp;Y$5,Y31&amp;Z31&amp;AA31=AA$5&amp;Y$5&amp;Z$5,Y31&amp;Z31&amp;AA31=AA$5&amp;Z$5&amp;Y$5),2,0),IF(AND(Y31=Y$5,Z$6&gt;=$D$129),1,0),IF(AND(Z31=Y$5,Z$6&gt;=$D$129),1,0),IF(AND(AA31=Y$5,Z$6&gt;=$D$129),1,0),IF(Y31&amp;AB31=AB$5,4,0),IF(AND(Y31=Y$5,Z$6&lt;=$D$104),-0.5,0),IF(AND(Z31=Y$5,Z$6&lt;=$D$104),-0.5,0),IF(AND(AA31=Y$5,Z$6&lt;=$D$104),-0.5,0))</f>
        <v/>
      </c>
      <c r="AD31" s="416" t="n"/>
      <c r="AE31" s="418" t="n"/>
      <c r="AF31" s="418" t="n"/>
      <c r="AG31" s="418" t="n"/>
      <c r="AH31" s="602">
        <f>SUM(IF(AD31=AD$5,4,0),IF(AD31&amp;AE31=AD$5&amp;AE$5,1,0),
IF(AND(AD31=AD$5,AE$6&gt;=$D$115),1,0),
IF(AND(AE31=AD$5,AE$6&gt;=$D$115),1,0),
IF(AND(AF31=AD$5,AE$6&gt;=$D$115),1,0),
IF(AD31&amp;AG31=AH$5,1,0),
IF(AE31=AD$5,2,0),
IF(AF31=AD$5,1,0),
IF(OR(AD31&amp;AE31&amp;AF31=AD$5&amp;AE$5&amp;AF$5,AD31&amp;AE31&amp;AF31=AD$5&amp;AF$5&amp;AE$5,AD31&amp;AE31&amp;AF31=AE$5&amp;AD$5&amp;AF$5,AD31&amp;AE31&amp;AF31=AE$5&amp;AF$5&amp;AD$5,AD31&amp;AE31&amp;AF31=AF$5&amp;AD$5&amp;AE$5,AD31&amp;AE31&amp;AF31=AF$5&amp;AE$5&amp;AD$5),2,0),IF(AND(AD31=AD$5,AE$6&gt;=$D$129),1,0),IF(AND(AE31=AD$5,AE$6&gt;=$D$129),1,0),IF(AND(AF31=AD$5,AE$6&gt;=$D$129),1,0),IF(AD31&amp;AG31=AG$5,4,0),IF(AND(AD31=AD$5,AE$6&lt;=$D$104),-0.5,0),IF(AND(AE31=AD$5,AE$6&lt;=$D$104),-0.5,0),IF(AND(AF31=AD$5,AE$6&lt;=$D$104),-0.5,0))</f>
        <v/>
      </c>
      <c r="AI31" s="416" t="n"/>
      <c r="AJ31" s="418" t="n"/>
      <c r="AK31" s="418" t="n"/>
      <c r="AL31" s="418" t="n"/>
      <c r="AM31" s="602">
        <f>SUM(IF(AI31=AI$5,4,0),IF(AI31&amp;AJ31=AI$5&amp;AJ$5,1,0),
IF(AND(AI31=AI$5,AJ$6&gt;=$D$115),1,0),
IF(AND(AJ31=AI$5,AJ$6&gt;=$D$115),1,0),
IF(AND(AK31=AI$5,AJ$6&gt;=$D$115),1,0),
IF(AI31&amp;AL31=AM$5,1,0),
IF(AJ31=AI$5,2,0),
IF(AK31=AI$5,1,0),
IF(OR(AI31&amp;AJ31&amp;AK31=AI$5&amp;AJ$5&amp;AK$5,AI31&amp;AJ31&amp;AK31=AI$5&amp;AK$5&amp;AJ$5,AI31&amp;AJ31&amp;AK31=AJ$5&amp;AI$5&amp;AK$5,AI31&amp;AJ31&amp;AK31=AJ$5&amp;AK$5&amp;AI$5,AI31&amp;AJ31&amp;AK31=AK$5&amp;AI$5&amp;AJ$5,AI31&amp;AJ31&amp;AK31=AK$5&amp;AJ$5&amp;AI$5),2,0),IF(AND(AI31=AI$5,AJ$6&gt;=$D$129),1,0),IF(AND(AJ31=AI$5,AJ$6&gt;=$D$129),1,0),IF(AND(AK31=AI$5,AJ$6&gt;=$D$129),1,0),IF(AI31&amp;AL31=AL$5,4,0),IF(AND(AI31=AI$5,AJ$6&lt;=$D$104),-0.5,0),IF(AND(AJ31=AI$5,AJ$6&lt;=$D$104),-0.5,0),IF(AND(AK31=AI$5,AJ$6&lt;=$D$104),-0.5,0))</f>
        <v/>
      </c>
      <c r="AN31" s="416" t="n"/>
      <c r="AO31" s="418" t="n"/>
      <c r="AP31" s="418" t="n"/>
      <c r="AQ31" s="418" t="n"/>
      <c r="AR31" s="602">
        <f>SUM(IF(AN31=AN$5,4,0),IF(AN31&amp;AO31=AN$5&amp;AO$5,1,0),
IF(AND(AN31=AN$5,AO$6&gt;=$D$115),1,0),
IF(AND(AO31=AN$5,AO$6&gt;=$D$115),1,0),
IF(AND(AP31=AN$5,AO$6&gt;=$D$115),1,0),
IF(AN31&amp;AQ31=AR$5,1,0),
IF(AO31=AN$5,2,0),
IF(AP31=AN$5,1,0),
IF(OR(AN31&amp;AO31&amp;AP31=AN$5&amp;AO$5&amp;AP$5,AN31&amp;AO31&amp;AP31=AN$5&amp;AP$5&amp;AO$5,AN31&amp;AO31&amp;AP31=AO$5&amp;AN$5&amp;AP$5,AN31&amp;AO31&amp;AP31=AO$5&amp;AP$5&amp;AN$5,AN31&amp;AO31&amp;AP31=AP$5&amp;AN$5&amp;AO$5,AN31&amp;AO31&amp;AP31=AP$5&amp;AO$5&amp;AN$5),2,0),IF(AND(AN31=AN$5,AO$6&gt;=$D$129),1,0),IF(AND(AO31=AN$5,AO$6&gt;=$D$129),1,0),IF(AND(AP31=AN$5,AO$6&gt;=$D$129),1,0),IF(AN31&amp;AQ31=AQ$5,4,0),IF(AND(AN31=AN$5,AO$6&lt;=$D$104),-0.5,0),IF(AND(AO31=AN$5,AO$6&lt;=$D$104),-0.5,0),IF(AND(AP31=AN$5,AO$6&lt;=$D$104),-0.5,0))</f>
        <v/>
      </c>
      <c r="AS31" s="416" t="n"/>
      <c r="AT31" s="418" t="n"/>
      <c r="AU31" s="418" t="n"/>
      <c r="AV31" s="418" t="n"/>
      <c r="AW31" s="602">
        <f>SUM(IF(AS31=AS$5,4,0),IF(AS31&amp;AT31=AS$5&amp;AT$5,1,0),
IF(AND(AS31=AS$5,AT$6&gt;=$D$115),1,0),
IF(AND(AT31=AS$5,AT$6&gt;=$D$115),1,0),
IF(AND(AU31=AS$5,AT$6&gt;=$D$115),1,0),
IF(AS31&amp;AV31=AW$5,1,0),
IF(AT31=AS$5,2,0),
IF(AU31=AS$5,1,0),
IF(OR(AS31&amp;AT31&amp;AU31=AS$5&amp;AT$5&amp;AU$5,AS31&amp;AT31&amp;AU31=AS$5&amp;AU$5&amp;AT$5,AS31&amp;AT31&amp;AU31=AT$5&amp;AS$5&amp;AU$5,AS31&amp;AT31&amp;AU31=AT$5&amp;AU$5&amp;AS$5,AS31&amp;AT31&amp;AU31=AU$5&amp;AS$5&amp;AT$5,AS31&amp;AT31&amp;AU31=AU$5&amp;AT$5&amp;AS$5),2,0),IF(AND(AS31=AS$5,AT$6&gt;=$D$129),1,0),IF(AND(AT31=AS$5,AT$6&gt;=$D$129),1,0),IF(AND(AU31=AS$5,AT$6&gt;=$D$129),1,0),IF(AS31&amp;AV31=AV$5,4,0),IF(AND(AS31=AS$5,AT$6&lt;=$D$104),-0.5,0),IF(AND(AT31=AS$5,AT$6&lt;=$D$104),-0.5,0),IF(AND(AU31=AS$5,AT$6&lt;=$D$104),-0.5,0))</f>
        <v/>
      </c>
      <c r="AX31" s="416" t="n"/>
      <c r="AY31" s="418" t="n"/>
      <c r="AZ31" s="418" t="n"/>
      <c r="BA31" s="418" t="n"/>
      <c r="BB31" s="602">
        <f>SUM(IF(AX31=AX$5,4,0),IF(AX31&amp;AY31=AX$5&amp;AY$5,1,0),
IF(AND(AX31=AX$5,AY$6&gt;=$D$115),1,0),
IF(AND(AY31=AX$5,AY$6&gt;=$D$115),1,0),
IF(AND(AZ31=AX$5,AY$6&gt;=$D$115),1,0),
IF(AX31&amp;BA31=BB$5,1,0),
IF(AY31=AX$5,2,0),
IF(AZ31=AX$5,1,0),
IF(OR(AX31&amp;AY31&amp;AZ31=AX$5&amp;AY$5&amp;AZ$5,AX31&amp;AY31&amp;AZ31=AX$5&amp;AZ$5&amp;AY$5,AX31&amp;AY31&amp;AZ31=AY$5&amp;AX$5&amp;AZ$5,AX31&amp;AY31&amp;AZ31=AY$5&amp;AZ$5&amp;AX$5,AX31&amp;AY31&amp;AZ31=AZ$5&amp;AX$5&amp;AY$5,AX31&amp;AY31&amp;AZ31=AZ$5&amp;AY$5&amp;AX$5),2,0),IF(AND(AX31=AX$5,AY$6&gt;=$D$129),1,0),IF(AND(AY31=AX$5,AY$6&gt;=$D$129),1,0),IF(AND(AZ31=AX$5,AY$6&gt;=$D$129),1,0),IF(AX31&amp;BA31=BA$5,4,0),IF(AND(AX31=AX$5,AY$6&lt;=$D$104),-0.5,0),IF(AND(AY31=AX$5,AY$6&lt;=$D$104),-0.5,0),IF(AND(AZ31=AX$5,AY$6&lt;=$D$104),-0.5,0))</f>
        <v/>
      </c>
      <c r="BC31" s="416" t="n"/>
      <c r="BD31" s="418" t="n"/>
      <c r="BE31" s="418" t="n"/>
      <c r="BF31" s="418" t="n"/>
      <c r="BG31" s="602">
        <f>SUM(IF(BC31=BC$5,4,0),IF(BC31&amp;BD31=BC$5&amp;BD$5,1,0),
IF(AND(BC31=BC$5,BD$6&gt;=$D$115),1,0),
IF(AND(BD31=BC$5,BD$6&gt;=$D$115),1,0),
IF(AND(BE31=BC$5,BD$6&gt;=$D$115),1,0),
IF(BC31&amp;BF31=BG$5,1,0),
IF(BD31=BC$5,2,0),
IF(BE31=BC$5,1,0),
IF(OR(BC31&amp;BD31&amp;BE31=BC$5&amp;BD$5&amp;BE$5,BC31&amp;BD31&amp;BE31=BC$5&amp;BE$5&amp;BD$5,BC31&amp;BD31&amp;BE31=BD$5&amp;BC$5&amp;BE$5,BC31&amp;BD31&amp;BE31=BD$5&amp;BE$5&amp;BC$5,BC31&amp;BD31&amp;BE31=BE$5&amp;BC$5&amp;BD$5,BC31&amp;BD31&amp;BE31=BE$5&amp;BD$5&amp;BC$5),2,0),IF(AND(BC31=BC$5,BD$6&gt;=$D$129),1,0),IF(AND(BD31=BC$5,BD$6&gt;=$D$129),1,0),IF(AND(BE31=BC$5,BD$6&gt;=$D$129),1,0),IF(BC31&amp;BF31=BF$5,4,0),IF(AND(BC31=BC$5,BD$6&lt;=$D$104),-0.5,0),IF(AND(BD31=BC$5,BD$6&lt;=$D$104),-0.5,0),IF(AND(BE31=BC$5,BD$6&lt;=$D$104),-0.5,0))</f>
        <v/>
      </c>
      <c r="BH31" s="416" t="n"/>
      <c r="BI31" s="418" t="n"/>
      <c r="BJ31" s="418" t="n"/>
      <c r="BK31" s="418" t="n"/>
      <c r="BL31" s="602">
        <f>SUM(IF(BH31=BH$5,4,0),IF(BH31&amp;BI31=BH$5&amp;BI$5,1,0),
IF(AND(BH31=BH$5,BI$6&gt;=$D$115),1,0),
IF(AND(BI31=BH$5,BI$6&gt;=$D$115),1,0),
IF(AND(BJ31=BH$5,BI$6&gt;=$D$115),1,0),
IF(BH31&amp;BK31=BL$5,1,0),
IF(BI31=BH$5,2,0),
IF(BJ31=BH$5,1,0),
IF(OR(BH31&amp;BI31&amp;BJ31=BH$5&amp;BI$5&amp;BJ$5,BH31&amp;BI31&amp;BJ31=BH$5&amp;BJ$5&amp;BI$5,BH31&amp;BI31&amp;BJ31=BI$5&amp;BH$5&amp;BJ$5,BH31&amp;BI31&amp;BJ31=BI$5&amp;BJ$5&amp;BH$5,BH31&amp;BI31&amp;BJ31=BJ$5&amp;BH$5&amp;BI$5,BH31&amp;BI31&amp;BJ31=BJ$5&amp;BI$5&amp;BH$5),2,0),IF(AND(BH31=BH$5,BI$6&gt;=$D$129),1,0),IF(AND(BI31=BH$5,BI$6&gt;=$D$129),1,0),IF(AND(BJ31=BH$5,BI$6&gt;=$D$129),1,0),IF(BH31&amp;BK31=BK$5,4,0),IF(AND(BH31=BH$5,BI$6&lt;=$D$104),-0.5,0),IF(AND(BI31=BH$5,BI$6&lt;=$D$104),-0.5,0),IF(AND(BJ31=BH$5,BI$6&lt;=$D$104),-0.5,0))</f>
        <v/>
      </c>
      <c r="BM31" s="416" t="n"/>
      <c r="BN31" s="418" t="n"/>
      <c r="BO31" s="418" t="n"/>
      <c r="BP31" s="418" t="n"/>
      <c r="BQ31" s="602">
        <f>SUM(IF(BM31=BM$5,4,0),IF(BM31&amp;BN31=BM$5&amp;BN$5,1,0),
IF(AND(BM31=BM$5,BN$6&gt;=$D$115),1,0),
IF(AND(BN31=BM$5,BN$6&gt;=$D$115),1,0),
IF(AND(BO31=BM$5,BN$6&gt;=$D$115),1,0),
IF(BM31&amp;BP31=BQ$5,1,0),
IF(BN31=BM$5,2,0),
IF(BO31=BM$5,1,0),
IF(OR(BM31&amp;BN31&amp;BO31=BM$5&amp;BN$5&amp;BO$5,BM31&amp;BN31&amp;BO31=BM$5&amp;BO$5&amp;BN$5,BM31&amp;BN31&amp;BO31=BN$5&amp;BM$5&amp;BO$5,BM31&amp;BN31&amp;BO31=BN$5&amp;BO$5&amp;BM$5,BM31&amp;BN31&amp;BO31=BO$5&amp;BM$5&amp;BN$5,BM31&amp;BN31&amp;BO31=BO$5&amp;BN$5&amp;BM$5),2,0),IF(AND(BM31=BM$5,BN$6&gt;=$D$129),1,0),IF(AND(BN31=BM$5,BN$6&gt;=$D$129),1,0),IF(AND(BO31=BM$5,BN$6&gt;=$D$129),1,0),IF(BM31&amp;BP31=BP$5,4,0),IF(AND(BM31=BM$5,BN$6&lt;=$D$104),-0.5,0),IF(AND(BN31=BM$5,BN$6&lt;=$D$104),-0.5,0),IF(AND(BO31=BM$5,BN$6&lt;=$D$104),-0.5,0))</f>
        <v/>
      </c>
      <c r="BR31" s="416" t="n"/>
      <c r="BS31" s="418" t="n"/>
      <c r="BT31" s="418" t="n"/>
      <c r="BU31" s="418" t="n"/>
      <c r="BV31" s="602">
        <f>SUM(IF(BR31=BR$5,4,0),IF(BR31&amp;BS31=BR$5&amp;BS$5,1,0),
IF(AND(BR31=BR$5,BS$6&gt;=$D$115),1,0),
IF(AND(BS31=BR$5,BS$6&gt;=$D$115),1,0),
IF(AND(BT31=BR$5,BS$6&gt;=$D$115),1,0),
IF(BR31&amp;BU31=BV$5,1,0),
IF(BS31=BR$5,2,0),
IF(BT31=BR$5,1,0),
IF(OR(BR31&amp;BS31&amp;BT31=BR$5&amp;BS$5&amp;BT$5,BR31&amp;BS31&amp;BT31=BR$5&amp;BT$5&amp;BS$5,BR31&amp;BS31&amp;BT31=BS$5&amp;BR$5&amp;BT$5,BR31&amp;BS31&amp;BT31=BS$5&amp;BT$5&amp;BR$5,BR31&amp;BS31&amp;BT31=BT$5&amp;BR$5&amp;BS$5,BR31&amp;BS31&amp;BT31=BT$5&amp;BS$5&amp;BR$5),2,0),IF(AND(BR31=BR$5,BS$6&gt;=$D$129),1,0),IF(AND(BS31=BR$5,BS$6&gt;=$D$129),1,0),IF(AND(BT31=BR$5,BS$6&gt;=$D$129),1,0),IF(BR31&amp;BU31=BU$5,4,0),IF(AND(BR31=BR$5,BS$6&lt;=$D$104),-0.5,0),IF(AND(BS31=BR$5,BS$6&lt;=$D$104),-0.5,0),IF(AND(BT31=BR$5,BS$6&lt;=$D$104),-0.5,0))</f>
        <v/>
      </c>
      <c r="BW31" s="416" t="n"/>
      <c r="BX31" s="418" t="n"/>
      <c r="BY31" s="418" t="n"/>
      <c r="BZ31" s="418" t="n"/>
      <c r="CA31" s="602">
        <f>SUM(IF(BW31=BW$5,4,0),IF(BW31&amp;BX31=BW$5&amp;BX$5,1,0),
IF(AND(BW31=BW$5,BX$6&gt;=$D$115),1,0),
IF(AND(BX31=BW$5,BX$6&gt;=$D$115),1,0),
IF(AND(BY31=BW$5,BX$6&gt;=$D$115),1,0),
IF(BW31&amp;BZ31=CA$5,1,0),
IF(BX31=BW$5,2,0),
IF(BY31=BW$5,1,0),
IF(OR(BW31&amp;BX31&amp;BY31=BW$5&amp;BX$5&amp;BY$5,BW31&amp;BX31&amp;BY31=BW$5&amp;BY$5&amp;BX$5,BW31&amp;BX31&amp;BY31=BX$5&amp;BW$5&amp;BY$5,BW31&amp;BX31&amp;BY31=BX$5&amp;BY$5&amp;BW$5,BW31&amp;BX31&amp;BY31=BY$5&amp;BW$5&amp;BX$5,BW31&amp;BX31&amp;BY31=BY$5&amp;BX$5&amp;BW$5),2,0),IF(AND(BW31=BW$5,BX$6&gt;=$D$129),1,0),IF(AND(BX31=BW$5,BX$6&gt;=$D$129),1,0),IF(AND(BY31=BW$5,BX$6&gt;=$D$129),1,0),IF(BW31&amp;BZ31=BZ$5,4,0),IF(AND(BW31=BW$5,BX$6&lt;=$D$104),-0.5,0),IF(AND(BX31=BW$5,BX$6&lt;=$D$104),-0.5,0),IF(AND(BY31=BW$5,BX$6&lt;=$D$104),-0.5,0))</f>
        <v/>
      </c>
      <c r="CB31" s="416" t="n"/>
      <c r="CC31" s="418" t="n"/>
      <c r="CD31" s="418" t="n"/>
      <c r="CE31" s="418" t="n"/>
      <c r="CF31" s="602">
        <f>SUM(IF(CB31=CB$5,4,0),IF(CB31&amp;CC31=CB$5&amp;CC$5,1,0),
IF(AND(CB31=CB$5,CC$6&gt;=$D$115),1,0),
IF(AND(CC31=CB$5,CC$6&gt;=$D$115),1,0),
IF(AND(CD31=CB$5,CC$6&gt;=$D$115),1,0),
IF(CB31&amp;CE31=CF$5,1,0),
IF(CC31=CB$5,2,0),
IF(CD31=CB$5,1,0),
IF(OR(CB31&amp;CC31&amp;CD31=CB$5&amp;CC$5&amp;CD$5,CB31&amp;CC31&amp;CD31=CB$5&amp;CD$5&amp;CC$5,CB31&amp;CC31&amp;CD31=CC$5&amp;CB$5&amp;CD$5,CB31&amp;CC31&amp;CD31=CC$5&amp;CD$5&amp;CB$5,CB31&amp;CC31&amp;CD31=CD$5&amp;CB$5&amp;CC$5,CB31&amp;CC31&amp;CD31=CD$5&amp;CC$5&amp;CB$5),2,0),IF(AND(CB31=CB$5,CC$6&gt;=$D$129),1,0),IF(AND(CC31=CB$5,CC$6&gt;=$D$129),1,0),IF(AND(CD31=CB$5,CC$6&gt;=$D$129),1,0),IF(CB31&amp;CE31=CE$5,4,0),IF(AND(CB31=CB$5,CC$6&lt;=$D$104),-0.5,0),IF(AND(CC31=CB$5,CC$6&lt;=$D$104),-0.5,0),IF(AND(CD31=CB$5,CC$6&lt;=$D$104),-0.5,0))</f>
        <v/>
      </c>
      <c r="CG31" s="164">
        <f>IF(SEMANA29[[#This Row],[1]]="",0,$B$4)</f>
        <v/>
      </c>
      <c r="CH31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1" s="166">
        <f>IF(SEMANA29[[#This Row],[Columna14]]=0,0,(CH31/CG31))</f>
        <v/>
      </c>
      <c r="CJ31" s="165">
        <f>IF(SEMANA29[[#This Row],[1]]="",0,$B$4)</f>
        <v/>
      </c>
      <c r="CK31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1" s="166">
        <f>IF(SEMANA29[[#This Row],[Columna14]]=0,0,(CK31/CJ31))</f>
        <v/>
      </c>
      <c r="CM31" s="164">
        <f>IF(SEMANA29[[#This Row],[1]]="",0,$B$4)</f>
        <v/>
      </c>
      <c r="CN31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1" s="166">
        <f>IF(SEMANA29[[#This Row],[Columna14]]=0,0,(CN31/CM31))</f>
        <v/>
      </c>
      <c r="CP31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1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Row],[Columna25]],$AX$5,BA31,"SF")+COUNTIFS(SEMANA29[[#This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1" s="166">
        <f>IFERROR(IF(SEMANA29[[#This Row],[Columna14]]=0,0,(CQ31/CP31)),0)</f>
        <v/>
      </c>
      <c r="CS31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1" s="95">
        <f>_xlfn.XLOOKUP(SEMANA29[[#This Row],[COD]],SEMANA2[COD],SEMANA2[Columna33])</f>
        <v/>
      </c>
      <c r="CU31" s="604">
        <f>SUM(CS31,CT31)</f>
        <v/>
      </c>
      <c r="CV31" s="450">
        <f>IF(SEMANA29[[#This Row],[TIPO]]="PREMIO",$O$3,"0,00")</f>
        <v/>
      </c>
      <c r="CW31" s="576" t="n"/>
      <c r="CY31" s="392">
        <f>IF(CZ31="","",$CZ$25)</f>
        <v/>
      </c>
      <c r="CZ31" s="392" t="n"/>
      <c r="DA31" s="392">
        <f t="array" ref="DA31">IF(CZ31="", "", IF((INDEX(E$8:CE$57, MATCH(CZ31, C$8:C$57, 0), ($CZ$25-1)*5 + 1) &amp; "") = (INDEX(E$5:CE$5, 1, ($CZ$25-1)*5 + 1) &amp; ""), 1, IF((INDEX(E$8:CE$57, MATCH(CZ31, C$8:C$57, 0), ($CZ$25-1)*5 + 2) &amp; "") = (INDEX(E$5:CE$5, 1, ($CZ$25-1)*5 + 1) &amp; ""), 2, IF((INDEX(E$8:CE$57, MATCH(CZ31, C$8:C$57, 0), ($CZ$25-1)*5 + 3) &amp; "") = (INDEX(E$5:CE$5, 1, ($CZ$25-1)*5 + 1) &amp; ""), 3, ""))))</f>
        <v/>
      </c>
      <c r="DB31" s="605">
        <f>SEMANA29[[#This Row],[COD]]</f>
        <v/>
      </c>
      <c r="DC31" s="395">
        <f t="array" ref="DC31">IFERROR(IF(AND(INDEX($E$8:$CE$57, MATCH($C31, $C$8:$C$57, 0), (COLUMNS($DC31:DC31)-1)*5 + 1) = INDEX($E$5:$CE$5, 1, (COLUMNS($DC31:DC31)-1)*5 + 1), INDEX($E$8:$CE$57, MATCH($C31, $C$8:$C$57, 0), (COLUMNS($DC31:DC31)-1)*5 + 4) = "F"), INDEX($CZ$8:$CZ$23, COLUMNS($DC31:DC31)), "0"), "")</f>
        <v/>
      </c>
      <c r="DD31" s="395">
        <f t="array" ref="DD31">IFERROR(IF(AND(INDEX($E$8:$CE$57, MATCH($C31, $C$8:$C$57, 0), (COLUMNS($DC31:DD31)-1)*5 + 1) = INDEX($E$5:$CE$5, 1, (COLUMNS($DC31:DD31)-1)*5 + 1), INDEX($E$8:$CE$57, MATCH($C31, $C$8:$C$57, 0), (COLUMNS($DC31:DD31)-1)*5 + 4) = "F"), INDEX($CZ$8:$CZ$23, COLUMNS($DC31:DD31)), "0"), "")</f>
        <v/>
      </c>
      <c r="DE31" s="395">
        <f t="array" ref="DE31">IFERROR(IF(AND(INDEX($E$8:$CE$57, MATCH($C31, $C$8:$C$57, 0), (COLUMNS($DC31:DE31)-1)*5 + 1) = INDEX($E$5:$CE$5, 1, (COLUMNS($DC31:DE31)-1)*5 + 1), INDEX($E$8:$CE$57, MATCH($C31, $C$8:$C$57, 0), (COLUMNS($DC31:DE31)-1)*5 + 4) = "F"), INDEX($CZ$8:$CZ$23, COLUMNS($DC31:DE31)), "0"), "")</f>
        <v/>
      </c>
      <c r="DF31" s="395">
        <f t="array" ref="DF31">IFERROR(IF(AND(INDEX($E$8:$CE$57, MATCH($C31, $C$8:$C$57, 0), (COLUMNS($DC31:DF31)-1)*5 + 1) = INDEX($E$5:$CE$5, 1, (COLUMNS($DC31:DF31)-1)*5 + 1), INDEX($E$8:$CE$57, MATCH($C31, $C$8:$C$57, 0), (COLUMNS($DC31:DF31)-1)*5 + 4) = "F"), INDEX($CZ$8:$CZ$23, COLUMNS($DC31:DF31)), "0"), "")</f>
        <v/>
      </c>
      <c r="DG31" s="395">
        <f t="array" ref="DG31">IFERROR(IF(AND(INDEX($E$8:$CE$57, MATCH($C31, $C$8:$C$57, 0), (COLUMNS($DC31:DG31)-1)*5 + 1) = INDEX($E$5:$CE$5, 1, (COLUMNS($DC31:DG31)-1)*5 + 1), INDEX($E$8:$CE$57, MATCH($C31, $C$8:$C$57, 0), (COLUMNS($DC31:DG31)-1)*5 + 4) = "F"), INDEX($CZ$8:$CZ$23, COLUMNS($DC31:DG31)), "0"), "")</f>
        <v/>
      </c>
      <c r="DH31" s="395">
        <f t="array" ref="DH31">IFERROR(IF(AND(INDEX($E$8:$CE$57, MATCH($C31, $C$8:$C$57, 0), (COLUMNS($DC31:DH31)-1)*5 + 1) = INDEX($E$5:$CE$5, 1, (COLUMNS($DC31:DH31)-1)*5 + 1), INDEX($E$8:$CE$57, MATCH($C31, $C$8:$C$57, 0), (COLUMNS($DC31:DH31)-1)*5 + 4) = "F"), INDEX($CZ$8:$CZ$23, COLUMNS($DC31:DH31)), "0"), "")</f>
        <v/>
      </c>
      <c r="DI31" s="395">
        <f t="array" ref="DI31">IFERROR(IF(AND(INDEX($E$8:$CE$57, MATCH($C31, $C$8:$C$57, 0), (COLUMNS($DC31:DI31)-1)*5 + 1) = INDEX($E$5:$CE$5, 1, (COLUMNS($DC31:DI31)-1)*5 + 1), INDEX($E$8:$CE$57, MATCH($C31, $C$8:$C$57, 0), (COLUMNS($DC31:DI31)-1)*5 + 4) = "F"), INDEX($CZ$8:$CZ$23, COLUMNS($DC31:DI31)), "0"), "")</f>
        <v/>
      </c>
      <c r="DJ31" s="395">
        <f t="array" ref="DJ31">IFERROR(IF(AND(INDEX($E$8:$CE$57, MATCH($C31, $C$8:$C$57, 0), (COLUMNS($DC31:DJ31)-1)*5 + 1) = INDEX($E$5:$CE$5, 1, (COLUMNS($DC31:DJ31)-1)*5 + 1), INDEX($E$8:$CE$57, MATCH($C31, $C$8:$C$57, 0), (COLUMNS($DC31:DJ31)-1)*5 + 4) = "F"), INDEX($CZ$8:$CZ$23, COLUMNS($DC31:DJ31)), "0"), "")</f>
        <v/>
      </c>
      <c r="DK31" s="395">
        <f t="array" ref="DK31">IFERROR(IF(AND(INDEX($E$8:$CE$57, MATCH($C31, $C$8:$C$57, 0), (COLUMNS($DC31:DK31)-1)*5 + 1) = INDEX($E$5:$CE$5, 1, (COLUMNS($DC31:DK31)-1)*5 + 1), INDEX($E$8:$CE$57, MATCH($C31, $C$8:$C$57, 0), (COLUMNS($DC31:DK31)-1)*5 + 4) = "F"), INDEX($CZ$8:$CZ$23, COLUMNS($DC31:DK31)), "0"), "")</f>
        <v/>
      </c>
      <c r="DL31" s="395">
        <f t="array" ref="DL31">IFERROR(IF(AND(INDEX($E$8:$CE$57, MATCH($C31, $C$8:$C$57, 0), (COLUMNS($DC31:DL31)-1)*5 + 1) = INDEX($E$5:$CE$5, 1, (COLUMNS($DC31:DL31)-1)*5 + 1), INDEX($E$8:$CE$57, MATCH($C31, $C$8:$C$57, 0), (COLUMNS($DC31:DL31)-1)*5 + 4) = "F"), INDEX($CZ$8:$CZ$23, COLUMNS($DC31:DL31)), "0"), "")</f>
        <v/>
      </c>
      <c r="DM31" s="395">
        <f t="array" ref="DM31">IFERROR(IF(AND(INDEX($E$8:$CE$57, MATCH($C31, $C$8:$C$57, 0), (COLUMNS($DC31:DM31)-1)*5 + 1) = INDEX($E$5:$CE$5, 1, (COLUMNS($DC31:DM31)-1)*5 + 1), INDEX($E$8:$CE$57, MATCH($C31, $C$8:$C$57, 0), (COLUMNS($DC31:DM31)-1)*5 + 4) = "F"), INDEX($CZ$8:$CZ$23, COLUMNS($DC31:DM31)), "0"), "")</f>
        <v/>
      </c>
      <c r="DN31" s="395">
        <f t="array" ref="DN31">IFERROR(IF(AND(INDEX($E$8:$CE$57, MATCH($C31, $C$8:$C$57, 0), (COLUMNS($DC31:DN31)-1)*5 + 1) = INDEX($E$5:$CE$5, 1, (COLUMNS($DC31:DN31)-1)*5 + 1), INDEX($E$8:$CE$57, MATCH($C31, $C$8:$C$57, 0), (COLUMNS($DC31:DN31)-1)*5 + 4) = "F"), INDEX($CZ$8:$CZ$23, COLUMNS($DC31:DN31)), "0"), "")</f>
        <v/>
      </c>
      <c r="DO31" s="395">
        <f t="array" ref="DO31">IFERROR(IF(AND(INDEX($E$8:$CE$57, MATCH($C31, $C$8:$C$57, 0), (COLUMNS($DC31:DO31)-1)*5 + 1) = INDEX($E$5:$CE$5, 1, (COLUMNS($DC31:DO31)-1)*5 + 1), INDEX($E$8:$CE$57, MATCH($C31, $C$8:$C$57, 0), (COLUMNS($DC31:DO31)-1)*5 + 4) = "F"), INDEX($CZ$8:$CZ$23, COLUMNS($DC31:DO31)), "0"), "")</f>
        <v/>
      </c>
      <c r="DP31" s="395">
        <f t="array" ref="DP31">IFERROR(IF(AND(INDEX($E$8:$CE$57, MATCH($C31, $C$8:$C$57, 0), (COLUMNS($DC31:DP31)-1)*5 + 1) = INDEX($E$5:$CE$5, 1, (COLUMNS($DC31:DP31)-1)*5 + 1), INDEX($E$8:$CE$57, MATCH($C31, $C$8:$C$57, 0), (COLUMNS($DC31:DP31)-1)*5 + 4) = "F"), INDEX($CZ$8:$CZ$23, COLUMNS($DC31:DP31)), "0"), "")</f>
        <v/>
      </c>
      <c r="DQ31" s="395">
        <f t="array" ref="DQ31">IFERROR(IF(AND(INDEX($E$8:$CE$57, MATCH($C31, $C$8:$C$57, 0), (COLUMNS($DC31:DQ31)-1)*5 + 1) = INDEX($E$5:$CE$5, 1, (COLUMNS($DC31:DQ31)-1)*5 + 1), INDEX($E$8:$CE$57, MATCH($C31, $C$8:$C$57, 0), (COLUMNS($DC31:DQ31)-1)*5 + 4) = "F"), INDEX($CZ$8:$CZ$23, COLUMNS($DC31:DQ31)), "0"), "")</f>
        <v/>
      </c>
      <c r="DR31" s="395">
        <f t="array" ref="DR31">IFERROR(IF(AND(INDEX($E$8:$CE$57, MATCH($C31, $C$8:$C$57, 0), (COLUMNS($DC31:DR31)-1)*5 + 1) = INDEX($E$5:$CE$5, 1, (COLUMNS($DC31:DR31)-1)*5 + 1), INDEX($E$8:$CE$57, MATCH($C31, $C$8:$C$57, 0), (COLUMNS($DC31:DR31)-1)*5 + 4) = "F"), INDEX($CZ$8:$CZ$23, COLUMNS($DC31:DR31)), "0"), "")</f>
        <v/>
      </c>
      <c r="DT31" s="605">
        <f>SEMANA29[[#This Row],[COD]]</f>
        <v/>
      </c>
      <c r="DU31" s="395">
        <f t="array" ref="DU31">IFERROR(IF(AND(INDEX($E$8:$CE$57, MATCH($C31, $C$8:$C$57, 0), (COLUMNS($DU31:DU31)-1)*5 + 1) = INDEX($E$5:$CE$5, 1, (COLUMNS($DU31:DU31)-1)*5 + 1), INDEX($E$8:$CE$57, MATCH($C31, $C$8:$C$57, 0), (COLUMNS($DU31:DU31)-1)*5 + 4) = "SF"), INDEX($CZ$8:$CZ$23, COLUMNS($DU31:DU31)), "0"), "")</f>
        <v/>
      </c>
      <c r="DV31" s="395">
        <f t="array" ref="DV31">IFERROR(IF(AND(INDEX($E$8:$CE$57, MATCH($C31, $C$8:$C$57, 0), (COLUMNS($DU31:DV31)-1)*5 + 1) = INDEX($E$5:$CE$5, 1, (COLUMNS($DU31:DV31)-1)*5 + 1), INDEX($E$8:$CE$57, MATCH($C31, $C$8:$C$57, 0), (COLUMNS($DU31:DV31)-1)*5 + 4) = "SF"), INDEX($CZ$8:$CZ$23, COLUMNS($DU31:DV31)), "0"), "")</f>
        <v/>
      </c>
      <c r="DW31" s="395">
        <f t="array" ref="DW31">IFERROR(IF(AND(INDEX($E$8:$CE$57, MATCH($C31, $C$8:$C$57, 0), (COLUMNS($DU31:DW31)-1)*5 + 1) = INDEX($E$5:$CE$5, 1, (COLUMNS($DU31:DW31)-1)*5 + 1), INDEX($E$8:$CE$57, MATCH($C31, $C$8:$C$57, 0), (COLUMNS($DU31:DW31)-1)*5 + 4) = "SF"), INDEX($CZ$8:$CZ$23, COLUMNS($DU31:DW31)), "0"), "")</f>
        <v/>
      </c>
      <c r="DX31" s="395">
        <f t="array" ref="DX31">IFERROR(IF(AND(INDEX($E$8:$CE$57, MATCH($C31, $C$8:$C$57, 0), (COLUMNS($DU31:DX31)-1)*5 + 1) = INDEX($E$5:$CE$5, 1, (COLUMNS($DU31:DX31)-1)*5 + 1), INDEX($E$8:$CE$57, MATCH($C31, $C$8:$C$57, 0), (COLUMNS($DU31:DX31)-1)*5 + 4) = "SF"), INDEX($CZ$8:$CZ$23, COLUMNS($DU31:DX31)), "0"), "")</f>
        <v/>
      </c>
      <c r="DY31" s="395">
        <f t="array" ref="DY31">IFERROR(IF(AND(INDEX($E$8:$CE$57, MATCH($C31, $C$8:$C$57, 0), (COLUMNS($DU31:DY31)-1)*5 + 1) = INDEX($E$5:$CE$5, 1, (COLUMNS($DU31:DY31)-1)*5 + 1), INDEX($E$8:$CE$57, MATCH($C31, $C$8:$C$57, 0), (COLUMNS($DU31:DY31)-1)*5 + 4) = "SF"), INDEX($CZ$8:$CZ$23, COLUMNS($DU31:DY31)), "0"), "")</f>
        <v/>
      </c>
      <c r="DZ31" s="395">
        <f t="array" ref="DZ31">IFERROR(IF(AND(INDEX($E$8:$CE$57, MATCH($C31, $C$8:$C$57, 0), (COLUMNS($DU31:DZ31)-1)*5 + 1) = INDEX($E$5:$CE$5, 1, (COLUMNS($DU31:DZ31)-1)*5 + 1), INDEX($E$8:$CE$57, MATCH($C31, $C$8:$C$57, 0), (COLUMNS($DU31:DZ31)-1)*5 + 4) = "SF"), INDEX($CZ$8:$CZ$23, COLUMNS($DU31:DZ31)), "0"), "")</f>
        <v/>
      </c>
      <c r="EA31" s="395">
        <f t="array" ref="EA31">IFERROR(IF(AND(INDEX($E$8:$CE$57, MATCH($C31, $C$8:$C$57, 0), (COLUMNS($DU31:EA31)-1)*5 + 1) = INDEX($E$5:$CE$5, 1, (COLUMNS($DU31:EA31)-1)*5 + 1), INDEX($E$8:$CE$57, MATCH($C31, $C$8:$C$57, 0), (COLUMNS($DU31:EA31)-1)*5 + 4) = "SF"), INDEX($CZ$8:$CZ$23, COLUMNS($DU31:EA31)), "0"), "")</f>
        <v/>
      </c>
      <c r="EB31" s="395">
        <f t="array" ref="EB31">IFERROR(IF(AND(INDEX($E$8:$CE$57, MATCH($C31, $C$8:$C$57, 0), (COLUMNS($DU31:EB31)-1)*5 + 1) = INDEX($E$5:$CE$5, 1, (COLUMNS($DU31:EB31)-1)*5 + 1), INDEX($E$8:$CE$57, MATCH($C31, $C$8:$C$57, 0), (COLUMNS($DU31:EB31)-1)*5 + 4) = "SF"), INDEX($CZ$8:$CZ$23, COLUMNS($DU31:EB31)), "0"), "")</f>
        <v/>
      </c>
      <c r="EC31" s="395">
        <f t="array" ref="EC31">IFERROR(IF(AND(INDEX($E$8:$CE$57, MATCH($C31, $C$8:$C$57, 0), (COLUMNS($DU31:EC31)-1)*5 + 1) = INDEX($E$5:$CE$5, 1, (COLUMNS($DU31:EC31)-1)*5 + 1), INDEX($E$8:$CE$57, MATCH($C31, $C$8:$C$57, 0), (COLUMNS($DU31:EC31)-1)*5 + 4) = "SF"), INDEX($CZ$8:$CZ$23, COLUMNS($DU31:EC31)), "0"), "")</f>
        <v/>
      </c>
      <c r="ED31" s="395">
        <f t="array" ref="ED31">IFERROR(IF(AND(INDEX($E$8:$CE$57, MATCH($C31, $C$8:$C$57, 0), (COLUMNS($DU31:ED31)-1)*5 + 1) = INDEX($E$5:$CE$5, 1, (COLUMNS($DU31:ED31)-1)*5 + 1), INDEX($E$8:$CE$57, MATCH($C31, $C$8:$C$57, 0), (COLUMNS($DU31:ED31)-1)*5 + 4) = "SF"), INDEX($CZ$8:$CZ$23, COLUMNS($DU31:ED31)), "0"), "")</f>
        <v/>
      </c>
      <c r="EE31" s="395">
        <f t="array" ref="EE31">IFERROR(IF(AND(INDEX($E$8:$CE$57, MATCH($C31, $C$8:$C$57, 0), (COLUMNS($DU31:EE31)-1)*5 + 1) = INDEX($E$5:$CE$5, 1, (COLUMNS($DU31:EE31)-1)*5 + 1), INDEX($E$8:$CE$57, MATCH($C31, $C$8:$C$57, 0), (COLUMNS($DU31:EE31)-1)*5 + 4) = "SF"), INDEX($CZ$8:$CZ$23, COLUMNS($DU31:EE31)), "0"), "")</f>
        <v/>
      </c>
      <c r="EF31" s="395">
        <f t="array" ref="EF31">IFERROR(IF(AND(INDEX($E$8:$CE$57, MATCH($C31, $C$8:$C$57, 0), (COLUMNS($DU31:EF31)-1)*5 + 1) = INDEX($E$5:$CE$5, 1, (COLUMNS($DU31:EF31)-1)*5 + 1), INDEX($E$8:$CE$57, MATCH($C31, $C$8:$C$57, 0), (COLUMNS($DU31:EF31)-1)*5 + 4) = "SF"), INDEX($CZ$8:$CZ$23, COLUMNS($DU31:EF31)), "0"), "")</f>
        <v/>
      </c>
      <c r="EG31" s="395">
        <f t="array" ref="EG31">IFERROR(IF(AND(INDEX($E$8:$CE$57, MATCH($C31, $C$8:$C$57, 0), (COLUMNS($DU31:EG31)-1)*5 + 1) = INDEX($E$5:$CE$5, 1, (COLUMNS($DU31:EG31)-1)*5 + 1), INDEX($E$8:$CE$57, MATCH($C31, $C$8:$C$57, 0), (COLUMNS($DU31:EG31)-1)*5 + 4) = "SF"), INDEX($CZ$8:$CZ$23, COLUMNS($DU31:EG31)), "0"), "")</f>
        <v/>
      </c>
      <c r="EH31" s="395">
        <f t="array" ref="EH31">IFERROR(IF(AND(INDEX($E$8:$CE$57, MATCH($C31, $C$8:$C$57, 0), (COLUMNS($DU31:EH31)-1)*5 + 1) = INDEX($E$5:$CE$5, 1, (COLUMNS($DU31:EH31)-1)*5 + 1), INDEX($E$8:$CE$57, MATCH($C31, $C$8:$C$57, 0), (COLUMNS($DU31:EH31)-1)*5 + 4) = "SF"), INDEX($CZ$8:$CZ$23, COLUMNS($DU31:EH31)), "0"), "")</f>
        <v/>
      </c>
      <c r="EI31" s="395">
        <f t="array" ref="EI31">IFERROR(IF(AND(INDEX($E$8:$CE$57, MATCH($C31, $C$8:$C$57, 0), (COLUMNS($DU31:EI31)-1)*5 + 1) = INDEX($E$5:$CE$5, 1, (COLUMNS($DU31:EI31)-1)*5 + 1), INDEX($E$8:$CE$57, MATCH($C31, $C$8:$C$57, 0), (COLUMNS($DU31:EI31)-1)*5 + 4) = "SF"), INDEX($CZ$8:$CZ$23, COLUMNS($DU31:EI31)), "0"), "")</f>
        <v/>
      </c>
      <c r="EJ31" s="395">
        <f t="array" ref="EJ31">IFERROR(IF(AND(INDEX($E$8:$CE$57, MATCH($C31, $C$8:$C$57, 0), (COLUMNS($DU31:EJ31)-1)*5 + 1) = INDEX($E$5:$CE$5, 1, (COLUMNS($DU31:EJ31)-1)*5 + 1), INDEX($E$8:$CE$57, MATCH($C31, $C$8:$C$57, 0), (COLUMNS($DU31:EJ31)-1)*5 + 4) = "SF"), INDEX($CZ$8:$CZ$23, COLUMNS($DU31:EJ31)), "0"), "")</f>
        <v/>
      </c>
    </row>
    <row r="32" ht="19.5" customHeight="1" s="568">
      <c r="A32" s="576" t="n"/>
      <c r="B32" s="449">
        <f>IF(SEMANA29[[#This Row],[COD]]&lt;&gt;"",B31+1,"")</f>
        <v/>
      </c>
      <c r="C32" s="622" t="inlineStr">
        <is>
          <t>COD 25</t>
        </is>
      </c>
      <c r="D32" s="415">
        <f t="array" ref="D32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2" s="416" t="n"/>
      <c r="F32" s="418" t="n"/>
      <c r="G32" s="418" t="n"/>
      <c r="H32" s="418" t="n"/>
      <c r="I32" s="602">
        <f>SUM(IF(E32=E$5,4,0),IF(E32&amp;F32=E$5&amp;F$5,1,0),
IF(AND(E32=E$5,F$6&gt;=$D$115),1,0),
IF(AND(F32=E$5,F$6&gt;=$D$115),1,0),
IF(AND(G32=E$5,F$6&gt;=$D$115),1,0),
IF(E32&amp;H32=I$5,1,0),
IF(F32=E$5,2,0),
IF(G32=E$5,1,0),
IF(OR(E32&amp;F32&amp;G32=E$5&amp;F$5&amp;G$5,E32&amp;F32&amp;G32=E$5&amp;G$5&amp;F$5,E32&amp;F32&amp;G32=F$5&amp;E$5&amp;G$5,E32&amp;F32&amp;G32=F$5&amp;G$5&amp;E$5,E32&amp;F32&amp;G32=G$5&amp;E$5&amp;F$5,E32&amp;F32&amp;G32=G$5&amp;F$5&amp;E$5),2,0),IF(AND(E32=E$5,F$6&gt;=$D$129),1,0),IF(AND(F32=E$5,F$6&gt;=$D$129),1,0),IF(AND(G32=E$5,F$6&gt;=$D$129),1,0),IF(E32&amp;H32=H$5,4,0),IF(AND(E32=E$5,F$6&lt;=$D$104),-0.5,0),IF(AND(F32=E$5,F$6&lt;=$D$104),-0.5,0),IF(AND(G32=E$5,F$6&lt;=$D$104),-0.5,0))</f>
        <v/>
      </c>
      <c r="J32" s="416" t="n"/>
      <c r="K32" s="418" t="n"/>
      <c r="L32" s="418" t="n"/>
      <c r="M32" s="418" t="n"/>
      <c r="N32" s="602">
        <f>SUM(IF(J32=J$5,4,0),IF(J32&amp;K32=J$5&amp;K$5,1,0),
IF(AND(J32=J$5,K$6&gt;=$D$115),1,0),
IF(AND(K32=J$5,K$6&gt;=$D$115),1,0),
IF(AND(L32=J$5,K$6&gt;=$D$115),1,0),
IF(J32&amp;M32=N$5,1,0),
IF(K32=J$5,2,0),
IF(L32=J$5,1,0),
IF(OR(J32&amp;K32&amp;L32=J$5&amp;K$5&amp;L$5,J32&amp;K32&amp;L32=J$5&amp;L$5&amp;K$5,J32&amp;K32&amp;L32=K$5&amp;J$5&amp;L$5,J32&amp;K32&amp;L32=K$5&amp;L$5&amp;J$5,J32&amp;K32&amp;L32=L$5&amp;J$5&amp;K$5,J32&amp;K32&amp;L32=L$5&amp;K$5&amp;J$5),2,0),IF(AND(J32=J$5,K$6&gt;=$D$129),1,0),IF(AND(K32=J$5,K$6&gt;=$D$129),1,0),IF(AND(L32=J$5,K$6&gt;=$D$129),1,0),IF(J32&amp;M32=M$5,4,0),IF(AND(J32=J$5,K$6&lt;=$D$104),-0.5,0),IF(AND(K32=J$5,K$6&lt;=$D$104),-0.5,0),IF(AND(L32=J$5,K$6&lt;=$D$104),-0.5,0))</f>
        <v/>
      </c>
      <c r="O32" s="416" t="n"/>
      <c r="P32" s="418" t="n"/>
      <c r="Q32" s="418" t="n"/>
      <c r="R32" s="418" t="n"/>
      <c r="S32" s="602">
        <f>SUM(IF(O32=O$5,4,0),IF(O32&amp;P32=O$5&amp;P$5,1,0),
IF(AND(O32=O$5,P$6&gt;=$D$115),1,0),
IF(AND(P32=O$5,P$6&gt;=$D$115),1,0),
IF(AND(Q32=O$5,P$6&gt;=$D$115),1,0),
IF(O32&amp;R32=S$5,1,0),
IF(P32=O$5,2,0),
IF(Q32=O$5,1,0),
IF(OR(O32&amp;P32&amp;Q32=O$5&amp;P$5&amp;Q$5,O32&amp;P32&amp;Q32=O$5&amp;Q$5&amp;P$5,O32&amp;P32&amp;Q32=P$5&amp;O$5&amp;Q$5,O32&amp;P32&amp;Q32=P$5&amp;Q$5&amp;O$5,O32&amp;P32&amp;Q32=Q$5&amp;O$5&amp;P$5,O32&amp;P32&amp;Q32=Q$5&amp;P$5&amp;O$5),2,0),IF(AND(O32=O$5,P$6&gt;=$D$129),1,0),IF(AND(P32=O$5,P$6&gt;=$D$129),1,0),IF(AND(Q32=O$5,P$6&gt;=$D$129),1,0),IF(O32&amp;R32=R$5,4,0),IF(AND(O32=O$5,P$6&lt;=$D$104),-0.5,0),IF(AND(P32=O$5,P$6&lt;=$D$104),-0.5,0),IF(AND(Q32=O$5,P$6&lt;=$D$104),-0.5,0))</f>
        <v/>
      </c>
      <c r="T32" s="416" t="n"/>
      <c r="U32" s="418" t="n"/>
      <c r="V32" s="418" t="n"/>
      <c r="W32" s="418" t="n"/>
      <c r="X32" s="602">
        <f>SUM(IF(T32=T$5,4,0),IF(T32&amp;U32=T$5&amp;U$5,1,0),
IF(AND(T32=T$5,U$6&gt;=$D$115),1,0),
IF(AND(U32=T$5,U$6&gt;=$D$115),1,0),
IF(AND(V32=T$5,U$6&gt;=$D$115),1,0),
IF(T32&amp;W32=X$5,1,0),
IF(U32=T$5,2,0),
IF(V32=T$5,1,0),
IF(OR(T32&amp;U32&amp;V32=T$5&amp;U$5&amp;V$5,T32&amp;U32&amp;V32=T$5&amp;V$5&amp;U$5,T32&amp;U32&amp;V32=U$5&amp;T$5&amp;V$5,T32&amp;U32&amp;V32=U$5&amp;V$5&amp;T$5,T32&amp;U32&amp;V32=V$5&amp;T$5&amp;U$5,T32&amp;U32&amp;V32=V$5&amp;U$5&amp;T$5),2,0),IF(AND(T32=T$5,U$6&gt;=$D$129),1,0),IF(AND(U32=T$5,U$6&gt;=$D$129),1,0),IF(AND(V32=T$5,U$6&gt;=$D$129),1,0),IF(T32&amp;W32=W$5,4,0),IF(AND(T32=T$5,U$6&lt;=$D$104),-0.5,0),IF(AND(U32=T$5,U$6&lt;=$D$104),-0.5,0),IF(AND(V32=T$5,U$6&lt;=$D$104),-0.5,0))</f>
        <v/>
      </c>
      <c r="Y32" s="416" t="n"/>
      <c r="Z32" s="418" t="n"/>
      <c r="AA32" s="418" t="n"/>
      <c r="AB32" s="418" t="n"/>
      <c r="AC32" s="602">
        <f>SUM(IF(Y32=Y$5,4,0),IF(Y32&amp;Z32=Y$5&amp;Z$5,1,0),
IF(AND(Y32=Y$5,Z$6&gt;=$D$115),1,0),
IF(AND(Z32=Y$5,Z$6&gt;=$D$115),1,0),
IF(AND(AA32=Y$5,Z$6&gt;=$D$115),1,0),
IF(Y32&amp;AB32=AC$5,1,0),
IF(Z32=Y$5,2,0),
IF(AA32=Y$5,1,0),
IF(OR(Y32&amp;Z32&amp;AA32=Y$5&amp;Z$5&amp;AA$5,Y32&amp;Z32&amp;AA32=Y$5&amp;AA$5&amp;Z$5,Y32&amp;Z32&amp;AA32=Z$5&amp;Y$5&amp;AA$5,Y32&amp;Z32&amp;AA32=Z$5&amp;AA$5&amp;Y$5,Y32&amp;Z32&amp;AA32=AA$5&amp;Y$5&amp;Z$5,Y32&amp;Z32&amp;AA32=AA$5&amp;Z$5&amp;Y$5),2,0),IF(AND(Y32=Y$5,Z$6&gt;=$D$129),1,0),IF(AND(Z32=Y$5,Z$6&gt;=$D$129),1,0),IF(AND(AA32=Y$5,Z$6&gt;=$D$129),1,0),IF(Y32&amp;AB32=AB$5,4,0),IF(AND(Y32=Y$5,Z$6&lt;=$D$104),-0.5,0),IF(AND(Z32=Y$5,Z$6&lt;=$D$104),-0.5,0),IF(AND(AA32=Y$5,Z$6&lt;=$D$104),-0.5,0))</f>
        <v/>
      </c>
      <c r="AD32" s="416" t="n"/>
      <c r="AE32" s="418" t="n"/>
      <c r="AF32" s="418" t="n"/>
      <c r="AG32" s="418" t="n"/>
      <c r="AH32" s="602">
        <f>SUM(IF(AD32=AD$5,4,0),IF(AD32&amp;AE32=AD$5&amp;AE$5,1,0),
IF(AND(AD32=AD$5,AE$6&gt;=$D$115),1,0),
IF(AND(AE32=AD$5,AE$6&gt;=$D$115),1,0),
IF(AND(AF32=AD$5,AE$6&gt;=$D$115),1,0),
IF(AD32&amp;AG32=AH$5,1,0),
IF(AE32=AD$5,2,0),
IF(AF32=AD$5,1,0),
IF(OR(AD32&amp;AE32&amp;AF32=AD$5&amp;AE$5&amp;AF$5,AD32&amp;AE32&amp;AF32=AD$5&amp;AF$5&amp;AE$5,AD32&amp;AE32&amp;AF32=AE$5&amp;AD$5&amp;AF$5,AD32&amp;AE32&amp;AF32=AE$5&amp;AF$5&amp;AD$5,AD32&amp;AE32&amp;AF32=AF$5&amp;AD$5&amp;AE$5,AD32&amp;AE32&amp;AF32=AF$5&amp;AE$5&amp;AD$5),2,0),IF(AND(AD32=AD$5,AE$6&gt;=$D$129),1,0),IF(AND(AE32=AD$5,AE$6&gt;=$D$129),1,0),IF(AND(AF32=AD$5,AE$6&gt;=$D$129),1,0),IF(AD32&amp;AG32=AG$5,4,0),IF(AND(AD32=AD$5,AE$6&lt;=$D$104),-0.5,0),IF(AND(AE32=AD$5,AE$6&lt;=$D$104),-0.5,0),IF(AND(AF32=AD$5,AE$6&lt;=$D$104),-0.5,0))</f>
        <v/>
      </c>
      <c r="AI32" s="416" t="n"/>
      <c r="AJ32" s="418" t="n"/>
      <c r="AK32" s="418" t="n"/>
      <c r="AL32" s="418" t="n"/>
      <c r="AM32" s="602">
        <f>SUM(IF(AI32=AI$5,4,0),IF(AI32&amp;AJ32=AI$5&amp;AJ$5,1,0),
IF(AND(AI32=AI$5,AJ$6&gt;=$D$115),1,0),
IF(AND(AJ32=AI$5,AJ$6&gt;=$D$115),1,0),
IF(AND(AK32=AI$5,AJ$6&gt;=$D$115),1,0),
IF(AI32&amp;AL32=AM$5,1,0),
IF(AJ32=AI$5,2,0),
IF(AK32=AI$5,1,0),
IF(OR(AI32&amp;AJ32&amp;AK32=AI$5&amp;AJ$5&amp;AK$5,AI32&amp;AJ32&amp;AK32=AI$5&amp;AK$5&amp;AJ$5,AI32&amp;AJ32&amp;AK32=AJ$5&amp;AI$5&amp;AK$5,AI32&amp;AJ32&amp;AK32=AJ$5&amp;AK$5&amp;AI$5,AI32&amp;AJ32&amp;AK32=AK$5&amp;AI$5&amp;AJ$5,AI32&amp;AJ32&amp;AK32=AK$5&amp;AJ$5&amp;AI$5),2,0),IF(AND(AI32=AI$5,AJ$6&gt;=$D$129),1,0),IF(AND(AJ32=AI$5,AJ$6&gt;=$D$129),1,0),IF(AND(AK32=AI$5,AJ$6&gt;=$D$129),1,0),IF(AI32&amp;AL32=AL$5,4,0),IF(AND(AI32=AI$5,AJ$6&lt;=$D$104),-0.5,0),IF(AND(AJ32=AI$5,AJ$6&lt;=$D$104),-0.5,0),IF(AND(AK32=AI$5,AJ$6&lt;=$D$104),-0.5,0))</f>
        <v/>
      </c>
      <c r="AN32" s="416" t="n"/>
      <c r="AO32" s="418" t="n"/>
      <c r="AP32" s="418" t="n"/>
      <c r="AQ32" s="418" t="n"/>
      <c r="AR32" s="602">
        <f>SUM(IF(AN32=AN$5,4,0),IF(AN32&amp;AO32=AN$5&amp;AO$5,1,0),
IF(AND(AN32=AN$5,AO$6&gt;=$D$115),1,0),
IF(AND(AO32=AN$5,AO$6&gt;=$D$115),1,0),
IF(AND(AP32=AN$5,AO$6&gt;=$D$115),1,0),
IF(AN32&amp;AQ32=AR$5,1,0),
IF(AO32=AN$5,2,0),
IF(AP32=AN$5,1,0),
IF(OR(AN32&amp;AO32&amp;AP32=AN$5&amp;AO$5&amp;AP$5,AN32&amp;AO32&amp;AP32=AN$5&amp;AP$5&amp;AO$5,AN32&amp;AO32&amp;AP32=AO$5&amp;AN$5&amp;AP$5,AN32&amp;AO32&amp;AP32=AO$5&amp;AP$5&amp;AN$5,AN32&amp;AO32&amp;AP32=AP$5&amp;AN$5&amp;AO$5,AN32&amp;AO32&amp;AP32=AP$5&amp;AO$5&amp;AN$5),2,0),IF(AND(AN32=AN$5,AO$6&gt;=$D$129),1,0),IF(AND(AO32=AN$5,AO$6&gt;=$D$129),1,0),IF(AND(AP32=AN$5,AO$6&gt;=$D$129),1,0),IF(AN32&amp;AQ32=AQ$5,4,0),IF(AND(AN32=AN$5,AO$6&lt;=$D$104),-0.5,0),IF(AND(AO32=AN$5,AO$6&lt;=$D$104),-0.5,0),IF(AND(AP32=AN$5,AO$6&lt;=$D$104),-0.5,0))</f>
        <v/>
      </c>
      <c r="AS32" s="416" t="n"/>
      <c r="AT32" s="418" t="n"/>
      <c r="AU32" s="418" t="n"/>
      <c r="AV32" s="418" t="n"/>
      <c r="AW32" s="602">
        <f>SUM(IF(AS32=AS$5,4,0),IF(AS32&amp;AT32=AS$5&amp;AT$5,1,0),
IF(AND(AS32=AS$5,AT$6&gt;=$D$115),1,0),
IF(AND(AT32=AS$5,AT$6&gt;=$D$115),1,0),
IF(AND(AU32=AS$5,AT$6&gt;=$D$115),1,0),
IF(AS32&amp;AV32=AW$5,1,0),
IF(AT32=AS$5,2,0),
IF(AU32=AS$5,1,0),
IF(OR(AS32&amp;AT32&amp;AU32=AS$5&amp;AT$5&amp;AU$5,AS32&amp;AT32&amp;AU32=AS$5&amp;AU$5&amp;AT$5,AS32&amp;AT32&amp;AU32=AT$5&amp;AS$5&amp;AU$5,AS32&amp;AT32&amp;AU32=AT$5&amp;AU$5&amp;AS$5,AS32&amp;AT32&amp;AU32=AU$5&amp;AS$5&amp;AT$5,AS32&amp;AT32&amp;AU32=AU$5&amp;AT$5&amp;AS$5),2,0),IF(AND(AS32=AS$5,AT$6&gt;=$D$129),1,0),IF(AND(AT32=AS$5,AT$6&gt;=$D$129),1,0),IF(AND(AU32=AS$5,AT$6&gt;=$D$129),1,0),IF(AS32&amp;AV32=AV$5,4,0),IF(AND(AS32=AS$5,AT$6&lt;=$D$104),-0.5,0),IF(AND(AT32=AS$5,AT$6&lt;=$D$104),-0.5,0),IF(AND(AU32=AS$5,AT$6&lt;=$D$104),-0.5,0))</f>
        <v/>
      </c>
      <c r="AX32" s="416" t="n"/>
      <c r="AY32" s="418" t="n"/>
      <c r="AZ32" s="418" t="n"/>
      <c r="BA32" s="418" t="n"/>
      <c r="BB32" s="602">
        <f>SUM(IF(AX32=AX$5,4,0),IF(AX32&amp;AY32=AX$5&amp;AY$5,1,0),
IF(AND(AX32=AX$5,AY$6&gt;=$D$115),1,0),
IF(AND(AY32=AX$5,AY$6&gt;=$D$115),1,0),
IF(AND(AZ32=AX$5,AY$6&gt;=$D$115),1,0),
IF(AX32&amp;BA32=BB$5,1,0),
IF(AY32=AX$5,2,0),
IF(AZ32=AX$5,1,0),
IF(OR(AX32&amp;AY32&amp;AZ32=AX$5&amp;AY$5&amp;AZ$5,AX32&amp;AY32&amp;AZ32=AX$5&amp;AZ$5&amp;AY$5,AX32&amp;AY32&amp;AZ32=AY$5&amp;AX$5&amp;AZ$5,AX32&amp;AY32&amp;AZ32=AY$5&amp;AZ$5&amp;AX$5,AX32&amp;AY32&amp;AZ32=AZ$5&amp;AX$5&amp;AY$5,AX32&amp;AY32&amp;AZ32=AZ$5&amp;AY$5&amp;AX$5),2,0),IF(AND(AX32=AX$5,AY$6&gt;=$D$129),1,0),IF(AND(AY32=AX$5,AY$6&gt;=$D$129),1,0),IF(AND(AZ32=AX$5,AY$6&gt;=$D$129),1,0),IF(AX32&amp;BA32=BA$5,4,0),IF(AND(AX32=AX$5,AY$6&lt;=$D$104),-0.5,0),IF(AND(AY32=AX$5,AY$6&lt;=$D$104),-0.5,0),IF(AND(AZ32=AX$5,AY$6&lt;=$D$104),-0.5,0))</f>
        <v/>
      </c>
      <c r="BC32" s="416" t="n"/>
      <c r="BD32" s="418" t="n"/>
      <c r="BE32" s="418" t="n"/>
      <c r="BF32" s="418" t="n"/>
      <c r="BG32" s="602">
        <f>SUM(IF(BC32=BC$5,4,0),IF(BC32&amp;BD32=BC$5&amp;BD$5,1,0),
IF(AND(BC32=BC$5,BD$6&gt;=$D$115),1,0),
IF(AND(BD32=BC$5,BD$6&gt;=$D$115),1,0),
IF(AND(BE32=BC$5,BD$6&gt;=$D$115),1,0),
IF(BC32&amp;BF32=BG$5,1,0),
IF(BD32=BC$5,2,0),
IF(BE32=BC$5,1,0),
IF(OR(BC32&amp;BD32&amp;BE32=BC$5&amp;BD$5&amp;BE$5,BC32&amp;BD32&amp;BE32=BC$5&amp;BE$5&amp;BD$5,BC32&amp;BD32&amp;BE32=BD$5&amp;BC$5&amp;BE$5,BC32&amp;BD32&amp;BE32=BD$5&amp;BE$5&amp;BC$5,BC32&amp;BD32&amp;BE32=BE$5&amp;BC$5&amp;BD$5,BC32&amp;BD32&amp;BE32=BE$5&amp;BD$5&amp;BC$5),2,0),IF(AND(BC32=BC$5,BD$6&gt;=$D$129),1,0),IF(AND(BD32=BC$5,BD$6&gt;=$D$129),1,0),IF(AND(BE32=BC$5,BD$6&gt;=$D$129),1,0),IF(BC32&amp;BF32=BF$5,4,0),IF(AND(BC32=BC$5,BD$6&lt;=$D$104),-0.5,0),IF(AND(BD32=BC$5,BD$6&lt;=$D$104),-0.5,0),IF(AND(BE32=BC$5,BD$6&lt;=$D$104),-0.5,0))</f>
        <v/>
      </c>
      <c r="BH32" s="416" t="n"/>
      <c r="BI32" s="418" t="n"/>
      <c r="BJ32" s="418" t="n"/>
      <c r="BK32" s="418" t="n"/>
      <c r="BL32" s="602">
        <f>SUM(IF(BH32=BH$5,4,0),IF(BH32&amp;BI32=BH$5&amp;BI$5,1,0),
IF(AND(BH32=BH$5,BI$6&gt;=$D$115),1,0),
IF(AND(BI32=BH$5,BI$6&gt;=$D$115),1,0),
IF(AND(BJ32=BH$5,BI$6&gt;=$D$115),1,0),
IF(BH32&amp;BK32=BL$5,1,0),
IF(BI32=BH$5,2,0),
IF(BJ32=BH$5,1,0),
IF(OR(BH32&amp;BI32&amp;BJ32=BH$5&amp;BI$5&amp;BJ$5,BH32&amp;BI32&amp;BJ32=BH$5&amp;BJ$5&amp;BI$5,BH32&amp;BI32&amp;BJ32=BI$5&amp;BH$5&amp;BJ$5,BH32&amp;BI32&amp;BJ32=BI$5&amp;BJ$5&amp;BH$5,BH32&amp;BI32&amp;BJ32=BJ$5&amp;BH$5&amp;BI$5,BH32&amp;BI32&amp;BJ32=BJ$5&amp;BI$5&amp;BH$5),2,0),IF(AND(BH32=BH$5,BI$6&gt;=$D$129),1,0),IF(AND(BI32=BH$5,BI$6&gt;=$D$129),1,0),IF(AND(BJ32=BH$5,BI$6&gt;=$D$129),1,0),IF(BH32&amp;BK32=BK$5,4,0),IF(AND(BH32=BH$5,BI$6&lt;=$D$104),-0.5,0),IF(AND(BI32=BH$5,BI$6&lt;=$D$104),-0.5,0),IF(AND(BJ32=BH$5,BI$6&lt;=$D$104),-0.5,0))</f>
        <v/>
      </c>
      <c r="BM32" s="416" t="n"/>
      <c r="BN32" s="418" t="n"/>
      <c r="BO32" s="418" t="n"/>
      <c r="BP32" s="418" t="n"/>
      <c r="BQ32" s="602">
        <f>SUM(IF(BM32=BM$5,4,0),IF(BM32&amp;BN32=BM$5&amp;BN$5,1,0),
IF(AND(BM32=BM$5,BN$6&gt;=$D$115),1,0),
IF(AND(BN32=BM$5,BN$6&gt;=$D$115),1,0),
IF(AND(BO32=BM$5,BN$6&gt;=$D$115),1,0),
IF(BM32&amp;BP32=BQ$5,1,0),
IF(BN32=BM$5,2,0),
IF(BO32=BM$5,1,0),
IF(OR(BM32&amp;BN32&amp;BO32=BM$5&amp;BN$5&amp;BO$5,BM32&amp;BN32&amp;BO32=BM$5&amp;BO$5&amp;BN$5,BM32&amp;BN32&amp;BO32=BN$5&amp;BM$5&amp;BO$5,BM32&amp;BN32&amp;BO32=BN$5&amp;BO$5&amp;BM$5,BM32&amp;BN32&amp;BO32=BO$5&amp;BM$5&amp;BN$5,BM32&amp;BN32&amp;BO32=BO$5&amp;BN$5&amp;BM$5),2,0),IF(AND(BM32=BM$5,BN$6&gt;=$D$129),1,0),IF(AND(BN32=BM$5,BN$6&gt;=$D$129),1,0),IF(AND(BO32=BM$5,BN$6&gt;=$D$129),1,0),IF(BM32&amp;BP32=BP$5,4,0),IF(AND(BM32=BM$5,BN$6&lt;=$D$104),-0.5,0),IF(AND(BN32=BM$5,BN$6&lt;=$D$104),-0.5,0),IF(AND(BO32=BM$5,BN$6&lt;=$D$104),-0.5,0))</f>
        <v/>
      </c>
      <c r="BR32" s="416" t="n"/>
      <c r="BS32" s="418" t="n"/>
      <c r="BT32" s="418" t="n"/>
      <c r="BU32" s="418" t="n"/>
      <c r="BV32" s="602">
        <f>SUM(IF(BR32=BR$5,4,0),IF(BR32&amp;BS32=BR$5&amp;BS$5,1,0),
IF(AND(BR32=BR$5,BS$6&gt;=$D$115),1,0),
IF(AND(BS32=BR$5,BS$6&gt;=$D$115),1,0),
IF(AND(BT32=BR$5,BS$6&gt;=$D$115),1,0),
IF(BR32&amp;BU32=BV$5,1,0),
IF(BS32=BR$5,2,0),
IF(BT32=BR$5,1,0),
IF(OR(BR32&amp;BS32&amp;BT32=BR$5&amp;BS$5&amp;BT$5,BR32&amp;BS32&amp;BT32=BR$5&amp;BT$5&amp;BS$5,BR32&amp;BS32&amp;BT32=BS$5&amp;BR$5&amp;BT$5,BR32&amp;BS32&amp;BT32=BS$5&amp;BT$5&amp;BR$5,BR32&amp;BS32&amp;BT32=BT$5&amp;BR$5&amp;BS$5,BR32&amp;BS32&amp;BT32=BT$5&amp;BS$5&amp;BR$5),2,0),IF(AND(BR32=BR$5,BS$6&gt;=$D$129),1,0),IF(AND(BS32=BR$5,BS$6&gt;=$D$129),1,0),IF(AND(BT32=BR$5,BS$6&gt;=$D$129),1,0),IF(BR32&amp;BU32=BU$5,4,0),IF(AND(BR32=BR$5,BS$6&lt;=$D$104),-0.5,0),IF(AND(BS32=BR$5,BS$6&lt;=$D$104),-0.5,0),IF(AND(BT32=BR$5,BS$6&lt;=$D$104),-0.5,0))</f>
        <v/>
      </c>
      <c r="BW32" s="416" t="n"/>
      <c r="BX32" s="418" t="n"/>
      <c r="BY32" s="418" t="n"/>
      <c r="BZ32" s="418" t="n"/>
      <c r="CA32" s="602">
        <f>SUM(IF(BW32=BW$5,4,0),IF(BW32&amp;BX32=BW$5&amp;BX$5,1,0),
IF(AND(BW32=BW$5,BX$6&gt;=$D$115),1,0),
IF(AND(BX32=BW$5,BX$6&gt;=$D$115),1,0),
IF(AND(BY32=BW$5,BX$6&gt;=$D$115),1,0),
IF(BW32&amp;BZ32=CA$5,1,0),
IF(BX32=BW$5,2,0),
IF(BY32=BW$5,1,0),
IF(OR(BW32&amp;BX32&amp;BY32=BW$5&amp;BX$5&amp;BY$5,BW32&amp;BX32&amp;BY32=BW$5&amp;BY$5&amp;BX$5,BW32&amp;BX32&amp;BY32=BX$5&amp;BW$5&amp;BY$5,BW32&amp;BX32&amp;BY32=BX$5&amp;BY$5&amp;BW$5,BW32&amp;BX32&amp;BY32=BY$5&amp;BW$5&amp;BX$5,BW32&amp;BX32&amp;BY32=BY$5&amp;BX$5&amp;BW$5),2,0),IF(AND(BW32=BW$5,BX$6&gt;=$D$129),1,0),IF(AND(BX32=BW$5,BX$6&gt;=$D$129),1,0),IF(AND(BY32=BW$5,BX$6&gt;=$D$129),1,0),IF(BW32&amp;BZ32=BZ$5,4,0),IF(AND(BW32=BW$5,BX$6&lt;=$D$104),-0.5,0),IF(AND(BX32=BW$5,BX$6&lt;=$D$104),-0.5,0),IF(AND(BY32=BW$5,BX$6&lt;=$D$104),-0.5,0))</f>
        <v/>
      </c>
      <c r="CB32" s="416" t="n"/>
      <c r="CC32" s="418" t="n"/>
      <c r="CD32" s="418" t="n"/>
      <c r="CE32" s="418" t="n"/>
      <c r="CF32" s="602">
        <f>SUM(IF(CB32=CB$5,4,0),IF(CB32&amp;CC32=CB$5&amp;CC$5,1,0),
IF(AND(CB32=CB$5,CC$6&gt;=$D$115),1,0),
IF(AND(CC32=CB$5,CC$6&gt;=$D$115),1,0),
IF(AND(CD32=CB$5,CC$6&gt;=$D$115),1,0),
IF(CB32&amp;CE32=CF$5,1,0),
IF(CC32=CB$5,2,0),
IF(CD32=CB$5,1,0),
IF(OR(CB32&amp;CC32&amp;CD32=CB$5&amp;CC$5&amp;CD$5,CB32&amp;CC32&amp;CD32=CB$5&amp;CD$5&amp;CC$5,CB32&amp;CC32&amp;CD32=CC$5&amp;CB$5&amp;CD$5,CB32&amp;CC32&amp;CD32=CC$5&amp;CD$5&amp;CB$5,CB32&amp;CC32&amp;CD32=CD$5&amp;CB$5&amp;CC$5,CB32&amp;CC32&amp;CD32=CD$5&amp;CC$5&amp;CB$5),2,0),IF(AND(CB32=CB$5,CC$6&gt;=$D$129),1,0),IF(AND(CC32=CB$5,CC$6&gt;=$D$129),1,0),IF(AND(CD32=CB$5,CC$6&gt;=$D$129),1,0),IF(CB32&amp;CE32=CE$5,4,0),IF(AND(CB32=CB$5,CC$6&lt;=$D$104),-0.5,0),IF(AND(CC32=CB$5,CC$6&lt;=$D$104),-0.5,0),IF(AND(CD32=CB$5,CC$6&lt;=$D$104),-0.5,0))</f>
        <v/>
      </c>
      <c r="CG32" s="164">
        <f>IF(SEMANA29[[#This Row],[1]]="",0,$B$4)</f>
        <v/>
      </c>
      <c r="CH32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2" s="166">
        <f>IF(SEMANA29[[#This Row],[Columna14]]=0,0,(CH32/CG32))</f>
        <v/>
      </c>
      <c r="CJ32" s="165">
        <f>IF(SEMANA29[[#This Row],[1]]="",0,$B$4)</f>
        <v/>
      </c>
      <c r="CK32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2" s="166">
        <f>IF(SEMANA29[[#This Row],[Columna14]]=0,0,(CK32/CJ32))</f>
        <v/>
      </c>
      <c r="CM32" s="164">
        <f>IF(SEMANA29[[#This Row],[1]]="",0,$B$4)</f>
        <v/>
      </c>
      <c r="CN32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2" s="166">
        <f>IF(SEMANA29[[#This Row],[Columna14]]=0,0,(CN32/CM32))</f>
        <v/>
      </c>
      <c r="CP32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2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Row],[Columna25]],$AX$5,BA32,"SF")+COUNTIFS(SEMANA29[[#This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2" s="166">
        <f>IFERROR(IF(SEMANA29[[#This Row],[Columna14]]=0,0,(CQ32/CP32)),0)</f>
        <v/>
      </c>
      <c r="CS32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2" s="95">
        <f>_xlfn.XLOOKUP(SEMANA29[[#This Row],[COD]],SEMANA2[COD],SEMANA2[Columna33])</f>
        <v/>
      </c>
      <c r="CU32" s="604">
        <f>SUM(CS32,CT32)</f>
        <v/>
      </c>
      <c r="CV32" s="450">
        <f>IF(SEMANA29[[#This Row],[TIPO]]="PREMIO",$O$3,"0,00")</f>
        <v/>
      </c>
      <c r="CW32" s="576" t="n"/>
      <c r="CY32" s="392">
        <f>IF(CZ32="","",$CZ$25)</f>
        <v/>
      </c>
      <c r="CZ32" s="392" t="n"/>
      <c r="DA32" s="392">
        <f t="array" ref="DA32">IF(CZ32="", "", IF((INDEX(E$8:CE$57, MATCH(CZ32, C$8:C$57, 0), ($CZ$25-1)*5 + 1) &amp; "") = (INDEX(E$5:CE$5, 1, ($CZ$25-1)*5 + 1) &amp; ""), 1, IF((INDEX(E$8:CE$57, MATCH(CZ32, C$8:C$57, 0), ($CZ$25-1)*5 + 2) &amp; "") = (INDEX(E$5:CE$5, 1, ($CZ$25-1)*5 + 1) &amp; ""), 2, IF((INDEX(E$8:CE$57, MATCH(CZ32, C$8:C$57, 0), ($CZ$25-1)*5 + 3) &amp; "") = (INDEX(E$5:CE$5, 1, ($CZ$25-1)*5 + 1) &amp; ""), 3, ""))))</f>
        <v/>
      </c>
      <c r="DB32" s="605">
        <f>SEMANA29[[#This Row],[COD]]</f>
        <v/>
      </c>
      <c r="DC32" s="395">
        <f t="array" ref="DC32">IFERROR(IF(AND(INDEX($E$8:$CE$57, MATCH($C32, $C$8:$C$57, 0), (COLUMNS($DC32:DC32)-1)*5 + 1) = INDEX($E$5:$CE$5, 1, (COLUMNS($DC32:DC32)-1)*5 + 1), INDEX($E$8:$CE$57, MATCH($C32, $C$8:$C$57, 0), (COLUMNS($DC32:DC32)-1)*5 + 4) = "F"), INDEX($CZ$8:$CZ$23, COLUMNS($DC32:DC32)), "0"), "")</f>
        <v/>
      </c>
      <c r="DD32" s="395">
        <f t="array" ref="DD32">IFERROR(IF(AND(INDEX($E$8:$CE$57, MATCH($C32, $C$8:$C$57, 0), (COLUMNS($DC32:DD32)-1)*5 + 1) = INDEX($E$5:$CE$5, 1, (COLUMNS($DC32:DD32)-1)*5 + 1), INDEX($E$8:$CE$57, MATCH($C32, $C$8:$C$57, 0), (COLUMNS($DC32:DD32)-1)*5 + 4) = "F"), INDEX($CZ$8:$CZ$23, COLUMNS($DC32:DD32)), "0"), "")</f>
        <v/>
      </c>
      <c r="DE32" s="395">
        <f t="array" ref="DE32">IFERROR(IF(AND(INDEX($E$8:$CE$57, MATCH($C32, $C$8:$C$57, 0), (COLUMNS($DC32:DE32)-1)*5 + 1) = INDEX($E$5:$CE$5, 1, (COLUMNS($DC32:DE32)-1)*5 + 1), INDEX($E$8:$CE$57, MATCH($C32, $C$8:$C$57, 0), (COLUMNS($DC32:DE32)-1)*5 + 4) = "F"), INDEX($CZ$8:$CZ$23, COLUMNS($DC32:DE32)), "0"), "")</f>
        <v/>
      </c>
      <c r="DF32" s="395">
        <f t="array" ref="DF32">IFERROR(IF(AND(INDEX($E$8:$CE$57, MATCH($C32, $C$8:$C$57, 0), (COLUMNS($DC32:DF32)-1)*5 + 1) = INDEX($E$5:$CE$5, 1, (COLUMNS($DC32:DF32)-1)*5 + 1), INDEX($E$8:$CE$57, MATCH($C32, $C$8:$C$57, 0), (COLUMNS($DC32:DF32)-1)*5 + 4) = "F"), INDEX($CZ$8:$CZ$23, COLUMNS($DC32:DF32)), "0"), "")</f>
        <v/>
      </c>
      <c r="DG32" s="395">
        <f t="array" ref="DG32">IFERROR(IF(AND(INDEX($E$8:$CE$57, MATCH($C32, $C$8:$C$57, 0), (COLUMNS($DC32:DG32)-1)*5 + 1) = INDEX($E$5:$CE$5, 1, (COLUMNS($DC32:DG32)-1)*5 + 1), INDEX($E$8:$CE$57, MATCH($C32, $C$8:$C$57, 0), (COLUMNS($DC32:DG32)-1)*5 + 4) = "F"), INDEX($CZ$8:$CZ$23, COLUMNS($DC32:DG32)), "0"), "")</f>
        <v/>
      </c>
      <c r="DH32" s="395">
        <f t="array" ref="DH32">IFERROR(IF(AND(INDEX($E$8:$CE$57, MATCH($C32, $C$8:$C$57, 0), (COLUMNS($DC32:DH32)-1)*5 + 1) = INDEX($E$5:$CE$5, 1, (COLUMNS($DC32:DH32)-1)*5 + 1), INDEX($E$8:$CE$57, MATCH($C32, $C$8:$C$57, 0), (COLUMNS($DC32:DH32)-1)*5 + 4) = "F"), INDEX($CZ$8:$CZ$23, COLUMNS($DC32:DH32)), "0"), "")</f>
        <v/>
      </c>
      <c r="DI32" s="395">
        <f t="array" ref="DI32">IFERROR(IF(AND(INDEX($E$8:$CE$57, MATCH($C32, $C$8:$C$57, 0), (COLUMNS($DC32:DI32)-1)*5 + 1) = INDEX($E$5:$CE$5, 1, (COLUMNS($DC32:DI32)-1)*5 + 1), INDEX($E$8:$CE$57, MATCH($C32, $C$8:$C$57, 0), (COLUMNS($DC32:DI32)-1)*5 + 4) = "F"), INDEX($CZ$8:$CZ$23, COLUMNS($DC32:DI32)), "0"), "")</f>
        <v/>
      </c>
      <c r="DJ32" s="395">
        <f t="array" ref="DJ32">IFERROR(IF(AND(INDEX($E$8:$CE$57, MATCH($C32, $C$8:$C$57, 0), (COLUMNS($DC32:DJ32)-1)*5 + 1) = INDEX($E$5:$CE$5, 1, (COLUMNS($DC32:DJ32)-1)*5 + 1), INDEX($E$8:$CE$57, MATCH($C32, $C$8:$C$57, 0), (COLUMNS($DC32:DJ32)-1)*5 + 4) = "F"), INDEX($CZ$8:$CZ$23, COLUMNS($DC32:DJ32)), "0"), "")</f>
        <v/>
      </c>
      <c r="DK32" s="395">
        <f t="array" ref="DK32">IFERROR(IF(AND(INDEX($E$8:$CE$57, MATCH($C32, $C$8:$C$57, 0), (COLUMNS($DC32:DK32)-1)*5 + 1) = INDEX($E$5:$CE$5, 1, (COLUMNS($DC32:DK32)-1)*5 + 1), INDEX($E$8:$CE$57, MATCH($C32, $C$8:$C$57, 0), (COLUMNS($DC32:DK32)-1)*5 + 4) = "F"), INDEX($CZ$8:$CZ$23, COLUMNS($DC32:DK32)), "0"), "")</f>
        <v/>
      </c>
      <c r="DL32" s="395">
        <f t="array" ref="DL32">IFERROR(IF(AND(INDEX($E$8:$CE$57, MATCH($C32, $C$8:$C$57, 0), (COLUMNS($DC32:DL32)-1)*5 + 1) = INDEX($E$5:$CE$5, 1, (COLUMNS($DC32:DL32)-1)*5 + 1), INDEX($E$8:$CE$57, MATCH($C32, $C$8:$C$57, 0), (COLUMNS($DC32:DL32)-1)*5 + 4) = "F"), INDEX($CZ$8:$CZ$23, COLUMNS($DC32:DL32)), "0"), "")</f>
        <v/>
      </c>
      <c r="DM32" s="395">
        <f t="array" ref="DM32">IFERROR(IF(AND(INDEX($E$8:$CE$57, MATCH($C32, $C$8:$C$57, 0), (COLUMNS($DC32:DM32)-1)*5 + 1) = INDEX($E$5:$CE$5, 1, (COLUMNS($DC32:DM32)-1)*5 + 1), INDEX($E$8:$CE$57, MATCH($C32, $C$8:$C$57, 0), (COLUMNS($DC32:DM32)-1)*5 + 4) = "F"), INDEX($CZ$8:$CZ$23, COLUMNS($DC32:DM32)), "0"), "")</f>
        <v/>
      </c>
      <c r="DN32" s="395">
        <f t="array" ref="DN32">IFERROR(IF(AND(INDEX($E$8:$CE$57, MATCH($C32, $C$8:$C$57, 0), (COLUMNS($DC32:DN32)-1)*5 + 1) = INDEX($E$5:$CE$5, 1, (COLUMNS($DC32:DN32)-1)*5 + 1), INDEX($E$8:$CE$57, MATCH($C32, $C$8:$C$57, 0), (COLUMNS($DC32:DN32)-1)*5 + 4) = "F"), INDEX($CZ$8:$CZ$23, COLUMNS($DC32:DN32)), "0"), "")</f>
        <v/>
      </c>
      <c r="DO32" s="395">
        <f t="array" ref="DO32">IFERROR(IF(AND(INDEX($E$8:$CE$57, MATCH($C32, $C$8:$C$57, 0), (COLUMNS($DC32:DO32)-1)*5 + 1) = INDEX($E$5:$CE$5, 1, (COLUMNS($DC32:DO32)-1)*5 + 1), INDEX($E$8:$CE$57, MATCH($C32, $C$8:$C$57, 0), (COLUMNS($DC32:DO32)-1)*5 + 4) = "F"), INDEX($CZ$8:$CZ$23, COLUMNS($DC32:DO32)), "0"), "")</f>
        <v/>
      </c>
      <c r="DP32" s="395">
        <f t="array" ref="DP32">IFERROR(IF(AND(INDEX($E$8:$CE$57, MATCH($C32, $C$8:$C$57, 0), (COLUMNS($DC32:DP32)-1)*5 + 1) = INDEX($E$5:$CE$5, 1, (COLUMNS($DC32:DP32)-1)*5 + 1), INDEX($E$8:$CE$57, MATCH($C32, $C$8:$C$57, 0), (COLUMNS($DC32:DP32)-1)*5 + 4) = "F"), INDEX($CZ$8:$CZ$23, COLUMNS($DC32:DP32)), "0"), "")</f>
        <v/>
      </c>
      <c r="DQ32" s="395">
        <f t="array" ref="DQ32">IFERROR(IF(AND(INDEX($E$8:$CE$57, MATCH($C32, $C$8:$C$57, 0), (COLUMNS($DC32:DQ32)-1)*5 + 1) = INDEX($E$5:$CE$5, 1, (COLUMNS($DC32:DQ32)-1)*5 + 1), INDEX($E$8:$CE$57, MATCH($C32, $C$8:$C$57, 0), (COLUMNS($DC32:DQ32)-1)*5 + 4) = "F"), INDEX($CZ$8:$CZ$23, COLUMNS($DC32:DQ32)), "0"), "")</f>
        <v/>
      </c>
      <c r="DR32" s="395">
        <f t="array" ref="DR32">IFERROR(IF(AND(INDEX($E$8:$CE$57, MATCH($C32, $C$8:$C$57, 0), (COLUMNS($DC32:DR32)-1)*5 + 1) = INDEX($E$5:$CE$5, 1, (COLUMNS($DC32:DR32)-1)*5 + 1), INDEX($E$8:$CE$57, MATCH($C32, $C$8:$C$57, 0), (COLUMNS($DC32:DR32)-1)*5 + 4) = "F"), INDEX($CZ$8:$CZ$23, COLUMNS($DC32:DR32)), "0"), "")</f>
        <v/>
      </c>
      <c r="DT32" s="605">
        <f>SEMANA29[[#This Row],[COD]]</f>
        <v/>
      </c>
      <c r="DU32" s="395">
        <f t="array" ref="DU32">IFERROR(IF(AND(INDEX($E$8:$CE$57, MATCH($C32, $C$8:$C$57, 0), (COLUMNS($DU32:DU32)-1)*5 + 1) = INDEX($E$5:$CE$5, 1, (COLUMNS($DU32:DU32)-1)*5 + 1), INDEX($E$8:$CE$57, MATCH($C32, $C$8:$C$57, 0), (COLUMNS($DU32:DU32)-1)*5 + 4) = "SF"), INDEX($CZ$8:$CZ$23, COLUMNS($DU32:DU32)), "0"), "")</f>
        <v/>
      </c>
      <c r="DV32" s="395">
        <f t="array" ref="DV32">IFERROR(IF(AND(INDEX($E$8:$CE$57, MATCH($C32, $C$8:$C$57, 0), (COLUMNS($DU32:DV32)-1)*5 + 1) = INDEX($E$5:$CE$5, 1, (COLUMNS($DU32:DV32)-1)*5 + 1), INDEX($E$8:$CE$57, MATCH($C32, $C$8:$C$57, 0), (COLUMNS($DU32:DV32)-1)*5 + 4) = "SF"), INDEX($CZ$8:$CZ$23, COLUMNS($DU32:DV32)), "0"), "")</f>
        <v/>
      </c>
      <c r="DW32" s="395">
        <f t="array" ref="DW32">IFERROR(IF(AND(INDEX($E$8:$CE$57, MATCH($C32, $C$8:$C$57, 0), (COLUMNS($DU32:DW32)-1)*5 + 1) = INDEX($E$5:$CE$5, 1, (COLUMNS($DU32:DW32)-1)*5 + 1), INDEX($E$8:$CE$57, MATCH($C32, $C$8:$C$57, 0), (COLUMNS($DU32:DW32)-1)*5 + 4) = "SF"), INDEX($CZ$8:$CZ$23, COLUMNS($DU32:DW32)), "0"), "")</f>
        <v/>
      </c>
      <c r="DX32" s="395">
        <f t="array" ref="DX32">IFERROR(IF(AND(INDEX($E$8:$CE$57, MATCH($C32, $C$8:$C$57, 0), (COLUMNS($DU32:DX32)-1)*5 + 1) = INDEX($E$5:$CE$5, 1, (COLUMNS($DU32:DX32)-1)*5 + 1), INDEX($E$8:$CE$57, MATCH($C32, $C$8:$C$57, 0), (COLUMNS($DU32:DX32)-1)*5 + 4) = "SF"), INDEX($CZ$8:$CZ$23, COLUMNS($DU32:DX32)), "0"), "")</f>
        <v/>
      </c>
      <c r="DY32" s="395">
        <f t="array" ref="DY32">IFERROR(IF(AND(INDEX($E$8:$CE$57, MATCH($C32, $C$8:$C$57, 0), (COLUMNS($DU32:DY32)-1)*5 + 1) = INDEX($E$5:$CE$5, 1, (COLUMNS($DU32:DY32)-1)*5 + 1), INDEX($E$8:$CE$57, MATCH($C32, $C$8:$C$57, 0), (COLUMNS($DU32:DY32)-1)*5 + 4) = "SF"), INDEX($CZ$8:$CZ$23, COLUMNS($DU32:DY32)), "0"), "")</f>
        <v/>
      </c>
      <c r="DZ32" s="395">
        <f t="array" ref="DZ32">IFERROR(IF(AND(INDEX($E$8:$CE$57, MATCH($C32, $C$8:$C$57, 0), (COLUMNS($DU32:DZ32)-1)*5 + 1) = INDEX($E$5:$CE$5, 1, (COLUMNS($DU32:DZ32)-1)*5 + 1), INDEX($E$8:$CE$57, MATCH($C32, $C$8:$C$57, 0), (COLUMNS($DU32:DZ32)-1)*5 + 4) = "SF"), INDEX($CZ$8:$CZ$23, COLUMNS($DU32:DZ32)), "0"), "")</f>
        <v/>
      </c>
      <c r="EA32" s="395">
        <f t="array" ref="EA32">IFERROR(IF(AND(INDEX($E$8:$CE$57, MATCH($C32, $C$8:$C$57, 0), (COLUMNS($DU32:EA32)-1)*5 + 1) = INDEX($E$5:$CE$5, 1, (COLUMNS($DU32:EA32)-1)*5 + 1), INDEX($E$8:$CE$57, MATCH($C32, $C$8:$C$57, 0), (COLUMNS($DU32:EA32)-1)*5 + 4) = "SF"), INDEX($CZ$8:$CZ$23, COLUMNS($DU32:EA32)), "0"), "")</f>
        <v/>
      </c>
      <c r="EB32" s="395">
        <f t="array" ref="EB32">IFERROR(IF(AND(INDEX($E$8:$CE$57, MATCH($C32, $C$8:$C$57, 0), (COLUMNS($DU32:EB32)-1)*5 + 1) = INDEX($E$5:$CE$5, 1, (COLUMNS($DU32:EB32)-1)*5 + 1), INDEX($E$8:$CE$57, MATCH($C32, $C$8:$C$57, 0), (COLUMNS($DU32:EB32)-1)*5 + 4) = "SF"), INDEX($CZ$8:$CZ$23, COLUMNS($DU32:EB32)), "0"), "")</f>
        <v/>
      </c>
      <c r="EC32" s="395">
        <f t="array" ref="EC32">IFERROR(IF(AND(INDEX($E$8:$CE$57, MATCH($C32, $C$8:$C$57, 0), (COLUMNS($DU32:EC32)-1)*5 + 1) = INDEX($E$5:$CE$5, 1, (COLUMNS($DU32:EC32)-1)*5 + 1), INDEX($E$8:$CE$57, MATCH($C32, $C$8:$C$57, 0), (COLUMNS($DU32:EC32)-1)*5 + 4) = "SF"), INDEX($CZ$8:$CZ$23, COLUMNS($DU32:EC32)), "0"), "")</f>
        <v/>
      </c>
      <c r="ED32" s="395">
        <f t="array" ref="ED32">IFERROR(IF(AND(INDEX($E$8:$CE$57, MATCH($C32, $C$8:$C$57, 0), (COLUMNS($DU32:ED32)-1)*5 + 1) = INDEX($E$5:$CE$5, 1, (COLUMNS($DU32:ED32)-1)*5 + 1), INDEX($E$8:$CE$57, MATCH($C32, $C$8:$C$57, 0), (COLUMNS($DU32:ED32)-1)*5 + 4) = "SF"), INDEX($CZ$8:$CZ$23, COLUMNS($DU32:ED32)), "0"), "")</f>
        <v/>
      </c>
      <c r="EE32" s="395">
        <f t="array" ref="EE32">IFERROR(IF(AND(INDEX($E$8:$CE$57, MATCH($C32, $C$8:$C$57, 0), (COLUMNS($DU32:EE32)-1)*5 + 1) = INDEX($E$5:$CE$5, 1, (COLUMNS($DU32:EE32)-1)*5 + 1), INDEX($E$8:$CE$57, MATCH($C32, $C$8:$C$57, 0), (COLUMNS($DU32:EE32)-1)*5 + 4) = "SF"), INDEX($CZ$8:$CZ$23, COLUMNS($DU32:EE32)), "0"), "")</f>
        <v/>
      </c>
      <c r="EF32" s="395">
        <f t="array" ref="EF32">IFERROR(IF(AND(INDEX($E$8:$CE$57, MATCH($C32, $C$8:$C$57, 0), (COLUMNS($DU32:EF32)-1)*5 + 1) = INDEX($E$5:$CE$5, 1, (COLUMNS($DU32:EF32)-1)*5 + 1), INDEX($E$8:$CE$57, MATCH($C32, $C$8:$C$57, 0), (COLUMNS($DU32:EF32)-1)*5 + 4) = "SF"), INDEX($CZ$8:$CZ$23, COLUMNS($DU32:EF32)), "0"), "")</f>
        <v/>
      </c>
      <c r="EG32" s="395">
        <f t="array" ref="EG32">IFERROR(IF(AND(INDEX($E$8:$CE$57, MATCH($C32, $C$8:$C$57, 0), (COLUMNS($DU32:EG32)-1)*5 + 1) = INDEX($E$5:$CE$5, 1, (COLUMNS($DU32:EG32)-1)*5 + 1), INDEX($E$8:$CE$57, MATCH($C32, $C$8:$C$57, 0), (COLUMNS($DU32:EG32)-1)*5 + 4) = "SF"), INDEX($CZ$8:$CZ$23, COLUMNS($DU32:EG32)), "0"), "")</f>
        <v/>
      </c>
      <c r="EH32" s="395">
        <f t="array" ref="EH32">IFERROR(IF(AND(INDEX($E$8:$CE$57, MATCH($C32, $C$8:$C$57, 0), (COLUMNS($DU32:EH32)-1)*5 + 1) = INDEX($E$5:$CE$5, 1, (COLUMNS($DU32:EH32)-1)*5 + 1), INDEX($E$8:$CE$57, MATCH($C32, $C$8:$C$57, 0), (COLUMNS($DU32:EH32)-1)*5 + 4) = "SF"), INDEX($CZ$8:$CZ$23, COLUMNS($DU32:EH32)), "0"), "")</f>
        <v/>
      </c>
      <c r="EI32" s="395">
        <f t="array" ref="EI32">IFERROR(IF(AND(INDEX($E$8:$CE$57, MATCH($C32, $C$8:$C$57, 0), (COLUMNS($DU32:EI32)-1)*5 + 1) = INDEX($E$5:$CE$5, 1, (COLUMNS($DU32:EI32)-1)*5 + 1), INDEX($E$8:$CE$57, MATCH($C32, $C$8:$C$57, 0), (COLUMNS($DU32:EI32)-1)*5 + 4) = "SF"), INDEX($CZ$8:$CZ$23, COLUMNS($DU32:EI32)), "0"), "")</f>
        <v/>
      </c>
      <c r="EJ32" s="395">
        <f t="array" ref="EJ32">IFERROR(IF(AND(INDEX($E$8:$CE$57, MATCH($C32, $C$8:$C$57, 0), (COLUMNS($DU32:EJ32)-1)*5 + 1) = INDEX($E$5:$CE$5, 1, (COLUMNS($DU32:EJ32)-1)*5 + 1), INDEX($E$8:$CE$57, MATCH($C32, $C$8:$C$57, 0), (COLUMNS($DU32:EJ32)-1)*5 + 4) = "SF"), INDEX($CZ$8:$CZ$23, COLUMNS($DU32:EJ32)), "0"), "")</f>
        <v/>
      </c>
    </row>
    <row r="33" ht="19.5" customHeight="1" s="568">
      <c r="A33" s="576" t="n"/>
      <c r="B33" s="449">
        <f>IF(SEMANA29[[#This Row],[COD]]&lt;&gt;"",B32+1,"")</f>
        <v/>
      </c>
      <c r="C33" s="622" t="inlineStr">
        <is>
          <t>COD 26</t>
        </is>
      </c>
      <c r="D33" s="415">
        <f t="array" ref="D33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3" s="416" t="n"/>
      <c r="F33" s="418" t="n"/>
      <c r="G33" s="418" t="n"/>
      <c r="H33" s="418" t="n"/>
      <c r="I33" s="602">
        <f>SUM(IF(E33=E$5,4,0),IF(E33&amp;F33=E$5&amp;F$5,1,0),
IF(AND(E33=E$5,F$6&gt;=$D$115),1,0),
IF(AND(F33=E$5,F$6&gt;=$D$115),1,0),
IF(AND(G33=E$5,F$6&gt;=$D$115),1,0),
IF(E33&amp;H33=I$5,1,0),
IF(F33=E$5,2,0),
IF(G33=E$5,1,0),
IF(OR(E33&amp;F33&amp;G33=E$5&amp;F$5&amp;G$5,E33&amp;F33&amp;G33=E$5&amp;G$5&amp;F$5,E33&amp;F33&amp;G33=F$5&amp;E$5&amp;G$5,E33&amp;F33&amp;G33=F$5&amp;G$5&amp;E$5,E33&amp;F33&amp;G33=G$5&amp;E$5&amp;F$5,E33&amp;F33&amp;G33=G$5&amp;F$5&amp;E$5),2,0),IF(AND(E33=E$5,F$6&gt;=$D$129),1,0),IF(AND(F33=E$5,F$6&gt;=$D$129),1,0),IF(AND(G33=E$5,F$6&gt;=$D$129),1,0),IF(E33&amp;H33=H$5,4,0),IF(AND(E33=E$5,F$6&lt;=$D$104),-0.5,0),IF(AND(F33=E$5,F$6&lt;=$D$104),-0.5,0),IF(AND(G33=E$5,F$6&lt;=$D$104),-0.5,0))</f>
        <v/>
      </c>
      <c r="J33" s="416" t="n"/>
      <c r="K33" s="418" t="n"/>
      <c r="L33" s="418" t="n"/>
      <c r="M33" s="418" t="n"/>
      <c r="N33" s="602">
        <f>SUM(IF(J33=J$5,4,0),IF(J33&amp;K33=J$5&amp;K$5,1,0),
IF(AND(J33=J$5,K$6&gt;=$D$115),1,0),
IF(AND(K33=J$5,K$6&gt;=$D$115),1,0),
IF(AND(L33=J$5,K$6&gt;=$D$115),1,0),
IF(J33&amp;M33=N$5,1,0),
IF(K33=J$5,2,0),
IF(L33=J$5,1,0),
IF(OR(J33&amp;K33&amp;L33=J$5&amp;K$5&amp;L$5,J33&amp;K33&amp;L33=J$5&amp;L$5&amp;K$5,J33&amp;K33&amp;L33=K$5&amp;J$5&amp;L$5,J33&amp;K33&amp;L33=K$5&amp;L$5&amp;J$5,J33&amp;K33&amp;L33=L$5&amp;J$5&amp;K$5,J33&amp;K33&amp;L33=L$5&amp;K$5&amp;J$5),2,0),IF(AND(J33=J$5,K$6&gt;=$D$129),1,0),IF(AND(K33=J$5,K$6&gt;=$D$129),1,0),IF(AND(L33=J$5,K$6&gt;=$D$129),1,0),IF(J33&amp;M33=M$5,4,0),IF(AND(J33=J$5,K$6&lt;=$D$104),-0.5,0),IF(AND(K33=J$5,K$6&lt;=$D$104),-0.5,0),IF(AND(L33=J$5,K$6&lt;=$D$104),-0.5,0))</f>
        <v/>
      </c>
      <c r="O33" s="416" t="n"/>
      <c r="P33" s="418" t="n"/>
      <c r="Q33" s="418" t="n"/>
      <c r="R33" s="418" t="n"/>
      <c r="S33" s="602">
        <f>SUM(IF(O33=O$5,4,0),IF(O33&amp;P33=O$5&amp;P$5,1,0),
IF(AND(O33=O$5,P$6&gt;=$D$115),1,0),
IF(AND(P33=O$5,P$6&gt;=$D$115),1,0),
IF(AND(Q33=O$5,P$6&gt;=$D$115),1,0),
IF(O33&amp;R33=S$5,1,0),
IF(P33=O$5,2,0),
IF(Q33=O$5,1,0),
IF(OR(O33&amp;P33&amp;Q33=O$5&amp;P$5&amp;Q$5,O33&amp;P33&amp;Q33=O$5&amp;Q$5&amp;P$5,O33&amp;P33&amp;Q33=P$5&amp;O$5&amp;Q$5,O33&amp;P33&amp;Q33=P$5&amp;Q$5&amp;O$5,O33&amp;P33&amp;Q33=Q$5&amp;O$5&amp;P$5,O33&amp;P33&amp;Q33=Q$5&amp;P$5&amp;O$5),2,0),IF(AND(O33=O$5,P$6&gt;=$D$129),1,0),IF(AND(P33=O$5,P$6&gt;=$D$129),1,0),IF(AND(Q33=O$5,P$6&gt;=$D$129),1,0),IF(O33&amp;R33=R$5,4,0),IF(AND(O33=O$5,P$6&lt;=$D$104),-0.5,0),IF(AND(P33=O$5,P$6&lt;=$D$104),-0.5,0),IF(AND(Q33=O$5,P$6&lt;=$D$104),-0.5,0))</f>
        <v/>
      </c>
      <c r="T33" s="416" t="n"/>
      <c r="U33" s="418" t="n"/>
      <c r="V33" s="418" t="n"/>
      <c r="W33" s="418" t="n"/>
      <c r="X33" s="602">
        <f>SUM(IF(T33=T$5,4,0),IF(T33&amp;U33=T$5&amp;U$5,1,0),
IF(AND(T33=T$5,U$6&gt;=$D$115),1,0),
IF(AND(U33=T$5,U$6&gt;=$D$115),1,0),
IF(AND(V33=T$5,U$6&gt;=$D$115),1,0),
IF(T33&amp;W33=X$5,1,0),
IF(U33=T$5,2,0),
IF(V33=T$5,1,0),
IF(OR(T33&amp;U33&amp;V33=T$5&amp;U$5&amp;V$5,T33&amp;U33&amp;V33=T$5&amp;V$5&amp;U$5,T33&amp;U33&amp;V33=U$5&amp;T$5&amp;V$5,T33&amp;U33&amp;V33=U$5&amp;V$5&amp;T$5,T33&amp;U33&amp;V33=V$5&amp;T$5&amp;U$5,T33&amp;U33&amp;V33=V$5&amp;U$5&amp;T$5),2,0),IF(AND(T33=T$5,U$6&gt;=$D$129),1,0),IF(AND(U33=T$5,U$6&gt;=$D$129),1,0),IF(AND(V33=T$5,U$6&gt;=$D$129),1,0),IF(T33&amp;W33=W$5,4,0),IF(AND(T33=T$5,U$6&lt;=$D$104),-0.5,0),IF(AND(U33=T$5,U$6&lt;=$D$104),-0.5,0),IF(AND(V33=T$5,U$6&lt;=$D$104),-0.5,0))</f>
        <v/>
      </c>
      <c r="Y33" s="416" t="n"/>
      <c r="Z33" s="418" t="n"/>
      <c r="AA33" s="418" t="n"/>
      <c r="AB33" s="418" t="n"/>
      <c r="AC33" s="602">
        <f>SUM(IF(Y33=Y$5,4,0),IF(Y33&amp;Z33=Y$5&amp;Z$5,1,0),
IF(AND(Y33=Y$5,Z$6&gt;=$D$115),1,0),
IF(AND(Z33=Y$5,Z$6&gt;=$D$115),1,0),
IF(AND(AA33=Y$5,Z$6&gt;=$D$115),1,0),
IF(Y33&amp;AB33=AC$5,1,0),
IF(Z33=Y$5,2,0),
IF(AA33=Y$5,1,0),
IF(OR(Y33&amp;Z33&amp;AA33=Y$5&amp;Z$5&amp;AA$5,Y33&amp;Z33&amp;AA33=Y$5&amp;AA$5&amp;Z$5,Y33&amp;Z33&amp;AA33=Z$5&amp;Y$5&amp;AA$5,Y33&amp;Z33&amp;AA33=Z$5&amp;AA$5&amp;Y$5,Y33&amp;Z33&amp;AA33=AA$5&amp;Y$5&amp;Z$5,Y33&amp;Z33&amp;AA33=AA$5&amp;Z$5&amp;Y$5),2,0),IF(AND(Y33=Y$5,Z$6&gt;=$D$129),1,0),IF(AND(Z33=Y$5,Z$6&gt;=$D$129),1,0),IF(AND(AA33=Y$5,Z$6&gt;=$D$129),1,0),IF(Y33&amp;AB33=AB$5,4,0),IF(AND(Y33=Y$5,Z$6&lt;=$D$104),-0.5,0),IF(AND(Z33=Y$5,Z$6&lt;=$D$104),-0.5,0),IF(AND(AA33=Y$5,Z$6&lt;=$D$104),-0.5,0))</f>
        <v/>
      </c>
      <c r="AD33" s="416" t="n"/>
      <c r="AE33" s="418" t="n"/>
      <c r="AF33" s="418" t="n"/>
      <c r="AG33" s="418" t="n"/>
      <c r="AH33" s="602">
        <f>SUM(IF(AD33=AD$5,4,0),IF(AD33&amp;AE33=AD$5&amp;AE$5,1,0),
IF(AND(AD33=AD$5,AE$6&gt;=$D$115),1,0),
IF(AND(AE33=AD$5,AE$6&gt;=$D$115),1,0),
IF(AND(AF33=AD$5,AE$6&gt;=$D$115),1,0),
IF(AD33&amp;AG33=AH$5,1,0),
IF(AE33=AD$5,2,0),
IF(AF33=AD$5,1,0),
IF(OR(AD33&amp;AE33&amp;AF33=AD$5&amp;AE$5&amp;AF$5,AD33&amp;AE33&amp;AF33=AD$5&amp;AF$5&amp;AE$5,AD33&amp;AE33&amp;AF33=AE$5&amp;AD$5&amp;AF$5,AD33&amp;AE33&amp;AF33=AE$5&amp;AF$5&amp;AD$5,AD33&amp;AE33&amp;AF33=AF$5&amp;AD$5&amp;AE$5,AD33&amp;AE33&amp;AF33=AF$5&amp;AE$5&amp;AD$5),2,0),IF(AND(AD33=AD$5,AE$6&gt;=$D$129),1,0),IF(AND(AE33=AD$5,AE$6&gt;=$D$129),1,0),IF(AND(AF33=AD$5,AE$6&gt;=$D$129),1,0),IF(AD33&amp;AG33=AG$5,4,0),IF(AND(AD33=AD$5,AE$6&lt;=$D$104),-0.5,0),IF(AND(AE33=AD$5,AE$6&lt;=$D$104),-0.5,0),IF(AND(AF33=AD$5,AE$6&lt;=$D$104),-0.5,0))</f>
        <v/>
      </c>
      <c r="AI33" s="416" t="n"/>
      <c r="AJ33" s="418" t="n"/>
      <c r="AK33" s="418" t="n"/>
      <c r="AL33" s="418" t="n"/>
      <c r="AM33" s="602">
        <f>SUM(IF(AI33=AI$5,4,0),IF(AI33&amp;AJ33=AI$5&amp;AJ$5,1,0),
IF(AND(AI33=AI$5,AJ$6&gt;=$D$115),1,0),
IF(AND(AJ33=AI$5,AJ$6&gt;=$D$115),1,0),
IF(AND(AK33=AI$5,AJ$6&gt;=$D$115),1,0),
IF(AI33&amp;AL33=AM$5,1,0),
IF(AJ33=AI$5,2,0),
IF(AK33=AI$5,1,0),
IF(OR(AI33&amp;AJ33&amp;AK33=AI$5&amp;AJ$5&amp;AK$5,AI33&amp;AJ33&amp;AK33=AI$5&amp;AK$5&amp;AJ$5,AI33&amp;AJ33&amp;AK33=AJ$5&amp;AI$5&amp;AK$5,AI33&amp;AJ33&amp;AK33=AJ$5&amp;AK$5&amp;AI$5,AI33&amp;AJ33&amp;AK33=AK$5&amp;AI$5&amp;AJ$5,AI33&amp;AJ33&amp;AK33=AK$5&amp;AJ$5&amp;AI$5),2,0),IF(AND(AI33=AI$5,AJ$6&gt;=$D$129),1,0),IF(AND(AJ33=AI$5,AJ$6&gt;=$D$129),1,0),IF(AND(AK33=AI$5,AJ$6&gt;=$D$129),1,0),IF(AI33&amp;AL33=AL$5,4,0),IF(AND(AI33=AI$5,AJ$6&lt;=$D$104),-0.5,0),IF(AND(AJ33=AI$5,AJ$6&lt;=$D$104),-0.5,0),IF(AND(AK33=AI$5,AJ$6&lt;=$D$104),-0.5,0))</f>
        <v/>
      </c>
      <c r="AN33" s="416" t="n"/>
      <c r="AO33" s="418" t="n"/>
      <c r="AP33" s="418" t="n"/>
      <c r="AQ33" s="418" t="n"/>
      <c r="AR33" s="602">
        <f>SUM(IF(AN33=AN$5,4,0),IF(AN33&amp;AO33=AN$5&amp;AO$5,1,0),
IF(AND(AN33=AN$5,AO$6&gt;=$D$115),1,0),
IF(AND(AO33=AN$5,AO$6&gt;=$D$115),1,0),
IF(AND(AP33=AN$5,AO$6&gt;=$D$115),1,0),
IF(AN33&amp;AQ33=AR$5,1,0),
IF(AO33=AN$5,2,0),
IF(AP33=AN$5,1,0),
IF(OR(AN33&amp;AO33&amp;AP33=AN$5&amp;AO$5&amp;AP$5,AN33&amp;AO33&amp;AP33=AN$5&amp;AP$5&amp;AO$5,AN33&amp;AO33&amp;AP33=AO$5&amp;AN$5&amp;AP$5,AN33&amp;AO33&amp;AP33=AO$5&amp;AP$5&amp;AN$5,AN33&amp;AO33&amp;AP33=AP$5&amp;AN$5&amp;AO$5,AN33&amp;AO33&amp;AP33=AP$5&amp;AO$5&amp;AN$5),2,0),IF(AND(AN33=AN$5,AO$6&gt;=$D$129),1,0),IF(AND(AO33=AN$5,AO$6&gt;=$D$129),1,0),IF(AND(AP33=AN$5,AO$6&gt;=$D$129),1,0),IF(AN33&amp;AQ33=AQ$5,4,0),IF(AND(AN33=AN$5,AO$6&lt;=$D$104),-0.5,0),IF(AND(AO33=AN$5,AO$6&lt;=$D$104),-0.5,0),IF(AND(AP33=AN$5,AO$6&lt;=$D$104),-0.5,0))</f>
        <v/>
      </c>
      <c r="AS33" s="416" t="n"/>
      <c r="AT33" s="418" t="n"/>
      <c r="AU33" s="418" t="n"/>
      <c r="AV33" s="418" t="n"/>
      <c r="AW33" s="602">
        <f>SUM(IF(AS33=AS$5,4,0),IF(AS33&amp;AT33=AS$5&amp;AT$5,1,0),
IF(AND(AS33=AS$5,AT$6&gt;=$D$115),1,0),
IF(AND(AT33=AS$5,AT$6&gt;=$D$115),1,0),
IF(AND(AU33=AS$5,AT$6&gt;=$D$115),1,0),
IF(AS33&amp;AV33=AW$5,1,0),
IF(AT33=AS$5,2,0),
IF(AU33=AS$5,1,0),
IF(OR(AS33&amp;AT33&amp;AU33=AS$5&amp;AT$5&amp;AU$5,AS33&amp;AT33&amp;AU33=AS$5&amp;AU$5&amp;AT$5,AS33&amp;AT33&amp;AU33=AT$5&amp;AS$5&amp;AU$5,AS33&amp;AT33&amp;AU33=AT$5&amp;AU$5&amp;AS$5,AS33&amp;AT33&amp;AU33=AU$5&amp;AS$5&amp;AT$5,AS33&amp;AT33&amp;AU33=AU$5&amp;AT$5&amp;AS$5),2,0),IF(AND(AS33=AS$5,AT$6&gt;=$D$129),1,0),IF(AND(AT33=AS$5,AT$6&gt;=$D$129),1,0),IF(AND(AU33=AS$5,AT$6&gt;=$D$129),1,0),IF(AS33&amp;AV33=AV$5,4,0),IF(AND(AS33=AS$5,AT$6&lt;=$D$104),-0.5,0),IF(AND(AT33=AS$5,AT$6&lt;=$D$104),-0.5,0),IF(AND(AU33=AS$5,AT$6&lt;=$D$104),-0.5,0))</f>
        <v/>
      </c>
      <c r="AX33" s="416" t="n"/>
      <c r="AY33" s="418" t="n"/>
      <c r="AZ33" s="418" t="n"/>
      <c r="BA33" s="418" t="n"/>
      <c r="BB33" s="602">
        <f>SUM(IF(AX33=AX$5,4,0),IF(AX33&amp;AY33=AX$5&amp;AY$5,1,0),
IF(AND(AX33=AX$5,AY$6&gt;=$D$115),1,0),
IF(AND(AY33=AX$5,AY$6&gt;=$D$115),1,0),
IF(AND(AZ33=AX$5,AY$6&gt;=$D$115),1,0),
IF(AX33&amp;BA33=BB$5,1,0),
IF(AY33=AX$5,2,0),
IF(AZ33=AX$5,1,0),
IF(OR(AX33&amp;AY33&amp;AZ33=AX$5&amp;AY$5&amp;AZ$5,AX33&amp;AY33&amp;AZ33=AX$5&amp;AZ$5&amp;AY$5,AX33&amp;AY33&amp;AZ33=AY$5&amp;AX$5&amp;AZ$5,AX33&amp;AY33&amp;AZ33=AY$5&amp;AZ$5&amp;AX$5,AX33&amp;AY33&amp;AZ33=AZ$5&amp;AX$5&amp;AY$5,AX33&amp;AY33&amp;AZ33=AZ$5&amp;AY$5&amp;AX$5),2,0),IF(AND(AX33=AX$5,AY$6&gt;=$D$129),1,0),IF(AND(AY33=AX$5,AY$6&gt;=$D$129),1,0),IF(AND(AZ33=AX$5,AY$6&gt;=$D$129),1,0),IF(AX33&amp;BA33=BA$5,4,0),IF(AND(AX33=AX$5,AY$6&lt;=$D$104),-0.5,0),IF(AND(AY33=AX$5,AY$6&lt;=$D$104),-0.5,0),IF(AND(AZ33=AX$5,AY$6&lt;=$D$104),-0.5,0))</f>
        <v/>
      </c>
      <c r="BC33" s="416" t="n"/>
      <c r="BD33" s="418" t="n"/>
      <c r="BE33" s="418" t="n"/>
      <c r="BF33" s="418" t="n"/>
      <c r="BG33" s="602">
        <f>SUM(IF(BC33=BC$5,4,0),IF(BC33&amp;BD33=BC$5&amp;BD$5,1,0),
IF(AND(BC33=BC$5,BD$6&gt;=$D$115),1,0),
IF(AND(BD33=BC$5,BD$6&gt;=$D$115),1,0),
IF(AND(BE33=BC$5,BD$6&gt;=$D$115),1,0),
IF(BC33&amp;BF33=BG$5,1,0),
IF(BD33=BC$5,2,0),
IF(BE33=BC$5,1,0),
IF(OR(BC33&amp;BD33&amp;BE33=BC$5&amp;BD$5&amp;BE$5,BC33&amp;BD33&amp;BE33=BC$5&amp;BE$5&amp;BD$5,BC33&amp;BD33&amp;BE33=BD$5&amp;BC$5&amp;BE$5,BC33&amp;BD33&amp;BE33=BD$5&amp;BE$5&amp;BC$5,BC33&amp;BD33&amp;BE33=BE$5&amp;BC$5&amp;BD$5,BC33&amp;BD33&amp;BE33=BE$5&amp;BD$5&amp;BC$5),2,0),IF(AND(BC33=BC$5,BD$6&gt;=$D$129),1,0),IF(AND(BD33=BC$5,BD$6&gt;=$D$129),1,0),IF(AND(BE33=BC$5,BD$6&gt;=$D$129),1,0),IF(BC33&amp;BF33=BF$5,4,0),IF(AND(BC33=BC$5,BD$6&lt;=$D$104),-0.5,0),IF(AND(BD33=BC$5,BD$6&lt;=$D$104),-0.5,0),IF(AND(BE33=BC$5,BD$6&lt;=$D$104),-0.5,0))</f>
        <v/>
      </c>
      <c r="BH33" s="416" t="n"/>
      <c r="BI33" s="418" t="n"/>
      <c r="BJ33" s="418" t="n"/>
      <c r="BK33" s="418" t="n"/>
      <c r="BL33" s="602">
        <f>SUM(IF(BH33=BH$5,4,0),IF(BH33&amp;BI33=BH$5&amp;BI$5,1,0),
IF(AND(BH33=BH$5,BI$6&gt;=$D$115),1,0),
IF(AND(BI33=BH$5,BI$6&gt;=$D$115),1,0),
IF(AND(BJ33=BH$5,BI$6&gt;=$D$115),1,0),
IF(BH33&amp;BK33=BL$5,1,0),
IF(BI33=BH$5,2,0),
IF(BJ33=BH$5,1,0),
IF(OR(BH33&amp;BI33&amp;BJ33=BH$5&amp;BI$5&amp;BJ$5,BH33&amp;BI33&amp;BJ33=BH$5&amp;BJ$5&amp;BI$5,BH33&amp;BI33&amp;BJ33=BI$5&amp;BH$5&amp;BJ$5,BH33&amp;BI33&amp;BJ33=BI$5&amp;BJ$5&amp;BH$5,BH33&amp;BI33&amp;BJ33=BJ$5&amp;BH$5&amp;BI$5,BH33&amp;BI33&amp;BJ33=BJ$5&amp;BI$5&amp;BH$5),2,0),IF(AND(BH33=BH$5,BI$6&gt;=$D$129),1,0),IF(AND(BI33=BH$5,BI$6&gt;=$D$129),1,0),IF(AND(BJ33=BH$5,BI$6&gt;=$D$129),1,0),IF(BH33&amp;BK33=BK$5,4,0),IF(AND(BH33=BH$5,BI$6&lt;=$D$104),-0.5,0),IF(AND(BI33=BH$5,BI$6&lt;=$D$104),-0.5,0),IF(AND(BJ33=BH$5,BI$6&lt;=$D$104),-0.5,0))</f>
        <v/>
      </c>
      <c r="BM33" s="416" t="n"/>
      <c r="BN33" s="418" t="n"/>
      <c r="BO33" s="418" t="n"/>
      <c r="BP33" s="418" t="n"/>
      <c r="BQ33" s="602">
        <f>SUM(IF(BM33=BM$5,4,0),IF(BM33&amp;BN33=BM$5&amp;BN$5,1,0),
IF(AND(BM33=BM$5,BN$6&gt;=$D$115),1,0),
IF(AND(BN33=BM$5,BN$6&gt;=$D$115),1,0),
IF(AND(BO33=BM$5,BN$6&gt;=$D$115),1,0),
IF(BM33&amp;BP33=BQ$5,1,0),
IF(BN33=BM$5,2,0),
IF(BO33=BM$5,1,0),
IF(OR(BM33&amp;BN33&amp;BO33=BM$5&amp;BN$5&amp;BO$5,BM33&amp;BN33&amp;BO33=BM$5&amp;BO$5&amp;BN$5,BM33&amp;BN33&amp;BO33=BN$5&amp;BM$5&amp;BO$5,BM33&amp;BN33&amp;BO33=BN$5&amp;BO$5&amp;BM$5,BM33&amp;BN33&amp;BO33=BO$5&amp;BM$5&amp;BN$5,BM33&amp;BN33&amp;BO33=BO$5&amp;BN$5&amp;BM$5),2,0),IF(AND(BM33=BM$5,BN$6&gt;=$D$129),1,0),IF(AND(BN33=BM$5,BN$6&gt;=$D$129),1,0),IF(AND(BO33=BM$5,BN$6&gt;=$D$129),1,0),IF(BM33&amp;BP33=BP$5,4,0),IF(AND(BM33=BM$5,BN$6&lt;=$D$104),-0.5,0),IF(AND(BN33=BM$5,BN$6&lt;=$D$104),-0.5,0),IF(AND(BO33=BM$5,BN$6&lt;=$D$104),-0.5,0))</f>
        <v/>
      </c>
      <c r="BR33" s="416" t="n"/>
      <c r="BS33" s="418" t="n"/>
      <c r="BT33" s="418" t="n"/>
      <c r="BU33" s="418" t="n"/>
      <c r="BV33" s="602">
        <f>SUM(IF(BR33=BR$5,4,0),IF(BR33&amp;BS33=BR$5&amp;BS$5,1,0),
IF(AND(BR33=BR$5,BS$6&gt;=$D$115),1,0),
IF(AND(BS33=BR$5,BS$6&gt;=$D$115),1,0),
IF(AND(BT33=BR$5,BS$6&gt;=$D$115),1,0),
IF(BR33&amp;BU33=BV$5,1,0),
IF(BS33=BR$5,2,0),
IF(BT33=BR$5,1,0),
IF(OR(BR33&amp;BS33&amp;BT33=BR$5&amp;BS$5&amp;BT$5,BR33&amp;BS33&amp;BT33=BR$5&amp;BT$5&amp;BS$5,BR33&amp;BS33&amp;BT33=BS$5&amp;BR$5&amp;BT$5,BR33&amp;BS33&amp;BT33=BS$5&amp;BT$5&amp;BR$5,BR33&amp;BS33&amp;BT33=BT$5&amp;BR$5&amp;BS$5,BR33&amp;BS33&amp;BT33=BT$5&amp;BS$5&amp;BR$5),2,0),IF(AND(BR33=BR$5,BS$6&gt;=$D$129),1,0),IF(AND(BS33=BR$5,BS$6&gt;=$D$129),1,0),IF(AND(BT33=BR$5,BS$6&gt;=$D$129),1,0),IF(BR33&amp;BU33=BU$5,4,0),IF(AND(BR33=BR$5,BS$6&lt;=$D$104),-0.5,0),IF(AND(BS33=BR$5,BS$6&lt;=$D$104),-0.5,0),IF(AND(BT33=BR$5,BS$6&lt;=$D$104),-0.5,0))</f>
        <v/>
      </c>
      <c r="BW33" s="416" t="n"/>
      <c r="BX33" s="418" t="n"/>
      <c r="BY33" s="418" t="n"/>
      <c r="BZ33" s="418" t="n"/>
      <c r="CA33" s="602">
        <f>SUM(IF(BW33=BW$5,4,0),IF(BW33&amp;BX33=BW$5&amp;BX$5,1,0),
IF(AND(BW33=BW$5,BX$6&gt;=$D$115),1,0),
IF(AND(BX33=BW$5,BX$6&gt;=$D$115),1,0),
IF(AND(BY33=BW$5,BX$6&gt;=$D$115),1,0),
IF(BW33&amp;BZ33=CA$5,1,0),
IF(BX33=BW$5,2,0),
IF(BY33=BW$5,1,0),
IF(OR(BW33&amp;BX33&amp;BY33=BW$5&amp;BX$5&amp;BY$5,BW33&amp;BX33&amp;BY33=BW$5&amp;BY$5&amp;BX$5,BW33&amp;BX33&amp;BY33=BX$5&amp;BW$5&amp;BY$5,BW33&amp;BX33&amp;BY33=BX$5&amp;BY$5&amp;BW$5,BW33&amp;BX33&amp;BY33=BY$5&amp;BW$5&amp;BX$5,BW33&amp;BX33&amp;BY33=BY$5&amp;BX$5&amp;BW$5),2,0),IF(AND(BW33=BW$5,BX$6&gt;=$D$129),1,0),IF(AND(BX33=BW$5,BX$6&gt;=$D$129),1,0),IF(AND(BY33=BW$5,BX$6&gt;=$D$129),1,0),IF(BW33&amp;BZ33=BZ$5,4,0),IF(AND(BW33=BW$5,BX$6&lt;=$D$104),-0.5,0),IF(AND(BX33=BW$5,BX$6&lt;=$D$104),-0.5,0),IF(AND(BY33=BW$5,BX$6&lt;=$D$104),-0.5,0))</f>
        <v/>
      </c>
      <c r="CB33" s="416" t="n"/>
      <c r="CC33" s="418" t="n"/>
      <c r="CD33" s="418" t="n"/>
      <c r="CE33" s="418" t="n"/>
      <c r="CF33" s="602">
        <f>SUM(IF(CB33=CB$5,4,0),IF(CB33&amp;CC33=CB$5&amp;CC$5,1,0),
IF(AND(CB33=CB$5,CC$6&gt;=$D$115),1,0),
IF(AND(CC33=CB$5,CC$6&gt;=$D$115),1,0),
IF(AND(CD33=CB$5,CC$6&gt;=$D$115),1,0),
IF(CB33&amp;CE33=CF$5,1,0),
IF(CC33=CB$5,2,0),
IF(CD33=CB$5,1,0),
IF(OR(CB33&amp;CC33&amp;CD33=CB$5&amp;CC$5&amp;CD$5,CB33&amp;CC33&amp;CD33=CB$5&amp;CD$5&amp;CC$5,CB33&amp;CC33&amp;CD33=CC$5&amp;CB$5&amp;CD$5,CB33&amp;CC33&amp;CD33=CC$5&amp;CD$5&amp;CB$5,CB33&amp;CC33&amp;CD33=CD$5&amp;CB$5&amp;CC$5,CB33&amp;CC33&amp;CD33=CD$5&amp;CC$5&amp;CB$5),2,0),IF(AND(CB33=CB$5,CC$6&gt;=$D$129),1,0),IF(AND(CC33=CB$5,CC$6&gt;=$D$129),1,0),IF(AND(CD33=CB$5,CC$6&gt;=$D$129),1,0),IF(CB33&amp;CE33=CE$5,4,0),IF(AND(CB33=CB$5,CC$6&lt;=$D$104),-0.5,0),IF(AND(CC33=CB$5,CC$6&lt;=$D$104),-0.5,0),IF(AND(CD33=CB$5,CC$6&lt;=$D$104),-0.5,0))</f>
        <v/>
      </c>
      <c r="CG33" s="164">
        <f>IF(SEMANA29[[#This Row],[1]]="",0,$B$4)</f>
        <v/>
      </c>
      <c r="CH33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3" s="166">
        <f>IF(SEMANA29[[#This Row],[Columna14]]=0,0,(CH33/CG33))</f>
        <v/>
      </c>
      <c r="CJ33" s="165">
        <f>IF(SEMANA29[[#This Row],[1]]="",0,$B$4)</f>
        <v/>
      </c>
      <c r="CK33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3" s="166">
        <f>IF(SEMANA29[[#This Row],[Columna14]]=0,0,(CK33/CJ33))</f>
        <v/>
      </c>
      <c r="CM33" s="164">
        <f>IF(SEMANA29[[#This Row],[1]]="",0,$B$4)</f>
        <v/>
      </c>
      <c r="CN33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3" s="166">
        <f>IF(SEMANA29[[#This Row],[Columna14]]=0,0,(CN33/CM33))</f>
        <v/>
      </c>
      <c r="CP33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3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Row],[Columna25]],$AX$5,BA33,"SF")+COUNTIFS(SEMANA29[[#This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3" s="166">
        <f>IFERROR(IF(SEMANA29[[#This Row],[Columna14]]=0,0,(CQ33/CP33)),0)</f>
        <v/>
      </c>
      <c r="CS33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3" s="95">
        <f>_xlfn.XLOOKUP(SEMANA29[[#This Row],[COD]],SEMANA2[COD],SEMANA2[Columna33])</f>
        <v/>
      </c>
      <c r="CU33" s="604">
        <f>SUM(CS33,CT33)</f>
        <v/>
      </c>
      <c r="CV33" s="450">
        <f>IF(SEMANA29[[#This Row],[TIPO]]="PREMIO",$O$3,"0,00")</f>
        <v/>
      </c>
      <c r="CW33" s="576" t="n"/>
      <c r="CY33" s="392">
        <f>IF(CZ33="","",$CZ$25)</f>
        <v/>
      </c>
      <c r="CZ33" s="392" t="n"/>
      <c r="DA33" s="392">
        <f t="array" ref="DA33">IF(CZ33="", "", IF((INDEX(E$8:CE$57, MATCH(CZ33, C$8:C$57, 0), ($CZ$25-1)*5 + 1) &amp; "") = (INDEX(E$5:CE$5, 1, ($CZ$25-1)*5 + 1) &amp; ""), 1, IF((INDEX(E$8:CE$57, MATCH(CZ33, C$8:C$57, 0), ($CZ$25-1)*5 + 2) &amp; "") = (INDEX(E$5:CE$5, 1, ($CZ$25-1)*5 + 1) &amp; ""), 2, IF((INDEX(E$8:CE$57, MATCH(CZ33, C$8:C$57, 0), ($CZ$25-1)*5 + 3) &amp; "") = (INDEX(E$5:CE$5, 1, ($CZ$25-1)*5 + 1) &amp; ""), 3, ""))))</f>
        <v/>
      </c>
      <c r="DB33" s="605">
        <f>SEMANA29[[#This Row],[COD]]</f>
        <v/>
      </c>
      <c r="DC33" s="395">
        <f t="array" ref="DC33">IFERROR(IF(AND(INDEX($E$8:$CE$57, MATCH($C33, $C$8:$C$57, 0), (COLUMNS($DC33:DC33)-1)*5 + 1) = INDEX($E$5:$CE$5, 1, (COLUMNS($DC33:DC33)-1)*5 + 1), INDEX($E$8:$CE$57, MATCH($C33, $C$8:$C$57, 0), (COLUMNS($DC33:DC33)-1)*5 + 4) = "F"), INDEX($CZ$8:$CZ$23, COLUMNS($DC33:DC33)), "0"), "")</f>
        <v/>
      </c>
      <c r="DD33" s="395">
        <f t="array" ref="DD33">IFERROR(IF(AND(INDEX($E$8:$CE$57, MATCH($C33, $C$8:$C$57, 0), (COLUMNS($DC33:DD33)-1)*5 + 1) = INDEX($E$5:$CE$5, 1, (COLUMNS($DC33:DD33)-1)*5 + 1), INDEX($E$8:$CE$57, MATCH($C33, $C$8:$C$57, 0), (COLUMNS($DC33:DD33)-1)*5 + 4) = "F"), INDEX($CZ$8:$CZ$23, COLUMNS($DC33:DD33)), "0"), "")</f>
        <v/>
      </c>
      <c r="DE33" s="395">
        <f t="array" ref="DE33">IFERROR(IF(AND(INDEX($E$8:$CE$57, MATCH($C33, $C$8:$C$57, 0), (COLUMNS($DC33:DE33)-1)*5 + 1) = INDEX($E$5:$CE$5, 1, (COLUMNS($DC33:DE33)-1)*5 + 1), INDEX($E$8:$CE$57, MATCH($C33, $C$8:$C$57, 0), (COLUMNS($DC33:DE33)-1)*5 + 4) = "F"), INDEX($CZ$8:$CZ$23, COLUMNS($DC33:DE33)), "0"), "")</f>
        <v/>
      </c>
      <c r="DF33" s="395">
        <f t="array" ref="DF33">IFERROR(IF(AND(INDEX($E$8:$CE$57, MATCH($C33, $C$8:$C$57, 0), (COLUMNS($DC33:DF33)-1)*5 + 1) = INDEX($E$5:$CE$5, 1, (COLUMNS($DC33:DF33)-1)*5 + 1), INDEX($E$8:$CE$57, MATCH($C33, $C$8:$C$57, 0), (COLUMNS($DC33:DF33)-1)*5 + 4) = "F"), INDEX($CZ$8:$CZ$23, COLUMNS($DC33:DF33)), "0"), "")</f>
        <v/>
      </c>
      <c r="DG33" s="395">
        <f t="array" ref="DG33">IFERROR(IF(AND(INDEX($E$8:$CE$57, MATCH($C33, $C$8:$C$57, 0), (COLUMNS($DC33:DG33)-1)*5 + 1) = INDEX($E$5:$CE$5, 1, (COLUMNS($DC33:DG33)-1)*5 + 1), INDEX($E$8:$CE$57, MATCH($C33, $C$8:$C$57, 0), (COLUMNS($DC33:DG33)-1)*5 + 4) = "F"), INDEX($CZ$8:$CZ$23, COLUMNS($DC33:DG33)), "0"), "")</f>
        <v/>
      </c>
      <c r="DH33" s="395">
        <f t="array" ref="DH33">IFERROR(IF(AND(INDEX($E$8:$CE$57, MATCH($C33, $C$8:$C$57, 0), (COLUMNS($DC33:DH33)-1)*5 + 1) = INDEX($E$5:$CE$5, 1, (COLUMNS($DC33:DH33)-1)*5 + 1), INDEX($E$8:$CE$57, MATCH($C33, $C$8:$C$57, 0), (COLUMNS($DC33:DH33)-1)*5 + 4) = "F"), INDEX($CZ$8:$CZ$23, COLUMNS($DC33:DH33)), "0"), "")</f>
        <v/>
      </c>
      <c r="DI33" s="395">
        <f t="array" ref="DI33">IFERROR(IF(AND(INDEX($E$8:$CE$57, MATCH($C33, $C$8:$C$57, 0), (COLUMNS($DC33:DI33)-1)*5 + 1) = INDEX($E$5:$CE$5, 1, (COLUMNS($DC33:DI33)-1)*5 + 1), INDEX($E$8:$CE$57, MATCH($C33, $C$8:$C$57, 0), (COLUMNS($DC33:DI33)-1)*5 + 4) = "F"), INDEX($CZ$8:$CZ$23, COLUMNS($DC33:DI33)), "0"), "")</f>
        <v/>
      </c>
      <c r="DJ33" s="395">
        <f t="array" ref="DJ33">IFERROR(IF(AND(INDEX($E$8:$CE$57, MATCH($C33, $C$8:$C$57, 0), (COLUMNS($DC33:DJ33)-1)*5 + 1) = INDEX($E$5:$CE$5, 1, (COLUMNS($DC33:DJ33)-1)*5 + 1), INDEX($E$8:$CE$57, MATCH($C33, $C$8:$C$57, 0), (COLUMNS($DC33:DJ33)-1)*5 + 4) = "F"), INDEX($CZ$8:$CZ$23, COLUMNS($DC33:DJ33)), "0"), "")</f>
        <v/>
      </c>
      <c r="DK33" s="395">
        <f t="array" ref="DK33">IFERROR(IF(AND(INDEX($E$8:$CE$57, MATCH($C33, $C$8:$C$57, 0), (COLUMNS($DC33:DK33)-1)*5 + 1) = INDEX($E$5:$CE$5, 1, (COLUMNS($DC33:DK33)-1)*5 + 1), INDEX($E$8:$CE$57, MATCH($C33, $C$8:$C$57, 0), (COLUMNS($DC33:DK33)-1)*5 + 4) = "F"), INDEX($CZ$8:$CZ$23, COLUMNS($DC33:DK33)), "0"), "")</f>
        <v/>
      </c>
      <c r="DL33" s="395">
        <f t="array" ref="DL33">IFERROR(IF(AND(INDEX($E$8:$CE$57, MATCH($C33, $C$8:$C$57, 0), (COLUMNS($DC33:DL33)-1)*5 + 1) = INDEX($E$5:$CE$5, 1, (COLUMNS($DC33:DL33)-1)*5 + 1), INDEX($E$8:$CE$57, MATCH($C33, $C$8:$C$57, 0), (COLUMNS($DC33:DL33)-1)*5 + 4) = "F"), INDEX($CZ$8:$CZ$23, COLUMNS($DC33:DL33)), "0"), "")</f>
        <v/>
      </c>
      <c r="DM33" s="395">
        <f t="array" ref="DM33">IFERROR(IF(AND(INDEX($E$8:$CE$57, MATCH($C33, $C$8:$C$57, 0), (COLUMNS($DC33:DM33)-1)*5 + 1) = INDEX($E$5:$CE$5, 1, (COLUMNS($DC33:DM33)-1)*5 + 1), INDEX($E$8:$CE$57, MATCH($C33, $C$8:$C$57, 0), (COLUMNS($DC33:DM33)-1)*5 + 4) = "F"), INDEX($CZ$8:$CZ$23, COLUMNS($DC33:DM33)), "0"), "")</f>
        <v/>
      </c>
      <c r="DN33" s="395">
        <f t="array" ref="DN33">IFERROR(IF(AND(INDEX($E$8:$CE$57, MATCH($C33, $C$8:$C$57, 0), (COLUMNS($DC33:DN33)-1)*5 + 1) = INDEX($E$5:$CE$5, 1, (COLUMNS($DC33:DN33)-1)*5 + 1), INDEX($E$8:$CE$57, MATCH($C33, $C$8:$C$57, 0), (COLUMNS($DC33:DN33)-1)*5 + 4) = "F"), INDEX($CZ$8:$CZ$23, COLUMNS($DC33:DN33)), "0"), "")</f>
        <v/>
      </c>
      <c r="DO33" s="395">
        <f t="array" ref="DO33">IFERROR(IF(AND(INDEX($E$8:$CE$57, MATCH($C33, $C$8:$C$57, 0), (COLUMNS($DC33:DO33)-1)*5 + 1) = INDEX($E$5:$CE$5, 1, (COLUMNS($DC33:DO33)-1)*5 + 1), INDEX($E$8:$CE$57, MATCH($C33, $C$8:$C$57, 0), (COLUMNS($DC33:DO33)-1)*5 + 4) = "F"), INDEX($CZ$8:$CZ$23, COLUMNS($DC33:DO33)), "0"), "")</f>
        <v/>
      </c>
      <c r="DP33" s="395">
        <f t="array" ref="DP33">IFERROR(IF(AND(INDEX($E$8:$CE$57, MATCH($C33, $C$8:$C$57, 0), (COLUMNS($DC33:DP33)-1)*5 + 1) = INDEX($E$5:$CE$5, 1, (COLUMNS($DC33:DP33)-1)*5 + 1), INDEX($E$8:$CE$57, MATCH($C33, $C$8:$C$57, 0), (COLUMNS($DC33:DP33)-1)*5 + 4) = "F"), INDEX($CZ$8:$CZ$23, COLUMNS($DC33:DP33)), "0"), "")</f>
        <v/>
      </c>
      <c r="DQ33" s="395">
        <f t="array" ref="DQ33">IFERROR(IF(AND(INDEX($E$8:$CE$57, MATCH($C33, $C$8:$C$57, 0), (COLUMNS($DC33:DQ33)-1)*5 + 1) = INDEX($E$5:$CE$5, 1, (COLUMNS($DC33:DQ33)-1)*5 + 1), INDEX($E$8:$CE$57, MATCH($C33, $C$8:$C$57, 0), (COLUMNS($DC33:DQ33)-1)*5 + 4) = "F"), INDEX($CZ$8:$CZ$23, COLUMNS($DC33:DQ33)), "0"), "")</f>
        <v/>
      </c>
      <c r="DR33" s="395">
        <f t="array" ref="DR33">IFERROR(IF(AND(INDEX($E$8:$CE$57, MATCH($C33, $C$8:$C$57, 0), (COLUMNS($DC33:DR33)-1)*5 + 1) = INDEX($E$5:$CE$5, 1, (COLUMNS($DC33:DR33)-1)*5 + 1), INDEX($E$8:$CE$57, MATCH($C33, $C$8:$C$57, 0), (COLUMNS($DC33:DR33)-1)*5 + 4) = "F"), INDEX($CZ$8:$CZ$23, COLUMNS($DC33:DR33)), "0"), "")</f>
        <v/>
      </c>
      <c r="DT33" s="605">
        <f>SEMANA29[[#This Row],[COD]]</f>
        <v/>
      </c>
      <c r="DU33" s="395">
        <f t="array" ref="DU33">IFERROR(IF(AND(INDEX($E$8:$CE$57, MATCH($C33, $C$8:$C$57, 0), (COLUMNS($DU33:DU33)-1)*5 + 1) = INDEX($E$5:$CE$5, 1, (COLUMNS($DU33:DU33)-1)*5 + 1), INDEX($E$8:$CE$57, MATCH($C33, $C$8:$C$57, 0), (COLUMNS($DU33:DU33)-1)*5 + 4) = "SF"), INDEX($CZ$8:$CZ$23, COLUMNS($DU33:DU33)), "0"), "")</f>
        <v/>
      </c>
      <c r="DV33" s="395">
        <f t="array" ref="DV33">IFERROR(IF(AND(INDEX($E$8:$CE$57, MATCH($C33, $C$8:$C$57, 0), (COLUMNS($DU33:DV33)-1)*5 + 1) = INDEX($E$5:$CE$5, 1, (COLUMNS($DU33:DV33)-1)*5 + 1), INDEX($E$8:$CE$57, MATCH($C33, $C$8:$C$57, 0), (COLUMNS($DU33:DV33)-1)*5 + 4) = "SF"), INDEX($CZ$8:$CZ$23, COLUMNS($DU33:DV33)), "0"), "")</f>
        <v/>
      </c>
      <c r="DW33" s="395">
        <f t="array" ref="DW33">IFERROR(IF(AND(INDEX($E$8:$CE$57, MATCH($C33, $C$8:$C$57, 0), (COLUMNS($DU33:DW33)-1)*5 + 1) = INDEX($E$5:$CE$5, 1, (COLUMNS($DU33:DW33)-1)*5 + 1), INDEX($E$8:$CE$57, MATCH($C33, $C$8:$C$57, 0), (COLUMNS($DU33:DW33)-1)*5 + 4) = "SF"), INDEX($CZ$8:$CZ$23, COLUMNS($DU33:DW33)), "0"), "")</f>
        <v/>
      </c>
      <c r="DX33" s="395">
        <f t="array" ref="DX33">IFERROR(IF(AND(INDEX($E$8:$CE$57, MATCH($C33, $C$8:$C$57, 0), (COLUMNS($DU33:DX33)-1)*5 + 1) = INDEX($E$5:$CE$5, 1, (COLUMNS($DU33:DX33)-1)*5 + 1), INDEX($E$8:$CE$57, MATCH($C33, $C$8:$C$57, 0), (COLUMNS($DU33:DX33)-1)*5 + 4) = "SF"), INDEX($CZ$8:$CZ$23, COLUMNS($DU33:DX33)), "0"), "")</f>
        <v/>
      </c>
      <c r="DY33" s="395">
        <f t="array" ref="DY33">IFERROR(IF(AND(INDEX($E$8:$CE$57, MATCH($C33, $C$8:$C$57, 0), (COLUMNS($DU33:DY33)-1)*5 + 1) = INDEX($E$5:$CE$5, 1, (COLUMNS($DU33:DY33)-1)*5 + 1), INDEX($E$8:$CE$57, MATCH($C33, $C$8:$C$57, 0), (COLUMNS($DU33:DY33)-1)*5 + 4) = "SF"), INDEX($CZ$8:$CZ$23, COLUMNS($DU33:DY33)), "0"), "")</f>
        <v/>
      </c>
      <c r="DZ33" s="395">
        <f t="array" ref="DZ33">IFERROR(IF(AND(INDEX($E$8:$CE$57, MATCH($C33, $C$8:$C$57, 0), (COLUMNS($DU33:DZ33)-1)*5 + 1) = INDEX($E$5:$CE$5, 1, (COLUMNS($DU33:DZ33)-1)*5 + 1), INDEX($E$8:$CE$57, MATCH($C33, $C$8:$C$57, 0), (COLUMNS($DU33:DZ33)-1)*5 + 4) = "SF"), INDEX($CZ$8:$CZ$23, COLUMNS($DU33:DZ33)), "0"), "")</f>
        <v/>
      </c>
      <c r="EA33" s="395">
        <f t="array" ref="EA33">IFERROR(IF(AND(INDEX($E$8:$CE$57, MATCH($C33, $C$8:$C$57, 0), (COLUMNS($DU33:EA33)-1)*5 + 1) = INDEX($E$5:$CE$5, 1, (COLUMNS($DU33:EA33)-1)*5 + 1), INDEX($E$8:$CE$57, MATCH($C33, $C$8:$C$57, 0), (COLUMNS($DU33:EA33)-1)*5 + 4) = "SF"), INDEX($CZ$8:$CZ$23, COLUMNS($DU33:EA33)), "0"), "")</f>
        <v/>
      </c>
      <c r="EB33" s="395">
        <f t="array" ref="EB33">IFERROR(IF(AND(INDEX($E$8:$CE$57, MATCH($C33, $C$8:$C$57, 0), (COLUMNS($DU33:EB33)-1)*5 + 1) = INDEX($E$5:$CE$5, 1, (COLUMNS($DU33:EB33)-1)*5 + 1), INDEX($E$8:$CE$57, MATCH($C33, $C$8:$C$57, 0), (COLUMNS($DU33:EB33)-1)*5 + 4) = "SF"), INDEX($CZ$8:$CZ$23, COLUMNS($DU33:EB33)), "0"), "")</f>
        <v/>
      </c>
      <c r="EC33" s="395">
        <f t="array" ref="EC33">IFERROR(IF(AND(INDEX($E$8:$CE$57, MATCH($C33, $C$8:$C$57, 0), (COLUMNS($DU33:EC33)-1)*5 + 1) = INDEX($E$5:$CE$5, 1, (COLUMNS($DU33:EC33)-1)*5 + 1), INDEX($E$8:$CE$57, MATCH($C33, $C$8:$C$57, 0), (COLUMNS($DU33:EC33)-1)*5 + 4) = "SF"), INDEX($CZ$8:$CZ$23, COLUMNS($DU33:EC33)), "0"), "")</f>
        <v/>
      </c>
      <c r="ED33" s="395">
        <f t="array" ref="ED33">IFERROR(IF(AND(INDEX($E$8:$CE$57, MATCH($C33, $C$8:$C$57, 0), (COLUMNS($DU33:ED33)-1)*5 + 1) = INDEX($E$5:$CE$5, 1, (COLUMNS($DU33:ED33)-1)*5 + 1), INDEX($E$8:$CE$57, MATCH($C33, $C$8:$C$57, 0), (COLUMNS($DU33:ED33)-1)*5 + 4) = "SF"), INDEX($CZ$8:$CZ$23, COLUMNS($DU33:ED33)), "0"), "")</f>
        <v/>
      </c>
      <c r="EE33" s="395">
        <f t="array" ref="EE33">IFERROR(IF(AND(INDEX($E$8:$CE$57, MATCH($C33, $C$8:$C$57, 0), (COLUMNS($DU33:EE33)-1)*5 + 1) = INDEX($E$5:$CE$5, 1, (COLUMNS($DU33:EE33)-1)*5 + 1), INDEX($E$8:$CE$57, MATCH($C33, $C$8:$C$57, 0), (COLUMNS($DU33:EE33)-1)*5 + 4) = "SF"), INDEX($CZ$8:$CZ$23, COLUMNS($DU33:EE33)), "0"), "")</f>
        <v/>
      </c>
      <c r="EF33" s="395">
        <f t="array" ref="EF33">IFERROR(IF(AND(INDEX($E$8:$CE$57, MATCH($C33, $C$8:$C$57, 0), (COLUMNS($DU33:EF33)-1)*5 + 1) = INDEX($E$5:$CE$5, 1, (COLUMNS($DU33:EF33)-1)*5 + 1), INDEX($E$8:$CE$57, MATCH($C33, $C$8:$C$57, 0), (COLUMNS($DU33:EF33)-1)*5 + 4) = "SF"), INDEX($CZ$8:$CZ$23, COLUMNS($DU33:EF33)), "0"), "")</f>
        <v/>
      </c>
      <c r="EG33" s="395">
        <f t="array" ref="EG33">IFERROR(IF(AND(INDEX($E$8:$CE$57, MATCH($C33, $C$8:$C$57, 0), (COLUMNS($DU33:EG33)-1)*5 + 1) = INDEX($E$5:$CE$5, 1, (COLUMNS($DU33:EG33)-1)*5 + 1), INDEX($E$8:$CE$57, MATCH($C33, $C$8:$C$57, 0), (COLUMNS($DU33:EG33)-1)*5 + 4) = "SF"), INDEX($CZ$8:$CZ$23, COLUMNS($DU33:EG33)), "0"), "")</f>
        <v/>
      </c>
      <c r="EH33" s="395">
        <f t="array" ref="EH33">IFERROR(IF(AND(INDEX($E$8:$CE$57, MATCH($C33, $C$8:$C$57, 0), (COLUMNS($DU33:EH33)-1)*5 + 1) = INDEX($E$5:$CE$5, 1, (COLUMNS($DU33:EH33)-1)*5 + 1), INDEX($E$8:$CE$57, MATCH($C33, $C$8:$C$57, 0), (COLUMNS($DU33:EH33)-1)*5 + 4) = "SF"), INDEX($CZ$8:$CZ$23, COLUMNS($DU33:EH33)), "0"), "")</f>
        <v/>
      </c>
      <c r="EI33" s="395">
        <f t="array" ref="EI33">IFERROR(IF(AND(INDEX($E$8:$CE$57, MATCH($C33, $C$8:$C$57, 0), (COLUMNS($DU33:EI33)-1)*5 + 1) = INDEX($E$5:$CE$5, 1, (COLUMNS($DU33:EI33)-1)*5 + 1), INDEX($E$8:$CE$57, MATCH($C33, $C$8:$C$57, 0), (COLUMNS($DU33:EI33)-1)*5 + 4) = "SF"), INDEX($CZ$8:$CZ$23, COLUMNS($DU33:EI33)), "0"), "")</f>
        <v/>
      </c>
      <c r="EJ33" s="395">
        <f t="array" ref="EJ33">IFERROR(IF(AND(INDEX($E$8:$CE$57, MATCH($C33, $C$8:$C$57, 0), (COLUMNS($DU33:EJ33)-1)*5 + 1) = INDEX($E$5:$CE$5, 1, (COLUMNS($DU33:EJ33)-1)*5 + 1), INDEX($E$8:$CE$57, MATCH($C33, $C$8:$C$57, 0), (COLUMNS($DU33:EJ33)-1)*5 + 4) = "SF"), INDEX($CZ$8:$CZ$23, COLUMNS($DU33:EJ33)), "0"), "")</f>
        <v/>
      </c>
    </row>
    <row r="34" ht="19.5" customHeight="1" s="568">
      <c r="A34" s="576" t="n"/>
      <c r="B34" s="449">
        <f>IF(SEMANA29[[#This Row],[COD]]&lt;&gt;"",B33+1,"")</f>
        <v/>
      </c>
      <c r="C34" s="622" t="inlineStr">
        <is>
          <t>COD 27</t>
        </is>
      </c>
      <c r="D34" s="415">
        <f t="array" ref="D34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4" s="416" t="n"/>
      <c r="F34" s="418" t="n"/>
      <c r="G34" s="418" t="n"/>
      <c r="H34" s="418" t="n"/>
      <c r="I34" s="602">
        <f>SUM(IF(E34=E$5,4,0),IF(E34&amp;F34=E$5&amp;F$5,1,0),
IF(AND(E34=E$5,F$6&gt;=$D$115),1,0),
IF(AND(F34=E$5,F$6&gt;=$D$115),1,0),
IF(AND(G34=E$5,F$6&gt;=$D$115),1,0),
IF(E34&amp;H34=I$5,1,0),
IF(F34=E$5,2,0),
IF(G34=E$5,1,0),
IF(OR(E34&amp;F34&amp;G34=E$5&amp;F$5&amp;G$5,E34&amp;F34&amp;G34=E$5&amp;G$5&amp;F$5,E34&amp;F34&amp;G34=F$5&amp;E$5&amp;G$5,E34&amp;F34&amp;G34=F$5&amp;G$5&amp;E$5,E34&amp;F34&amp;G34=G$5&amp;E$5&amp;F$5,E34&amp;F34&amp;G34=G$5&amp;F$5&amp;E$5),2,0),IF(AND(E34=E$5,F$6&gt;=$D$129),1,0),IF(AND(F34=E$5,F$6&gt;=$D$129),1,0),IF(AND(G34=E$5,F$6&gt;=$D$129),1,0),IF(E34&amp;H34=H$5,4,0),IF(AND(E34=E$5,F$6&lt;=$D$104),-0.5,0),IF(AND(F34=E$5,F$6&lt;=$D$104),-0.5,0),IF(AND(G34=E$5,F$6&lt;=$D$104),-0.5,0))</f>
        <v/>
      </c>
      <c r="J34" s="416" t="n"/>
      <c r="K34" s="418" t="n"/>
      <c r="L34" s="418" t="n"/>
      <c r="M34" s="418" t="n"/>
      <c r="N34" s="602">
        <f>SUM(IF(J34=J$5,4,0),IF(J34&amp;K34=J$5&amp;K$5,1,0),
IF(AND(J34=J$5,K$6&gt;=$D$115),1,0),
IF(AND(K34=J$5,K$6&gt;=$D$115),1,0),
IF(AND(L34=J$5,K$6&gt;=$D$115),1,0),
IF(J34&amp;M34=N$5,1,0),
IF(K34=J$5,2,0),
IF(L34=J$5,1,0),
IF(OR(J34&amp;K34&amp;L34=J$5&amp;K$5&amp;L$5,J34&amp;K34&amp;L34=J$5&amp;L$5&amp;K$5,J34&amp;K34&amp;L34=K$5&amp;J$5&amp;L$5,J34&amp;K34&amp;L34=K$5&amp;L$5&amp;J$5,J34&amp;K34&amp;L34=L$5&amp;J$5&amp;K$5,J34&amp;K34&amp;L34=L$5&amp;K$5&amp;J$5),2,0),IF(AND(J34=J$5,K$6&gt;=$D$129),1,0),IF(AND(K34=J$5,K$6&gt;=$D$129),1,0),IF(AND(L34=J$5,K$6&gt;=$D$129),1,0),IF(J34&amp;M34=M$5,4,0),IF(AND(J34=J$5,K$6&lt;=$D$104),-0.5,0),IF(AND(K34=J$5,K$6&lt;=$D$104),-0.5,0),IF(AND(L34=J$5,K$6&lt;=$D$104),-0.5,0))</f>
        <v/>
      </c>
      <c r="O34" s="416" t="n"/>
      <c r="P34" s="418" t="n"/>
      <c r="Q34" s="418" t="n"/>
      <c r="R34" s="418" t="n"/>
      <c r="S34" s="602">
        <f>SUM(IF(O34=O$5,4,0),IF(O34&amp;P34=O$5&amp;P$5,1,0),
IF(AND(O34=O$5,P$6&gt;=$D$115),1,0),
IF(AND(P34=O$5,P$6&gt;=$D$115),1,0),
IF(AND(Q34=O$5,P$6&gt;=$D$115),1,0),
IF(O34&amp;R34=S$5,1,0),
IF(P34=O$5,2,0),
IF(Q34=O$5,1,0),
IF(OR(O34&amp;P34&amp;Q34=O$5&amp;P$5&amp;Q$5,O34&amp;P34&amp;Q34=O$5&amp;Q$5&amp;P$5,O34&amp;P34&amp;Q34=P$5&amp;O$5&amp;Q$5,O34&amp;P34&amp;Q34=P$5&amp;Q$5&amp;O$5,O34&amp;P34&amp;Q34=Q$5&amp;O$5&amp;P$5,O34&amp;P34&amp;Q34=Q$5&amp;P$5&amp;O$5),2,0),IF(AND(O34=O$5,P$6&gt;=$D$129),1,0),IF(AND(P34=O$5,P$6&gt;=$D$129),1,0),IF(AND(Q34=O$5,P$6&gt;=$D$129),1,0),IF(O34&amp;R34=R$5,4,0),IF(AND(O34=O$5,P$6&lt;=$D$104),-0.5,0),IF(AND(P34=O$5,P$6&lt;=$D$104),-0.5,0),IF(AND(Q34=O$5,P$6&lt;=$D$104),-0.5,0))</f>
        <v/>
      </c>
      <c r="T34" s="416" t="n"/>
      <c r="U34" s="418" t="n"/>
      <c r="V34" s="418" t="n"/>
      <c r="W34" s="418" t="n"/>
      <c r="X34" s="602">
        <f>SUM(IF(T34=T$5,4,0),IF(T34&amp;U34=T$5&amp;U$5,1,0),
IF(AND(T34=T$5,U$6&gt;=$D$115),1,0),
IF(AND(U34=T$5,U$6&gt;=$D$115),1,0),
IF(AND(V34=T$5,U$6&gt;=$D$115),1,0),
IF(T34&amp;W34=X$5,1,0),
IF(U34=T$5,2,0),
IF(V34=T$5,1,0),
IF(OR(T34&amp;U34&amp;V34=T$5&amp;U$5&amp;V$5,T34&amp;U34&amp;V34=T$5&amp;V$5&amp;U$5,T34&amp;U34&amp;V34=U$5&amp;T$5&amp;V$5,T34&amp;U34&amp;V34=U$5&amp;V$5&amp;T$5,T34&amp;U34&amp;V34=V$5&amp;T$5&amp;U$5,T34&amp;U34&amp;V34=V$5&amp;U$5&amp;T$5),2,0),IF(AND(T34=T$5,U$6&gt;=$D$129),1,0),IF(AND(U34=T$5,U$6&gt;=$D$129),1,0),IF(AND(V34=T$5,U$6&gt;=$D$129),1,0),IF(T34&amp;W34=W$5,4,0),IF(AND(T34=T$5,U$6&lt;=$D$104),-0.5,0),IF(AND(U34=T$5,U$6&lt;=$D$104),-0.5,0),IF(AND(V34=T$5,U$6&lt;=$D$104),-0.5,0))</f>
        <v/>
      </c>
      <c r="Y34" s="416" t="n"/>
      <c r="Z34" s="418" t="n"/>
      <c r="AA34" s="418" t="n"/>
      <c r="AB34" s="418" t="n"/>
      <c r="AC34" s="602">
        <f>SUM(IF(Y34=Y$5,4,0),IF(Y34&amp;Z34=Y$5&amp;Z$5,1,0),
IF(AND(Y34=Y$5,Z$6&gt;=$D$115),1,0),
IF(AND(Z34=Y$5,Z$6&gt;=$D$115),1,0),
IF(AND(AA34=Y$5,Z$6&gt;=$D$115),1,0),
IF(Y34&amp;AB34=AC$5,1,0),
IF(Z34=Y$5,2,0),
IF(AA34=Y$5,1,0),
IF(OR(Y34&amp;Z34&amp;AA34=Y$5&amp;Z$5&amp;AA$5,Y34&amp;Z34&amp;AA34=Y$5&amp;AA$5&amp;Z$5,Y34&amp;Z34&amp;AA34=Z$5&amp;Y$5&amp;AA$5,Y34&amp;Z34&amp;AA34=Z$5&amp;AA$5&amp;Y$5,Y34&amp;Z34&amp;AA34=AA$5&amp;Y$5&amp;Z$5,Y34&amp;Z34&amp;AA34=AA$5&amp;Z$5&amp;Y$5),2,0),IF(AND(Y34=Y$5,Z$6&gt;=$D$129),1,0),IF(AND(Z34=Y$5,Z$6&gt;=$D$129),1,0),IF(AND(AA34=Y$5,Z$6&gt;=$D$129),1,0),IF(Y34&amp;AB34=AB$5,4,0),IF(AND(Y34=Y$5,Z$6&lt;=$D$104),-0.5,0),IF(AND(Z34=Y$5,Z$6&lt;=$D$104),-0.5,0),IF(AND(AA34=Y$5,Z$6&lt;=$D$104),-0.5,0))</f>
        <v/>
      </c>
      <c r="AD34" s="416" t="n"/>
      <c r="AE34" s="418" t="n"/>
      <c r="AF34" s="418" t="n"/>
      <c r="AG34" s="418" t="n"/>
      <c r="AH34" s="602">
        <f>SUM(IF(AD34=AD$5,4,0),IF(AD34&amp;AE34=AD$5&amp;AE$5,1,0),
IF(AND(AD34=AD$5,AE$6&gt;=$D$115),1,0),
IF(AND(AE34=AD$5,AE$6&gt;=$D$115),1,0),
IF(AND(AF34=AD$5,AE$6&gt;=$D$115),1,0),
IF(AD34&amp;AG34=AH$5,1,0),
IF(AE34=AD$5,2,0),
IF(AF34=AD$5,1,0),
IF(OR(AD34&amp;AE34&amp;AF34=AD$5&amp;AE$5&amp;AF$5,AD34&amp;AE34&amp;AF34=AD$5&amp;AF$5&amp;AE$5,AD34&amp;AE34&amp;AF34=AE$5&amp;AD$5&amp;AF$5,AD34&amp;AE34&amp;AF34=AE$5&amp;AF$5&amp;AD$5,AD34&amp;AE34&amp;AF34=AF$5&amp;AD$5&amp;AE$5,AD34&amp;AE34&amp;AF34=AF$5&amp;AE$5&amp;AD$5),2,0),IF(AND(AD34=AD$5,AE$6&gt;=$D$129),1,0),IF(AND(AE34=AD$5,AE$6&gt;=$D$129),1,0),IF(AND(AF34=AD$5,AE$6&gt;=$D$129),1,0),IF(AD34&amp;AG34=AG$5,4,0),IF(AND(AD34=AD$5,AE$6&lt;=$D$104),-0.5,0),IF(AND(AE34=AD$5,AE$6&lt;=$D$104),-0.5,0),IF(AND(AF34=AD$5,AE$6&lt;=$D$104),-0.5,0))</f>
        <v/>
      </c>
      <c r="AI34" s="416" t="n"/>
      <c r="AJ34" s="418" t="n"/>
      <c r="AK34" s="418" t="n"/>
      <c r="AL34" s="418" t="n"/>
      <c r="AM34" s="602">
        <f>SUM(IF(AI34=AI$5,4,0),IF(AI34&amp;AJ34=AI$5&amp;AJ$5,1,0),
IF(AND(AI34=AI$5,AJ$6&gt;=$D$115),1,0),
IF(AND(AJ34=AI$5,AJ$6&gt;=$D$115),1,0),
IF(AND(AK34=AI$5,AJ$6&gt;=$D$115),1,0),
IF(AI34&amp;AL34=AM$5,1,0),
IF(AJ34=AI$5,2,0),
IF(AK34=AI$5,1,0),
IF(OR(AI34&amp;AJ34&amp;AK34=AI$5&amp;AJ$5&amp;AK$5,AI34&amp;AJ34&amp;AK34=AI$5&amp;AK$5&amp;AJ$5,AI34&amp;AJ34&amp;AK34=AJ$5&amp;AI$5&amp;AK$5,AI34&amp;AJ34&amp;AK34=AJ$5&amp;AK$5&amp;AI$5,AI34&amp;AJ34&amp;AK34=AK$5&amp;AI$5&amp;AJ$5,AI34&amp;AJ34&amp;AK34=AK$5&amp;AJ$5&amp;AI$5),2,0),IF(AND(AI34=AI$5,AJ$6&gt;=$D$129),1,0),IF(AND(AJ34=AI$5,AJ$6&gt;=$D$129),1,0),IF(AND(AK34=AI$5,AJ$6&gt;=$D$129),1,0),IF(AI34&amp;AL34=AL$5,4,0),IF(AND(AI34=AI$5,AJ$6&lt;=$D$104),-0.5,0),IF(AND(AJ34=AI$5,AJ$6&lt;=$D$104),-0.5,0),IF(AND(AK34=AI$5,AJ$6&lt;=$D$104),-0.5,0))</f>
        <v/>
      </c>
      <c r="AN34" s="416" t="n"/>
      <c r="AO34" s="418" t="n"/>
      <c r="AP34" s="418" t="n"/>
      <c r="AQ34" s="418" t="n"/>
      <c r="AR34" s="602">
        <f>SUM(IF(AN34=AN$5,4,0),IF(AN34&amp;AO34=AN$5&amp;AO$5,1,0),
IF(AND(AN34=AN$5,AO$6&gt;=$D$115),1,0),
IF(AND(AO34=AN$5,AO$6&gt;=$D$115),1,0),
IF(AND(AP34=AN$5,AO$6&gt;=$D$115),1,0),
IF(AN34&amp;AQ34=AR$5,1,0),
IF(AO34=AN$5,2,0),
IF(AP34=AN$5,1,0),
IF(OR(AN34&amp;AO34&amp;AP34=AN$5&amp;AO$5&amp;AP$5,AN34&amp;AO34&amp;AP34=AN$5&amp;AP$5&amp;AO$5,AN34&amp;AO34&amp;AP34=AO$5&amp;AN$5&amp;AP$5,AN34&amp;AO34&amp;AP34=AO$5&amp;AP$5&amp;AN$5,AN34&amp;AO34&amp;AP34=AP$5&amp;AN$5&amp;AO$5,AN34&amp;AO34&amp;AP34=AP$5&amp;AO$5&amp;AN$5),2,0),IF(AND(AN34=AN$5,AO$6&gt;=$D$129),1,0),IF(AND(AO34=AN$5,AO$6&gt;=$D$129),1,0),IF(AND(AP34=AN$5,AO$6&gt;=$D$129),1,0),IF(AN34&amp;AQ34=AQ$5,4,0),IF(AND(AN34=AN$5,AO$6&lt;=$D$104),-0.5,0),IF(AND(AO34=AN$5,AO$6&lt;=$D$104),-0.5,0),IF(AND(AP34=AN$5,AO$6&lt;=$D$104),-0.5,0))</f>
        <v/>
      </c>
      <c r="AS34" s="416" t="n"/>
      <c r="AT34" s="418" t="n"/>
      <c r="AU34" s="418" t="n"/>
      <c r="AV34" s="418" t="n"/>
      <c r="AW34" s="602">
        <f>SUM(IF(AS34=AS$5,4,0),IF(AS34&amp;AT34=AS$5&amp;AT$5,1,0),
IF(AND(AS34=AS$5,AT$6&gt;=$D$115),1,0),
IF(AND(AT34=AS$5,AT$6&gt;=$D$115),1,0),
IF(AND(AU34=AS$5,AT$6&gt;=$D$115),1,0),
IF(AS34&amp;AV34=AW$5,1,0),
IF(AT34=AS$5,2,0),
IF(AU34=AS$5,1,0),
IF(OR(AS34&amp;AT34&amp;AU34=AS$5&amp;AT$5&amp;AU$5,AS34&amp;AT34&amp;AU34=AS$5&amp;AU$5&amp;AT$5,AS34&amp;AT34&amp;AU34=AT$5&amp;AS$5&amp;AU$5,AS34&amp;AT34&amp;AU34=AT$5&amp;AU$5&amp;AS$5,AS34&amp;AT34&amp;AU34=AU$5&amp;AS$5&amp;AT$5,AS34&amp;AT34&amp;AU34=AU$5&amp;AT$5&amp;AS$5),2,0),IF(AND(AS34=AS$5,AT$6&gt;=$D$129),1,0),IF(AND(AT34=AS$5,AT$6&gt;=$D$129),1,0),IF(AND(AU34=AS$5,AT$6&gt;=$D$129),1,0),IF(AS34&amp;AV34=AV$5,4,0),IF(AND(AS34=AS$5,AT$6&lt;=$D$104),-0.5,0),IF(AND(AT34=AS$5,AT$6&lt;=$D$104),-0.5,0),IF(AND(AU34=AS$5,AT$6&lt;=$D$104),-0.5,0))</f>
        <v/>
      </c>
      <c r="AX34" s="416" t="n"/>
      <c r="AY34" s="418" t="n"/>
      <c r="AZ34" s="418" t="n"/>
      <c r="BA34" s="418" t="n"/>
      <c r="BB34" s="602">
        <f>SUM(IF(AX34=AX$5,4,0),IF(AX34&amp;AY34=AX$5&amp;AY$5,1,0),
IF(AND(AX34=AX$5,AY$6&gt;=$D$115),1,0),
IF(AND(AY34=AX$5,AY$6&gt;=$D$115),1,0),
IF(AND(AZ34=AX$5,AY$6&gt;=$D$115),1,0),
IF(AX34&amp;BA34=BB$5,1,0),
IF(AY34=AX$5,2,0),
IF(AZ34=AX$5,1,0),
IF(OR(AX34&amp;AY34&amp;AZ34=AX$5&amp;AY$5&amp;AZ$5,AX34&amp;AY34&amp;AZ34=AX$5&amp;AZ$5&amp;AY$5,AX34&amp;AY34&amp;AZ34=AY$5&amp;AX$5&amp;AZ$5,AX34&amp;AY34&amp;AZ34=AY$5&amp;AZ$5&amp;AX$5,AX34&amp;AY34&amp;AZ34=AZ$5&amp;AX$5&amp;AY$5,AX34&amp;AY34&amp;AZ34=AZ$5&amp;AY$5&amp;AX$5),2,0),IF(AND(AX34=AX$5,AY$6&gt;=$D$129),1,0),IF(AND(AY34=AX$5,AY$6&gt;=$D$129),1,0),IF(AND(AZ34=AX$5,AY$6&gt;=$D$129),1,0),IF(AX34&amp;BA34=BA$5,4,0),IF(AND(AX34=AX$5,AY$6&lt;=$D$104),-0.5,0),IF(AND(AY34=AX$5,AY$6&lt;=$D$104),-0.5,0),IF(AND(AZ34=AX$5,AY$6&lt;=$D$104),-0.5,0))</f>
        <v/>
      </c>
      <c r="BC34" s="416" t="n"/>
      <c r="BD34" s="418" t="n"/>
      <c r="BE34" s="418" t="n"/>
      <c r="BF34" s="418" t="n"/>
      <c r="BG34" s="602">
        <f>SUM(IF(BC34=BC$5,4,0),IF(BC34&amp;BD34=BC$5&amp;BD$5,1,0),
IF(AND(BC34=BC$5,BD$6&gt;=$D$115),1,0),
IF(AND(BD34=BC$5,BD$6&gt;=$D$115),1,0),
IF(AND(BE34=BC$5,BD$6&gt;=$D$115),1,0),
IF(BC34&amp;BF34=BG$5,1,0),
IF(BD34=BC$5,2,0),
IF(BE34=BC$5,1,0),
IF(OR(BC34&amp;BD34&amp;BE34=BC$5&amp;BD$5&amp;BE$5,BC34&amp;BD34&amp;BE34=BC$5&amp;BE$5&amp;BD$5,BC34&amp;BD34&amp;BE34=BD$5&amp;BC$5&amp;BE$5,BC34&amp;BD34&amp;BE34=BD$5&amp;BE$5&amp;BC$5,BC34&amp;BD34&amp;BE34=BE$5&amp;BC$5&amp;BD$5,BC34&amp;BD34&amp;BE34=BE$5&amp;BD$5&amp;BC$5),2,0),IF(AND(BC34=BC$5,BD$6&gt;=$D$129),1,0),IF(AND(BD34=BC$5,BD$6&gt;=$D$129),1,0),IF(AND(BE34=BC$5,BD$6&gt;=$D$129),1,0),IF(BC34&amp;BF34=BF$5,4,0),IF(AND(BC34=BC$5,BD$6&lt;=$D$104),-0.5,0),IF(AND(BD34=BC$5,BD$6&lt;=$D$104),-0.5,0),IF(AND(BE34=BC$5,BD$6&lt;=$D$104),-0.5,0))</f>
        <v/>
      </c>
      <c r="BH34" s="416" t="n"/>
      <c r="BI34" s="418" t="n"/>
      <c r="BJ34" s="418" t="n"/>
      <c r="BK34" s="418" t="n"/>
      <c r="BL34" s="602">
        <f>SUM(IF(BH34=BH$5,4,0),IF(BH34&amp;BI34=BH$5&amp;BI$5,1,0),
IF(AND(BH34=BH$5,BI$6&gt;=$D$115),1,0),
IF(AND(BI34=BH$5,BI$6&gt;=$D$115),1,0),
IF(AND(BJ34=BH$5,BI$6&gt;=$D$115),1,0),
IF(BH34&amp;BK34=BL$5,1,0),
IF(BI34=BH$5,2,0),
IF(BJ34=BH$5,1,0),
IF(OR(BH34&amp;BI34&amp;BJ34=BH$5&amp;BI$5&amp;BJ$5,BH34&amp;BI34&amp;BJ34=BH$5&amp;BJ$5&amp;BI$5,BH34&amp;BI34&amp;BJ34=BI$5&amp;BH$5&amp;BJ$5,BH34&amp;BI34&amp;BJ34=BI$5&amp;BJ$5&amp;BH$5,BH34&amp;BI34&amp;BJ34=BJ$5&amp;BH$5&amp;BI$5,BH34&amp;BI34&amp;BJ34=BJ$5&amp;BI$5&amp;BH$5),2,0),IF(AND(BH34=BH$5,BI$6&gt;=$D$129),1,0),IF(AND(BI34=BH$5,BI$6&gt;=$D$129),1,0),IF(AND(BJ34=BH$5,BI$6&gt;=$D$129),1,0),IF(BH34&amp;BK34=BK$5,4,0),IF(AND(BH34=BH$5,BI$6&lt;=$D$104),-0.5,0),IF(AND(BI34=BH$5,BI$6&lt;=$D$104),-0.5,0),IF(AND(BJ34=BH$5,BI$6&lt;=$D$104),-0.5,0))</f>
        <v/>
      </c>
      <c r="BM34" s="416" t="n"/>
      <c r="BN34" s="418" t="n"/>
      <c r="BO34" s="418" t="n"/>
      <c r="BP34" s="418" t="n"/>
      <c r="BQ34" s="602">
        <f>SUM(IF(BM34=BM$5,4,0),IF(BM34&amp;BN34=BM$5&amp;BN$5,1,0),
IF(AND(BM34=BM$5,BN$6&gt;=$D$115),1,0),
IF(AND(BN34=BM$5,BN$6&gt;=$D$115),1,0),
IF(AND(BO34=BM$5,BN$6&gt;=$D$115),1,0),
IF(BM34&amp;BP34=BQ$5,1,0),
IF(BN34=BM$5,2,0),
IF(BO34=BM$5,1,0),
IF(OR(BM34&amp;BN34&amp;BO34=BM$5&amp;BN$5&amp;BO$5,BM34&amp;BN34&amp;BO34=BM$5&amp;BO$5&amp;BN$5,BM34&amp;BN34&amp;BO34=BN$5&amp;BM$5&amp;BO$5,BM34&amp;BN34&amp;BO34=BN$5&amp;BO$5&amp;BM$5,BM34&amp;BN34&amp;BO34=BO$5&amp;BM$5&amp;BN$5,BM34&amp;BN34&amp;BO34=BO$5&amp;BN$5&amp;BM$5),2,0),IF(AND(BM34=BM$5,BN$6&gt;=$D$129),1,0),IF(AND(BN34=BM$5,BN$6&gt;=$D$129),1,0),IF(AND(BO34=BM$5,BN$6&gt;=$D$129),1,0),IF(BM34&amp;BP34=BP$5,4,0),IF(AND(BM34=BM$5,BN$6&lt;=$D$104),-0.5,0),IF(AND(BN34=BM$5,BN$6&lt;=$D$104),-0.5,0),IF(AND(BO34=BM$5,BN$6&lt;=$D$104),-0.5,0))</f>
        <v/>
      </c>
      <c r="BR34" s="416" t="n"/>
      <c r="BS34" s="418" t="n"/>
      <c r="BT34" s="418" t="n"/>
      <c r="BU34" s="418" t="n"/>
      <c r="BV34" s="602">
        <f>SUM(IF(BR34=BR$5,4,0),IF(BR34&amp;BS34=BR$5&amp;BS$5,1,0),
IF(AND(BR34=BR$5,BS$6&gt;=$D$115),1,0),
IF(AND(BS34=BR$5,BS$6&gt;=$D$115),1,0),
IF(AND(BT34=BR$5,BS$6&gt;=$D$115),1,0),
IF(BR34&amp;BU34=BV$5,1,0),
IF(BS34=BR$5,2,0),
IF(BT34=BR$5,1,0),
IF(OR(BR34&amp;BS34&amp;BT34=BR$5&amp;BS$5&amp;BT$5,BR34&amp;BS34&amp;BT34=BR$5&amp;BT$5&amp;BS$5,BR34&amp;BS34&amp;BT34=BS$5&amp;BR$5&amp;BT$5,BR34&amp;BS34&amp;BT34=BS$5&amp;BT$5&amp;BR$5,BR34&amp;BS34&amp;BT34=BT$5&amp;BR$5&amp;BS$5,BR34&amp;BS34&amp;BT34=BT$5&amp;BS$5&amp;BR$5),2,0),IF(AND(BR34=BR$5,BS$6&gt;=$D$129),1,0),IF(AND(BS34=BR$5,BS$6&gt;=$D$129),1,0),IF(AND(BT34=BR$5,BS$6&gt;=$D$129),1,0),IF(BR34&amp;BU34=BU$5,4,0),IF(AND(BR34=BR$5,BS$6&lt;=$D$104),-0.5,0),IF(AND(BS34=BR$5,BS$6&lt;=$D$104),-0.5,0),IF(AND(BT34=BR$5,BS$6&lt;=$D$104),-0.5,0))</f>
        <v/>
      </c>
      <c r="BW34" s="416" t="n"/>
      <c r="BX34" s="418" t="n"/>
      <c r="BY34" s="418" t="n"/>
      <c r="BZ34" s="418" t="n"/>
      <c r="CA34" s="602">
        <f>SUM(IF(BW34=BW$5,4,0),IF(BW34&amp;BX34=BW$5&amp;BX$5,1,0),
IF(AND(BW34=BW$5,BX$6&gt;=$D$115),1,0),
IF(AND(BX34=BW$5,BX$6&gt;=$D$115),1,0),
IF(AND(BY34=BW$5,BX$6&gt;=$D$115),1,0),
IF(BW34&amp;BZ34=CA$5,1,0),
IF(BX34=BW$5,2,0),
IF(BY34=BW$5,1,0),
IF(OR(BW34&amp;BX34&amp;BY34=BW$5&amp;BX$5&amp;BY$5,BW34&amp;BX34&amp;BY34=BW$5&amp;BY$5&amp;BX$5,BW34&amp;BX34&amp;BY34=BX$5&amp;BW$5&amp;BY$5,BW34&amp;BX34&amp;BY34=BX$5&amp;BY$5&amp;BW$5,BW34&amp;BX34&amp;BY34=BY$5&amp;BW$5&amp;BX$5,BW34&amp;BX34&amp;BY34=BY$5&amp;BX$5&amp;BW$5),2,0),IF(AND(BW34=BW$5,BX$6&gt;=$D$129),1,0),IF(AND(BX34=BW$5,BX$6&gt;=$D$129),1,0),IF(AND(BY34=BW$5,BX$6&gt;=$D$129),1,0),IF(BW34&amp;BZ34=BZ$5,4,0),IF(AND(BW34=BW$5,BX$6&lt;=$D$104),-0.5,0),IF(AND(BX34=BW$5,BX$6&lt;=$D$104),-0.5,0),IF(AND(BY34=BW$5,BX$6&lt;=$D$104),-0.5,0))</f>
        <v/>
      </c>
      <c r="CB34" s="416" t="n"/>
      <c r="CC34" s="418" t="n"/>
      <c r="CD34" s="418" t="n"/>
      <c r="CE34" s="418" t="n"/>
      <c r="CF34" s="602">
        <f>SUM(IF(CB34=CB$5,4,0),IF(CB34&amp;CC34=CB$5&amp;CC$5,1,0),
IF(AND(CB34=CB$5,CC$6&gt;=$D$115),1,0),
IF(AND(CC34=CB$5,CC$6&gt;=$D$115),1,0),
IF(AND(CD34=CB$5,CC$6&gt;=$D$115),1,0),
IF(CB34&amp;CE34=CF$5,1,0),
IF(CC34=CB$5,2,0),
IF(CD34=CB$5,1,0),
IF(OR(CB34&amp;CC34&amp;CD34=CB$5&amp;CC$5&amp;CD$5,CB34&amp;CC34&amp;CD34=CB$5&amp;CD$5&amp;CC$5,CB34&amp;CC34&amp;CD34=CC$5&amp;CB$5&amp;CD$5,CB34&amp;CC34&amp;CD34=CC$5&amp;CD$5&amp;CB$5,CB34&amp;CC34&amp;CD34=CD$5&amp;CB$5&amp;CC$5,CB34&amp;CC34&amp;CD34=CD$5&amp;CC$5&amp;CB$5),2,0),IF(AND(CB34=CB$5,CC$6&gt;=$D$129),1,0),IF(AND(CC34=CB$5,CC$6&gt;=$D$129),1,0),IF(AND(CD34=CB$5,CC$6&gt;=$D$129),1,0),IF(CB34&amp;CE34=CE$5,4,0),IF(AND(CB34=CB$5,CC$6&lt;=$D$104),-0.5,0),IF(AND(CC34=CB$5,CC$6&lt;=$D$104),-0.5,0),IF(AND(CD34=CB$5,CC$6&lt;=$D$104),-0.5,0))</f>
        <v/>
      </c>
      <c r="CG34" s="164">
        <f>IF(SEMANA29[[#This Row],[1]]="",0,$B$4)</f>
        <v/>
      </c>
      <c r="CH34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4" s="166">
        <f>IF(SEMANA29[[#This Row],[Columna14]]=0,0,(CH34/CG34))</f>
        <v/>
      </c>
      <c r="CJ34" s="165">
        <f>IF(SEMANA29[[#This Row],[1]]="",0,$B$4)</f>
        <v/>
      </c>
      <c r="CK34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4" s="166">
        <f>IF(SEMANA29[[#This Row],[Columna14]]=0,0,(CK34/CJ34))</f>
        <v/>
      </c>
      <c r="CM34" s="164">
        <f>IF(SEMANA29[[#This Row],[1]]="",0,$B$4)</f>
        <v/>
      </c>
      <c r="CN34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4" s="166">
        <f>IF(SEMANA29[[#This Row],[Columna14]]=0,0,(CN34/CM34))</f>
        <v/>
      </c>
      <c r="CP34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4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Row],[Columna25]],$AX$5,BA34,"SF")+COUNTIFS(SEMANA29[[#This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4" s="166">
        <f>IFERROR(IF(SEMANA29[[#This Row],[Columna14]]=0,0,(CQ34/CP34)),0)</f>
        <v/>
      </c>
      <c r="CS34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4" s="95">
        <f>_xlfn.XLOOKUP(SEMANA29[[#This Row],[COD]],SEMANA2[COD],SEMANA2[Columna33])</f>
        <v/>
      </c>
      <c r="CU34" s="604">
        <f>SUM(CS34,CT34)</f>
        <v/>
      </c>
      <c r="CV34" s="450">
        <f>IF(SEMANA29[[#This Row],[TIPO]]="PREMIO",$O$3,"0,00")</f>
        <v/>
      </c>
      <c r="CW34" s="576" t="n"/>
      <c r="CY34" s="392">
        <f>IF(CZ34="","",$CZ$25)</f>
        <v/>
      </c>
      <c r="CZ34" s="392" t="n"/>
      <c r="DA34" s="392">
        <f t="array" ref="DA34">IF(CZ34="", "", IF((INDEX(E$8:CE$57, MATCH(CZ34, C$8:C$57, 0), ($CZ$25-1)*5 + 1) &amp; "") = (INDEX(E$5:CE$5, 1, ($CZ$25-1)*5 + 1) &amp; ""), 1, IF((INDEX(E$8:CE$57, MATCH(CZ34, C$8:C$57, 0), ($CZ$25-1)*5 + 2) &amp; "") = (INDEX(E$5:CE$5, 1, ($CZ$25-1)*5 + 1) &amp; ""), 2, IF((INDEX(E$8:CE$57, MATCH(CZ34, C$8:C$57, 0), ($CZ$25-1)*5 + 3) &amp; "") = (INDEX(E$5:CE$5, 1, ($CZ$25-1)*5 + 1) &amp; ""), 3, ""))))</f>
        <v/>
      </c>
      <c r="DB34" s="605">
        <f>SEMANA29[[#This Row],[COD]]</f>
        <v/>
      </c>
      <c r="DC34" s="395">
        <f t="array" ref="DC34">IFERROR(IF(AND(INDEX($E$8:$CE$57, MATCH($C34, $C$8:$C$57, 0), (COLUMNS($DC34:DC34)-1)*5 + 1) = INDEX($E$5:$CE$5, 1, (COLUMNS($DC34:DC34)-1)*5 + 1), INDEX($E$8:$CE$57, MATCH($C34, $C$8:$C$57, 0), (COLUMNS($DC34:DC34)-1)*5 + 4) = "F"), INDEX($CZ$8:$CZ$23, COLUMNS($DC34:DC34)), "0"), "")</f>
        <v/>
      </c>
      <c r="DD34" s="395">
        <f t="array" ref="DD34">IFERROR(IF(AND(INDEX($E$8:$CE$57, MATCH($C34, $C$8:$C$57, 0), (COLUMNS($DC34:DD34)-1)*5 + 1) = INDEX($E$5:$CE$5, 1, (COLUMNS($DC34:DD34)-1)*5 + 1), INDEX($E$8:$CE$57, MATCH($C34, $C$8:$C$57, 0), (COLUMNS($DC34:DD34)-1)*5 + 4) = "F"), INDEX($CZ$8:$CZ$23, COLUMNS($DC34:DD34)), "0"), "")</f>
        <v/>
      </c>
      <c r="DE34" s="395">
        <f t="array" ref="DE34">IFERROR(IF(AND(INDEX($E$8:$CE$57, MATCH($C34, $C$8:$C$57, 0), (COLUMNS($DC34:DE34)-1)*5 + 1) = INDEX($E$5:$CE$5, 1, (COLUMNS($DC34:DE34)-1)*5 + 1), INDEX($E$8:$CE$57, MATCH($C34, $C$8:$C$57, 0), (COLUMNS($DC34:DE34)-1)*5 + 4) = "F"), INDEX($CZ$8:$CZ$23, COLUMNS($DC34:DE34)), "0"), "")</f>
        <v/>
      </c>
      <c r="DF34" s="395">
        <f t="array" ref="DF34">IFERROR(IF(AND(INDEX($E$8:$CE$57, MATCH($C34, $C$8:$C$57, 0), (COLUMNS($DC34:DF34)-1)*5 + 1) = INDEX($E$5:$CE$5, 1, (COLUMNS($DC34:DF34)-1)*5 + 1), INDEX($E$8:$CE$57, MATCH($C34, $C$8:$C$57, 0), (COLUMNS($DC34:DF34)-1)*5 + 4) = "F"), INDEX($CZ$8:$CZ$23, COLUMNS($DC34:DF34)), "0"), "")</f>
        <v/>
      </c>
      <c r="DG34" s="395">
        <f t="array" ref="DG34">IFERROR(IF(AND(INDEX($E$8:$CE$57, MATCH($C34, $C$8:$C$57, 0), (COLUMNS($DC34:DG34)-1)*5 + 1) = INDEX($E$5:$CE$5, 1, (COLUMNS($DC34:DG34)-1)*5 + 1), INDEX($E$8:$CE$57, MATCH($C34, $C$8:$C$57, 0), (COLUMNS($DC34:DG34)-1)*5 + 4) = "F"), INDEX($CZ$8:$CZ$23, COLUMNS($DC34:DG34)), "0"), "")</f>
        <v/>
      </c>
      <c r="DH34" s="395">
        <f t="array" ref="DH34">IFERROR(IF(AND(INDEX($E$8:$CE$57, MATCH($C34, $C$8:$C$57, 0), (COLUMNS($DC34:DH34)-1)*5 + 1) = INDEX($E$5:$CE$5, 1, (COLUMNS($DC34:DH34)-1)*5 + 1), INDEX($E$8:$CE$57, MATCH($C34, $C$8:$C$57, 0), (COLUMNS($DC34:DH34)-1)*5 + 4) = "F"), INDEX($CZ$8:$CZ$23, COLUMNS($DC34:DH34)), "0"), "")</f>
        <v/>
      </c>
      <c r="DI34" s="395">
        <f t="array" ref="DI34">IFERROR(IF(AND(INDEX($E$8:$CE$57, MATCH($C34, $C$8:$C$57, 0), (COLUMNS($DC34:DI34)-1)*5 + 1) = INDEX($E$5:$CE$5, 1, (COLUMNS($DC34:DI34)-1)*5 + 1), INDEX($E$8:$CE$57, MATCH($C34, $C$8:$C$57, 0), (COLUMNS($DC34:DI34)-1)*5 + 4) = "F"), INDEX($CZ$8:$CZ$23, COLUMNS($DC34:DI34)), "0"), "")</f>
        <v/>
      </c>
      <c r="DJ34" s="395">
        <f t="array" ref="DJ34">IFERROR(IF(AND(INDEX($E$8:$CE$57, MATCH($C34, $C$8:$C$57, 0), (COLUMNS($DC34:DJ34)-1)*5 + 1) = INDEX($E$5:$CE$5, 1, (COLUMNS($DC34:DJ34)-1)*5 + 1), INDEX($E$8:$CE$57, MATCH($C34, $C$8:$C$57, 0), (COLUMNS($DC34:DJ34)-1)*5 + 4) = "F"), INDEX($CZ$8:$CZ$23, COLUMNS($DC34:DJ34)), "0"), "")</f>
        <v/>
      </c>
      <c r="DK34" s="395">
        <f t="array" ref="DK34">IFERROR(IF(AND(INDEX($E$8:$CE$57, MATCH($C34, $C$8:$C$57, 0), (COLUMNS($DC34:DK34)-1)*5 + 1) = INDEX($E$5:$CE$5, 1, (COLUMNS($DC34:DK34)-1)*5 + 1), INDEX($E$8:$CE$57, MATCH($C34, $C$8:$C$57, 0), (COLUMNS($DC34:DK34)-1)*5 + 4) = "F"), INDEX($CZ$8:$CZ$23, COLUMNS($DC34:DK34)), "0"), "")</f>
        <v/>
      </c>
      <c r="DL34" s="395">
        <f t="array" ref="DL34">IFERROR(IF(AND(INDEX($E$8:$CE$57, MATCH($C34, $C$8:$C$57, 0), (COLUMNS($DC34:DL34)-1)*5 + 1) = INDEX($E$5:$CE$5, 1, (COLUMNS($DC34:DL34)-1)*5 + 1), INDEX($E$8:$CE$57, MATCH($C34, $C$8:$C$57, 0), (COLUMNS($DC34:DL34)-1)*5 + 4) = "F"), INDEX($CZ$8:$CZ$23, COLUMNS($DC34:DL34)), "0"), "")</f>
        <v/>
      </c>
      <c r="DM34" s="395">
        <f t="array" ref="DM34">IFERROR(IF(AND(INDEX($E$8:$CE$57, MATCH($C34, $C$8:$C$57, 0), (COLUMNS($DC34:DM34)-1)*5 + 1) = INDEX($E$5:$CE$5, 1, (COLUMNS($DC34:DM34)-1)*5 + 1), INDEX($E$8:$CE$57, MATCH($C34, $C$8:$C$57, 0), (COLUMNS($DC34:DM34)-1)*5 + 4) = "F"), INDEX($CZ$8:$CZ$23, COLUMNS($DC34:DM34)), "0"), "")</f>
        <v/>
      </c>
      <c r="DN34" s="395">
        <f t="array" ref="DN34">IFERROR(IF(AND(INDEX($E$8:$CE$57, MATCH($C34, $C$8:$C$57, 0), (COLUMNS($DC34:DN34)-1)*5 + 1) = INDEX($E$5:$CE$5, 1, (COLUMNS($DC34:DN34)-1)*5 + 1), INDEX($E$8:$CE$57, MATCH($C34, $C$8:$C$57, 0), (COLUMNS($DC34:DN34)-1)*5 + 4) = "F"), INDEX($CZ$8:$CZ$23, COLUMNS($DC34:DN34)), "0"), "")</f>
        <v/>
      </c>
      <c r="DO34" s="395">
        <f t="array" ref="DO34">IFERROR(IF(AND(INDEX($E$8:$CE$57, MATCH($C34, $C$8:$C$57, 0), (COLUMNS($DC34:DO34)-1)*5 + 1) = INDEX($E$5:$CE$5, 1, (COLUMNS($DC34:DO34)-1)*5 + 1), INDEX($E$8:$CE$57, MATCH($C34, $C$8:$C$57, 0), (COLUMNS($DC34:DO34)-1)*5 + 4) = "F"), INDEX($CZ$8:$CZ$23, COLUMNS($DC34:DO34)), "0"), "")</f>
        <v/>
      </c>
      <c r="DP34" s="395">
        <f t="array" ref="DP34">IFERROR(IF(AND(INDEX($E$8:$CE$57, MATCH($C34, $C$8:$C$57, 0), (COLUMNS($DC34:DP34)-1)*5 + 1) = INDEX($E$5:$CE$5, 1, (COLUMNS($DC34:DP34)-1)*5 + 1), INDEX($E$8:$CE$57, MATCH($C34, $C$8:$C$57, 0), (COLUMNS($DC34:DP34)-1)*5 + 4) = "F"), INDEX($CZ$8:$CZ$23, COLUMNS($DC34:DP34)), "0"), "")</f>
        <v/>
      </c>
      <c r="DQ34" s="395">
        <f t="array" ref="DQ34">IFERROR(IF(AND(INDEX($E$8:$CE$57, MATCH($C34, $C$8:$C$57, 0), (COLUMNS($DC34:DQ34)-1)*5 + 1) = INDEX($E$5:$CE$5, 1, (COLUMNS($DC34:DQ34)-1)*5 + 1), INDEX($E$8:$CE$57, MATCH($C34, $C$8:$C$57, 0), (COLUMNS($DC34:DQ34)-1)*5 + 4) = "F"), INDEX($CZ$8:$CZ$23, COLUMNS($DC34:DQ34)), "0"), "")</f>
        <v/>
      </c>
      <c r="DR34" s="395">
        <f t="array" ref="DR34">IFERROR(IF(AND(INDEX($E$8:$CE$57, MATCH($C34, $C$8:$C$57, 0), (COLUMNS($DC34:DR34)-1)*5 + 1) = INDEX($E$5:$CE$5, 1, (COLUMNS($DC34:DR34)-1)*5 + 1), INDEX($E$8:$CE$57, MATCH($C34, $C$8:$C$57, 0), (COLUMNS($DC34:DR34)-1)*5 + 4) = "F"), INDEX($CZ$8:$CZ$23, COLUMNS($DC34:DR34)), "0"), "")</f>
        <v/>
      </c>
      <c r="DT34" s="605">
        <f>SEMANA29[[#This Row],[COD]]</f>
        <v/>
      </c>
      <c r="DU34" s="395">
        <f t="array" ref="DU34">IFERROR(IF(AND(INDEX($E$8:$CE$57, MATCH($C34, $C$8:$C$57, 0), (COLUMNS($DU34:DU34)-1)*5 + 1) = INDEX($E$5:$CE$5, 1, (COLUMNS($DU34:DU34)-1)*5 + 1), INDEX($E$8:$CE$57, MATCH($C34, $C$8:$C$57, 0), (COLUMNS($DU34:DU34)-1)*5 + 4) = "SF"), INDEX($CZ$8:$CZ$23, COLUMNS($DU34:DU34)), "0"), "")</f>
        <v/>
      </c>
      <c r="DV34" s="395">
        <f t="array" ref="DV34">IFERROR(IF(AND(INDEX($E$8:$CE$57, MATCH($C34, $C$8:$C$57, 0), (COLUMNS($DU34:DV34)-1)*5 + 1) = INDEX($E$5:$CE$5, 1, (COLUMNS($DU34:DV34)-1)*5 + 1), INDEX($E$8:$CE$57, MATCH($C34, $C$8:$C$57, 0), (COLUMNS($DU34:DV34)-1)*5 + 4) = "SF"), INDEX($CZ$8:$CZ$23, COLUMNS($DU34:DV34)), "0"), "")</f>
        <v/>
      </c>
      <c r="DW34" s="395">
        <f t="array" ref="DW34">IFERROR(IF(AND(INDEX($E$8:$CE$57, MATCH($C34, $C$8:$C$57, 0), (COLUMNS($DU34:DW34)-1)*5 + 1) = INDEX($E$5:$CE$5, 1, (COLUMNS($DU34:DW34)-1)*5 + 1), INDEX($E$8:$CE$57, MATCH($C34, $C$8:$C$57, 0), (COLUMNS($DU34:DW34)-1)*5 + 4) = "SF"), INDEX($CZ$8:$CZ$23, COLUMNS($DU34:DW34)), "0"), "")</f>
        <v/>
      </c>
      <c r="DX34" s="395">
        <f t="array" ref="DX34">IFERROR(IF(AND(INDEX($E$8:$CE$57, MATCH($C34, $C$8:$C$57, 0), (COLUMNS($DU34:DX34)-1)*5 + 1) = INDEX($E$5:$CE$5, 1, (COLUMNS($DU34:DX34)-1)*5 + 1), INDEX($E$8:$CE$57, MATCH($C34, $C$8:$C$57, 0), (COLUMNS($DU34:DX34)-1)*5 + 4) = "SF"), INDEX($CZ$8:$CZ$23, COLUMNS($DU34:DX34)), "0"), "")</f>
        <v/>
      </c>
      <c r="DY34" s="395">
        <f t="array" ref="DY34">IFERROR(IF(AND(INDEX($E$8:$CE$57, MATCH($C34, $C$8:$C$57, 0), (COLUMNS($DU34:DY34)-1)*5 + 1) = INDEX($E$5:$CE$5, 1, (COLUMNS($DU34:DY34)-1)*5 + 1), INDEX($E$8:$CE$57, MATCH($C34, $C$8:$C$57, 0), (COLUMNS($DU34:DY34)-1)*5 + 4) = "SF"), INDEX($CZ$8:$CZ$23, COLUMNS($DU34:DY34)), "0"), "")</f>
        <v/>
      </c>
      <c r="DZ34" s="395">
        <f t="array" ref="DZ34">IFERROR(IF(AND(INDEX($E$8:$CE$57, MATCH($C34, $C$8:$C$57, 0), (COLUMNS($DU34:DZ34)-1)*5 + 1) = INDEX($E$5:$CE$5, 1, (COLUMNS($DU34:DZ34)-1)*5 + 1), INDEX($E$8:$CE$57, MATCH($C34, $C$8:$C$57, 0), (COLUMNS($DU34:DZ34)-1)*5 + 4) = "SF"), INDEX($CZ$8:$CZ$23, COLUMNS($DU34:DZ34)), "0"), "")</f>
        <v/>
      </c>
      <c r="EA34" s="395">
        <f t="array" ref="EA34">IFERROR(IF(AND(INDEX($E$8:$CE$57, MATCH($C34, $C$8:$C$57, 0), (COLUMNS($DU34:EA34)-1)*5 + 1) = INDEX($E$5:$CE$5, 1, (COLUMNS($DU34:EA34)-1)*5 + 1), INDEX($E$8:$CE$57, MATCH($C34, $C$8:$C$57, 0), (COLUMNS($DU34:EA34)-1)*5 + 4) = "SF"), INDEX($CZ$8:$CZ$23, COLUMNS($DU34:EA34)), "0"), "")</f>
        <v/>
      </c>
      <c r="EB34" s="395">
        <f t="array" ref="EB34">IFERROR(IF(AND(INDEX($E$8:$CE$57, MATCH($C34, $C$8:$C$57, 0), (COLUMNS($DU34:EB34)-1)*5 + 1) = INDEX($E$5:$CE$5, 1, (COLUMNS($DU34:EB34)-1)*5 + 1), INDEX($E$8:$CE$57, MATCH($C34, $C$8:$C$57, 0), (COLUMNS($DU34:EB34)-1)*5 + 4) = "SF"), INDEX($CZ$8:$CZ$23, COLUMNS($DU34:EB34)), "0"), "")</f>
        <v/>
      </c>
      <c r="EC34" s="395">
        <f t="array" ref="EC34">IFERROR(IF(AND(INDEX($E$8:$CE$57, MATCH($C34, $C$8:$C$57, 0), (COLUMNS($DU34:EC34)-1)*5 + 1) = INDEX($E$5:$CE$5, 1, (COLUMNS($DU34:EC34)-1)*5 + 1), INDEX($E$8:$CE$57, MATCH($C34, $C$8:$C$57, 0), (COLUMNS($DU34:EC34)-1)*5 + 4) = "SF"), INDEX($CZ$8:$CZ$23, COLUMNS($DU34:EC34)), "0"), "")</f>
        <v/>
      </c>
      <c r="ED34" s="395">
        <f t="array" ref="ED34">IFERROR(IF(AND(INDEX($E$8:$CE$57, MATCH($C34, $C$8:$C$57, 0), (COLUMNS($DU34:ED34)-1)*5 + 1) = INDEX($E$5:$CE$5, 1, (COLUMNS($DU34:ED34)-1)*5 + 1), INDEX($E$8:$CE$57, MATCH($C34, $C$8:$C$57, 0), (COLUMNS($DU34:ED34)-1)*5 + 4) = "SF"), INDEX($CZ$8:$CZ$23, COLUMNS($DU34:ED34)), "0"), "")</f>
        <v/>
      </c>
      <c r="EE34" s="395">
        <f t="array" ref="EE34">IFERROR(IF(AND(INDEX($E$8:$CE$57, MATCH($C34, $C$8:$C$57, 0), (COLUMNS($DU34:EE34)-1)*5 + 1) = INDEX($E$5:$CE$5, 1, (COLUMNS($DU34:EE34)-1)*5 + 1), INDEX($E$8:$CE$57, MATCH($C34, $C$8:$C$57, 0), (COLUMNS($DU34:EE34)-1)*5 + 4) = "SF"), INDEX($CZ$8:$CZ$23, COLUMNS($DU34:EE34)), "0"), "")</f>
        <v/>
      </c>
      <c r="EF34" s="395">
        <f t="array" ref="EF34">IFERROR(IF(AND(INDEX($E$8:$CE$57, MATCH($C34, $C$8:$C$57, 0), (COLUMNS($DU34:EF34)-1)*5 + 1) = INDEX($E$5:$CE$5, 1, (COLUMNS($DU34:EF34)-1)*5 + 1), INDEX($E$8:$CE$57, MATCH($C34, $C$8:$C$57, 0), (COLUMNS($DU34:EF34)-1)*5 + 4) = "SF"), INDEX($CZ$8:$CZ$23, COLUMNS($DU34:EF34)), "0"), "")</f>
        <v/>
      </c>
      <c r="EG34" s="395">
        <f t="array" ref="EG34">IFERROR(IF(AND(INDEX($E$8:$CE$57, MATCH($C34, $C$8:$C$57, 0), (COLUMNS($DU34:EG34)-1)*5 + 1) = INDEX($E$5:$CE$5, 1, (COLUMNS($DU34:EG34)-1)*5 + 1), INDEX($E$8:$CE$57, MATCH($C34, $C$8:$C$57, 0), (COLUMNS($DU34:EG34)-1)*5 + 4) = "SF"), INDEX($CZ$8:$CZ$23, COLUMNS($DU34:EG34)), "0"), "")</f>
        <v/>
      </c>
      <c r="EH34" s="395">
        <f t="array" ref="EH34">IFERROR(IF(AND(INDEX($E$8:$CE$57, MATCH($C34, $C$8:$C$57, 0), (COLUMNS($DU34:EH34)-1)*5 + 1) = INDEX($E$5:$CE$5, 1, (COLUMNS($DU34:EH34)-1)*5 + 1), INDEX($E$8:$CE$57, MATCH($C34, $C$8:$C$57, 0), (COLUMNS($DU34:EH34)-1)*5 + 4) = "SF"), INDEX($CZ$8:$CZ$23, COLUMNS($DU34:EH34)), "0"), "")</f>
        <v/>
      </c>
      <c r="EI34" s="395">
        <f t="array" ref="EI34">IFERROR(IF(AND(INDEX($E$8:$CE$57, MATCH($C34, $C$8:$C$57, 0), (COLUMNS($DU34:EI34)-1)*5 + 1) = INDEX($E$5:$CE$5, 1, (COLUMNS($DU34:EI34)-1)*5 + 1), INDEX($E$8:$CE$57, MATCH($C34, $C$8:$C$57, 0), (COLUMNS($DU34:EI34)-1)*5 + 4) = "SF"), INDEX($CZ$8:$CZ$23, COLUMNS($DU34:EI34)), "0"), "")</f>
        <v/>
      </c>
      <c r="EJ34" s="395">
        <f t="array" ref="EJ34">IFERROR(IF(AND(INDEX($E$8:$CE$57, MATCH($C34, $C$8:$C$57, 0), (COLUMNS($DU34:EJ34)-1)*5 + 1) = INDEX($E$5:$CE$5, 1, (COLUMNS($DU34:EJ34)-1)*5 + 1), INDEX($E$8:$CE$57, MATCH($C34, $C$8:$C$57, 0), (COLUMNS($DU34:EJ34)-1)*5 + 4) = "SF"), INDEX($CZ$8:$CZ$23, COLUMNS($DU34:EJ34)), "0"), "")</f>
        <v/>
      </c>
    </row>
    <row r="35" ht="19.5" customHeight="1" s="568">
      <c r="A35" s="576" t="n"/>
      <c r="B35" s="449">
        <f>IF(SEMANA29[[#This Row],[COD]]&lt;&gt;"",B34+1,"")</f>
        <v/>
      </c>
      <c r="C35" s="622" t="inlineStr">
        <is>
          <t>COD 28</t>
        </is>
      </c>
      <c r="D35" s="415">
        <f t="array" ref="D35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5" s="416" t="n"/>
      <c r="F35" s="418" t="n"/>
      <c r="G35" s="418" t="n"/>
      <c r="H35" s="418" t="n"/>
      <c r="I35" s="602">
        <f>SUM(IF(E35=E$5,4,0),IF(E35&amp;F35=E$5&amp;F$5,1,0),
IF(AND(E35=E$5,F$6&gt;=$D$115),1,0),
IF(AND(F35=E$5,F$6&gt;=$D$115),1,0),
IF(AND(G35=E$5,F$6&gt;=$D$115),1,0),
IF(E35&amp;H35=I$5,1,0),
IF(F35=E$5,2,0),
IF(G35=E$5,1,0),
IF(OR(E35&amp;F35&amp;G35=E$5&amp;F$5&amp;G$5,E35&amp;F35&amp;G35=E$5&amp;G$5&amp;F$5,E35&amp;F35&amp;G35=F$5&amp;E$5&amp;G$5,E35&amp;F35&amp;G35=F$5&amp;G$5&amp;E$5,E35&amp;F35&amp;G35=G$5&amp;E$5&amp;F$5,E35&amp;F35&amp;G35=G$5&amp;F$5&amp;E$5),2,0),IF(AND(E35=E$5,F$6&gt;=$D$129),1,0),IF(AND(F35=E$5,F$6&gt;=$D$129),1,0),IF(AND(G35=E$5,F$6&gt;=$D$129),1,0),IF(E35&amp;H35=H$5,4,0),IF(AND(E35=E$5,F$6&lt;=$D$104),-0.5,0),IF(AND(F35=E$5,F$6&lt;=$D$104),-0.5,0),IF(AND(G35=E$5,F$6&lt;=$D$104),-0.5,0))</f>
        <v/>
      </c>
      <c r="J35" s="416" t="n"/>
      <c r="K35" s="418" t="n"/>
      <c r="L35" s="418" t="n"/>
      <c r="M35" s="418" t="n"/>
      <c r="N35" s="602">
        <f>SUM(IF(J35=J$5,4,0),IF(J35&amp;K35=J$5&amp;K$5,1,0),
IF(AND(J35=J$5,K$6&gt;=$D$115),1,0),
IF(AND(K35=J$5,K$6&gt;=$D$115),1,0),
IF(AND(L35=J$5,K$6&gt;=$D$115),1,0),
IF(J35&amp;M35=N$5,1,0),
IF(K35=J$5,2,0),
IF(L35=J$5,1,0),
IF(OR(J35&amp;K35&amp;L35=J$5&amp;K$5&amp;L$5,J35&amp;K35&amp;L35=J$5&amp;L$5&amp;K$5,J35&amp;K35&amp;L35=K$5&amp;J$5&amp;L$5,J35&amp;K35&amp;L35=K$5&amp;L$5&amp;J$5,J35&amp;K35&amp;L35=L$5&amp;J$5&amp;K$5,J35&amp;K35&amp;L35=L$5&amp;K$5&amp;J$5),2,0),IF(AND(J35=J$5,K$6&gt;=$D$129),1,0),IF(AND(K35=J$5,K$6&gt;=$D$129),1,0),IF(AND(L35=J$5,K$6&gt;=$D$129),1,0),IF(J35&amp;M35=M$5,4,0),IF(AND(J35=J$5,K$6&lt;=$D$104),-0.5,0),IF(AND(K35=J$5,K$6&lt;=$D$104),-0.5,0),IF(AND(L35=J$5,K$6&lt;=$D$104),-0.5,0))</f>
        <v/>
      </c>
      <c r="O35" s="416" t="n"/>
      <c r="P35" s="418" t="n"/>
      <c r="Q35" s="418" t="n"/>
      <c r="R35" s="418" t="n"/>
      <c r="S35" s="602">
        <f>SUM(IF(O35=O$5,4,0),IF(O35&amp;P35=O$5&amp;P$5,1,0),
IF(AND(O35=O$5,P$6&gt;=$D$115),1,0),
IF(AND(P35=O$5,P$6&gt;=$D$115),1,0),
IF(AND(Q35=O$5,P$6&gt;=$D$115),1,0),
IF(O35&amp;R35=S$5,1,0),
IF(P35=O$5,2,0),
IF(Q35=O$5,1,0),
IF(OR(O35&amp;P35&amp;Q35=O$5&amp;P$5&amp;Q$5,O35&amp;P35&amp;Q35=O$5&amp;Q$5&amp;P$5,O35&amp;P35&amp;Q35=P$5&amp;O$5&amp;Q$5,O35&amp;P35&amp;Q35=P$5&amp;Q$5&amp;O$5,O35&amp;P35&amp;Q35=Q$5&amp;O$5&amp;P$5,O35&amp;P35&amp;Q35=Q$5&amp;P$5&amp;O$5),2,0),IF(AND(O35=O$5,P$6&gt;=$D$129),1,0),IF(AND(P35=O$5,P$6&gt;=$D$129),1,0),IF(AND(Q35=O$5,P$6&gt;=$D$129),1,0),IF(O35&amp;R35=R$5,4,0),IF(AND(O35=O$5,P$6&lt;=$D$104),-0.5,0),IF(AND(P35=O$5,P$6&lt;=$D$104),-0.5,0),IF(AND(Q35=O$5,P$6&lt;=$D$104),-0.5,0))</f>
        <v/>
      </c>
      <c r="T35" s="416" t="n"/>
      <c r="U35" s="418" t="n"/>
      <c r="V35" s="418" t="n"/>
      <c r="W35" s="418" t="n"/>
      <c r="X35" s="602">
        <f>SUM(IF(T35=T$5,4,0),IF(T35&amp;U35=T$5&amp;U$5,1,0),
IF(AND(T35=T$5,U$6&gt;=$D$115),1,0),
IF(AND(U35=T$5,U$6&gt;=$D$115),1,0),
IF(AND(V35=T$5,U$6&gt;=$D$115),1,0),
IF(T35&amp;W35=X$5,1,0),
IF(U35=T$5,2,0),
IF(V35=T$5,1,0),
IF(OR(T35&amp;U35&amp;V35=T$5&amp;U$5&amp;V$5,T35&amp;U35&amp;V35=T$5&amp;V$5&amp;U$5,T35&amp;U35&amp;V35=U$5&amp;T$5&amp;V$5,T35&amp;U35&amp;V35=U$5&amp;V$5&amp;T$5,T35&amp;U35&amp;V35=V$5&amp;T$5&amp;U$5,T35&amp;U35&amp;V35=V$5&amp;U$5&amp;T$5),2,0),IF(AND(T35=T$5,U$6&gt;=$D$129),1,0),IF(AND(U35=T$5,U$6&gt;=$D$129),1,0),IF(AND(V35=T$5,U$6&gt;=$D$129),1,0),IF(T35&amp;W35=W$5,4,0),IF(AND(T35=T$5,U$6&lt;=$D$104),-0.5,0),IF(AND(U35=T$5,U$6&lt;=$D$104),-0.5,0),IF(AND(V35=T$5,U$6&lt;=$D$104),-0.5,0))</f>
        <v/>
      </c>
      <c r="Y35" s="416" t="n"/>
      <c r="Z35" s="418" t="n"/>
      <c r="AA35" s="418" t="n"/>
      <c r="AB35" s="418" t="n"/>
      <c r="AC35" s="602">
        <f>SUM(IF(Y35=Y$5,4,0),IF(Y35&amp;Z35=Y$5&amp;Z$5,1,0),
IF(AND(Y35=Y$5,Z$6&gt;=$D$115),1,0),
IF(AND(Z35=Y$5,Z$6&gt;=$D$115),1,0),
IF(AND(AA35=Y$5,Z$6&gt;=$D$115),1,0),
IF(Y35&amp;AB35=AC$5,1,0),
IF(Z35=Y$5,2,0),
IF(AA35=Y$5,1,0),
IF(OR(Y35&amp;Z35&amp;AA35=Y$5&amp;Z$5&amp;AA$5,Y35&amp;Z35&amp;AA35=Y$5&amp;AA$5&amp;Z$5,Y35&amp;Z35&amp;AA35=Z$5&amp;Y$5&amp;AA$5,Y35&amp;Z35&amp;AA35=Z$5&amp;AA$5&amp;Y$5,Y35&amp;Z35&amp;AA35=AA$5&amp;Y$5&amp;Z$5,Y35&amp;Z35&amp;AA35=AA$5&amp;Z$5&amp;Y$5),2,0),IF(AND(Y35=Y$5,Z$6&gt;=$D$129),1,0),IF(AND(Z35=Y$5,Z$6&gt;=$D$129),1,0),IF(AND(AA35=Y$5,Z$6&gt;=$D$129),1,0),IF(Y35&amp;AB35=AB$5,4,0),IF(AND(Y35=Y$5,Z$6&lt;=$D$104),-0.5,0),IF(AND(Z35=Y$5,Z$6&lt;=$D$104),-0.5,0),IF(AND(AA35=Y$5,Z$6&lt;=$D$104),-0.5,0))</f>
        <v/>
      </c>
      <c r="AD35" s="416" t="n"/>
      <c r="AE35" s="418" t="n"/>
      <c r="AF35" s="418" t="n"/>
      <c r="AG35" s="418" t="n"/>
      <c r="AH35" s="602">
        <f>SUM(IF(AD35=AD$5,4,0),IF(AD35&amp;AE35=AD$5&amp;AE$5,1,0),
IF(AND(AD35=AD$5,AE$6&gt;=$D$115),1,0),
IF(AND(AE35=AD$5,AE$6&gt;=$D$115),1,0),
IF(AND(AF35=AD$5,AE$6&gt;=$D$115),1,0),
IF(AD35&amp;AG35=AH$5,1,0),
IF(AE35=AD$5,2,0),
IF(AF35=AD$5,1,0),
IF(OR(AD35&amp;AE35&amp;AF35=AD$5&amp;AE$5&amp;AF$5,AD35&amp;AE35&amp;AF35=AD$5&amp;AF$5&amp;AE$5,AD35&amp;AE35&amp;AF35=AE$5&amp;AD$5&amp;AF$5,AD35&amp;AE35&amp;AF35=AE$5&amp;AF$5&amp;AD$5,AD35&amp;AE35&amp;AF35=AF$5&amp;AD$5&amp;AE$5,AD35&amp;AE35&amp;AF35=AF$5&amp;AE$5&amp;AD$5),2,0),IF(AND(AD35=AD$5,AE$6&gt;=$D$129),1,0),IF(AND(AE35=AD$5,AE$6&gt;=$D$129),1,0),IF(AND(AF35=AD$5,AE$6&gt;=$D$129),1,0),IF(AD35&amp;AG35=AG$5,4,0),IF(AND(AD35=AD$5,AE$6&lt;=$D$104),-0.5,0),IF(AND(AE35=AD$5,AE$6&lt;=$D$104),-0.5,0),IF(AND(AF35=AD$5,AE$6&lt;=$D$104),-0.5,0))</f>
        <v/>
      </c>
      <c r="AI35" s="416" t="n"/>
      <c r="AJ35" s="418" t="n"/>
      <c r="AK35" s="418" t="n"/>
      <c r="AL35" s="418" t="n"/>
      <c r="AM35" s="602">
        <f>SUM(IF(AI35=AI$5,4,0),IF(AI35&amp;AJ35=AI$5&amp;AJ$5,1,0),
IF(AND(AI35=AI$5,AJ$6&gt;=$D$115),1,0),
IF(AND(AJ35=AI$5,AJ$6&gt;=$D$115),1,0),
IF(AND(AK35=AI$5,AJ$6&gt;=$D$115),1,0),
IF(AI35&amp;AL35=AM$5,1,0),
IF(AJ35=AI$5,2,0),
IF(AK35=AI$5,1,0),
IF(OR(AI35&amp;AJ35&amp;AK35=AI$5&amp;AJ$5&amp;AK$5,AI35&amp;AJ35&amp;AK35=AI$5&amp;AK$5&amp;AJ$5,AI35&amp;AJ35&amp;AK35=AJ$5&amp;AI$5&amp;AK$5,AI35&amp;AJ35&amp;AK35=AJ$5&amp;AK$5&amp;AI$5,AI35&amp;AJ35&amp;AK35=AK$5&amp;AI$5&amp;AJ$5,AI35&amp;AJ35&amp;AK35=AK$5&amp;AJ$5&amp;AI$5),2,0),IF(AND(AI35=AI$5,AJ$6&gt;=$D$129),1,0),IF(AND(AJ35=AI$5,AJ$6&gt;=$D$129),1,0),IF(AND(AK35=AI$5,AJ$6&gt;=$D$129),1,0),IF(AI35&amp;AL35=AL$5,4,0),IF(AND(AI35=AI$5,AJ$6&lt;=$D$104),-0.5,0),IF(AND(AJ35=AI$5,AJ$6&lt;=$D$104),-0.5,0),IF(AND(AK35=AI$5,AJ$6&lt;=$D$104),-0.5,0))</f>
        <v/>
      </c>
      <c r="AN35" s="416" t="n"/>
      <c r="AO35" s="418" t="n"/>
      <c r="AP35" s="418" t="n"/>
      <c r="AQ35" s="418" t="n"/>
      <c r="AR35" s="602">
        <f>SUM(IF(AN35=AN$5,4,0),IF(AN35&amp;AO35=AN$5&amp;AO$5,1,0),
IF(AND(AN35=AN$5,AO$6&gt;=$D$115),1,0),
IF(AND(AO35=AN$5,AO$6&gt;=$D$115),1,0),
IF(AND(AP35=AN$5,AO$6&gt;=$D$115),1,0),
IF(AN35&amp;AQ35=AR$5,1,0),
IF(AO35=AN$5,2,0),
IF(AP35=AN$5,1,0),
IF(OR(AN35&amp;AO35&amp;AP35=AN$5&amp;AO$5&amp;AP$5,AN35&amp;AO35&amp;AP35=AN$5&amp;AP$5&amp;AO$5,AN35&amp;AO35&amp;AP35=AO$5&amp;AN$5&amp;AP$5,AN35&amp;AO35&amp;AP35=AO$5&amp;AP$5&amp;AN$5,AN35&amp;AO35&amp;AP35=AP$5&amp;AN$5&amp;AO$5,AN35&amp;AO35&amp;AP35=AP$5&amp;AO$5&amp;AN$5),2,0),IF(AND(AN35=AN$5,AO$6&gt;=$D$129),1,0),IF(AND(AO35=AN$5,AO$6&gt;=$D$129),1,0),IF(AND(AP35=AN$5,AO$6&gt;=$D$129),1,0),IF(AN35&amp;AQ35=AQ$5,4,0),IF(AND(AN35=AN$5,AO$6&lt;=$D$104),-0.5,0),IF(AND(AO35=AN$5,AO$6&lt;=$D$104),-0.5,0),IF(AND(AP35=AN$5,AO$6&lt;=$D$104),-0.5,0))</f>
        <v/>
      </c>
      <c r="AS35" s="416" t="n"/>
      <c r="AT35" s="418" t="n"/>
      <c r="AU35" s="418" t="n"/>
      <c r="AV35" s="418" t="n"/>
      <c r="AW35" s="602">
        <f>SUM(IF(AS35=AS$5,4,0),IF(AS35&amp;AT35=AS$5&amp;AT$5,1,0),
IF(AND(AS35=AS$5,AT$6&gt;=$D$115),1,0),
IF(AND(AT35=AS$5,AT$6&gt;=$D$115),1,0),
IF(AND(AU35=AS$5,AT$6&gt;=$D$115),1,0),
IF(AS35&amp;AV35=AW$5,1,0),
IF(AT35=AS$5,2,0),
IF(AU35=AS$5,1,0),
IF(OR(AS35&amp;AT35&amp;AU35=AS$5&amp;AT$5&amp;AU$5,AS35&amp;AT35&amp;AU35=AS$5&amp;AU$5&amp;AT$5,AS35&amp;AT35&amp;AU35=AT$5&amp;AS$5&amp;AU$5,AS35&amp;AT35&amp;AU35=AT$5&amp;AU$5&amp;AS$5,AS35&amp;AT35&amp;AU35=AU$5&amp;AS$5&amp;AT$5,AS35&amp;AT35&amp;AU35=AU$5&amp;AT$5&amp;AS$5),2,0),IF(AND(AS35=AS$5,AT$6&gt;=$D$129),1,0),IF(AND(AT35=AS$5,AT$6&gt;=$D$129),1,0),IF(AND(AU35=AS$5,AT$6&gt;=$D$129),1,0),IF(AS35&amp;AV35=AV$5,4,0),IF(AND(AS35=AS$5,AT$6&lt;=$D$104),-0.5,0),IF(AND(AT35=AS$5,AT$6&lt;=$D$104),-0.5,0),IF(AND(AU35=AS$5,AT$6&lt;=$D$104),-0.5,0))</f>
        <v/>
      </c>
      <c r="AX35" s="416" t="n"/>
      <c r="AY35" s="418" t="n"/>
      <c r="AZ35" s="418" t="n"/>
      <c r="BA35" s="418" t="n"/>
      <c r="BB35" s="602">
        <f>SUM(IF(AX35=AX$5,4,0),IF(AX35&amp;AY35=AX$5&amp;AY$5,1,0),
IF(AND(AX35=AX$5,AY$6&gt;=$D$115),1,0),
IF(AND(AY35=AX$5,AY$6&gt;=$D$115),1,0),
IF(AND(AZ35=AX$5,AY$6&gt;=$D$115),1,0),
IF(AX35&amp;BA35=BB$5,1,0),
IF(AY35=AX$5,2,0),
IF(AZ35=AX$5,1,0),
IF(OR(AX35&amp;AY35&amp;AZ35=AX$5&amp;AY$5&amp;AZ$5,AX35&amp;AY35&amp;AZ35=AX$5&amp;AZ$5&amp;AY$5,AX35&amp;AY35&amp;AZ35=AY$5&amp;AX$5&amp;AZ$5,AX35&amp;AY35&amp;AZ35=AY$5&amp;AZ$5&amp;AX$5,AX35&amp;AY35&amp;AZ35=AZ$5&amp;AX$5&amp;AY$5,AX35&amp;AY35&amp;AZ35=AZ$5&amp;AY$5&amp;AX$5),2,0),IF(AND(AX35=AX$5,AY$6&gt;=$D$129),1,0),IF(AND(AY35=AX$5,AY$6&gt;=$D$129),1,0),IF(AND(AZ35=AX$5,AY$6&gt;=$D$129),1,0),IF(AX35&amp;BA35=BA$5,4,0),IF(AND(AX35=AX$5,AY$6&lt;=$D$104),-0.5,0),IF(AND(AY35=AX$5,AY$6&lt;=$D$104),-0.5,0),IF(AND(AZ35=AX$5,AY$6&lt;=$D$104),-0.5,0))</f>
        <v/>
      </c>
      <c r="BC35" s="416" t="n"/>
      <c r="BD35" s="418" t="n"/>
      <c r="BE35" s="418" t="n"/>
      <c r="BF35" s="418" t="n"/>
      <c r="BG35" s="602">
        <f>SUM(IF(BC35=BC$5,4,0),IF(BC35&amp;BD35=BC$5&amp;BD$5,1,0),
IF(AND(BC35=BC$5,BD$6&gt;=$D$115),1,0),
IF(AND(BD35=BC$5,BD$6&gt;=$D$115),1,0),
IF(AND(BE35=BC$5,BD$6&gt;=$D$115),1,0),
IF(BC35&amp;BF35=BG$5,1,0),
IF(BD35=BC$5,2,0),
IF(BE35=BC$5,1,0),
IF(OR(BC35&amp;BD35&amp;BE35=BC$5&amp;BD$5&amp;BE$5,BC35&amp;BD35&amp;BE35=BC$5&amp;BE$5&amp;BD$5,BC35&amp;BD35&amp;BE35=BD$5&amp;BC$5&amp;BE$5,BC35&amp;BD35&amp;BE35=BD$5&amp;BE$5&amp;BC$5,BC35&amp;BD35&amp;BE35=BE$5&amp;BC$5&amp;BD$5,BC35&amp;BD35&amp;BE35=BE$5&amp;BD$5&amp;BC$5),2,0),IF(AND(BC35=BC$5,BD$6&gt;=$D$129),1,0),IF(AND(BD35=BC$5,BD$6&gt;=$D$129),1,0),IF(AND(BE35=BC$5,BD$6&gt;=$D$129),1,0),IF(BC35&amp;BF35=BF$5,4,0),IF(AND(BC35=BC$5,BD$6&lt;=$D$104),-0.5,0),IF(AND(BD35=BC$5,BD$6&lt;=$D$104),-0.5,0),IF(AND(BE35=BC$5,BD$6&lt;=$D$104),-0.5,0))</f>
        <v/>
      </c>
      <c r="BH35" s="416" t="n"/>
      <c r="BI35" s="418" t="n"/>
      <c r="BJ35" s="418" t="n"/>
      <c r="BK35" s="418" t="n"/>
      <c r="BL35" s="602">
        <f>SUM(IF(BH35=BH$5,4,0),IF(BH35&amp;BI35=BH$5&amp;BI$5,1,0),
IF(AND(BH35=BH$5,BI$6&gt;=$D$115),1,0),
IF(AND(BI35=BH$5,BI$6&gt;=$D$115),1,0),
IF(AND(BJ35=BH$5,BI$6&gt;=$D$115),1,0),
IF(BH35&amp;BK35=BL$5,1,0),
IF(BI35=BH$5,2,0),
IF(BJ35=BH$5,1,0),
IF(OR(BH35&amp;BI35&amp;BJ35=BH$5&amp;BI$5&amp;BJ$5,BH35&amp;BI35&amp;BJ35=BH$5&amp;BJ$5&amp;BI$5,BH35&amp;BI35&amp;BJ35=BI$5&amp;BH$5&amp;BJ$5,BH35&amp;BI35&amp;BJ35=BI$5&amp;BJ$5&amp;BH$5,BH35&amp;BI35&amp;BJ35=BJ$5&amp;BH$5&amp;BI$5,BH35&amp;BI35&amp;BJ35=BJ$5&amp;BI$5&amp;BH$5),2,0),IF(AND(BH35=BH$5,BI$6&gt;=$D$129),1,0),IF(AND(BI35=BH$5,BI$6&gt;=$D$129),1,0),IF(AND(BJ35=BH$5,BI$6&gt;=$D$129),1,0),IF(BH35&amp;BK35=BK$5,4,0),IF(AND(BH35=BH$5,BI$6&lt;=$D$104),-0.5,0),IF(AND(BI35=BH$5,BI$6&lt;=$D$104),-0.5,0),IF(AND(BJ35=BH$5,BI$6&lt;=$D$104),-0.5,0))</f>
        <v/>
      </c>
      <c r="BM35" s="416" t="n"/>
      <c r="BN35" s="418" t="n"/>
      <c r="BO35" s="418" t="n"/>
      <c r="BP35" s="418" t="n"/>
      <c r="BQ35" s="602">
        <f>SUM(IF(BM35=BM$5,4,0),IF(BM35&amp;BN35=BM$5&amp;BN$5,1,0),
IF(AND(BM35=BM$5,BN$6&gt;=$D$115),1,0),
IF(AND(BN35=BM$5,BN$6&gt;=$D$115),1,0),
IF(AND(BO35=BM$5,BN$6&gt;=$D$115),1,0),
IF(BM35&amp;BP35=BQ$5,1,0),
IF(BN35=BM$5,2,0),
IF(BO35=BM$5,1,0),
IF(OR(BM35&amp;BN35&amp;BO35=BM$5&amp;BN$5&amp;BO$5,BM35&amp;BN35&amp;BO35=BM$5&amp;BO$5&amp;BN$5,BM35&amp;BN35&amp;BO35=BN$5&amp;BM$5&amp;BO$5,BM35&amp;BN35&amp;BO35=BN$5&amp;BO$5&amp;BM$5,BM35&amp;BN35&amp;BO35=BO$5&amp;BM$5&amp;BN$5,BM35&amp;BN35&amp;BO35=BO$5&amp;BN$5&amp;BM$5),2,0),IF(AND(BM35=BM$5,BN$6&gt;=$D$129),1,0),IF(AND(BN35=BM$5,BN$6&gt;=$D$129),1,0),IF(AND(BO35=BM$5,BN$6&gt;=$D$129),1,0),IF(BM35&amp;BP35=BP$5,4,0),IF(AND(BM35=BM$5,BN$6&lt;=$D$104),-0.5,0),IF(AND(BN35=BM$5,BN$6&lt;=$D$104),-0.5,0),IF(AND(BO35=BM$5,BN$6&lt;=$D$104),-0.5,0))</f>
        <v/>
      </c>
      <c r="BR35" s="416" t="n"/>
      <c r="BS35" s="418" t="n"/>
      <c r="BT35" s="418" t="n"/>
      <c r="BU35" s="418" t="n"/>
      <c r="BV35" s="602">
        <f>SUM(IF(BR35=BR$5,4,0),IF(BR35&amp;BS35=BR$5&amp;BS$5,1,0),
IF(AND(BR35=BR$5,BS$6&gt;=$D$115),1,0),
IF(AND(BS35=BR$5,BS$6&gt;=$D$115),1,0),
IF(AND(BT35=BR$5,BS$6&gt;=$D$115),1,0),
IF(BR35&amp;BU35=BV$5,1,0),
IF(BS35=BR$5,2,0),
IF(BT35=BR$5,1,0),
IF(OR(BR35&amp;BS35&amp;BT35=BR$5&amp;BS$5&amp;BT$5,BR35&amp;BS35&amp;BT35=BR$5&amp;BT$5&amp;BS$5,BR35&amp;BS35&amp;BT35=BS$5&amp;BR$5&amp;BT$5,BR35&amp;BS35&amp;BT35=BS$5&amp;BT$5&amp;BR$5,BR35&amp;BS35&amp;BT35=BT$5&amp;BR$5&amp;BS$5,BR35&amp;BS35&amp;BT35=BT$5&amp;BS$5&amp;BR$5),2,0),IF(AND(BR35=BR$5,BS$6&gt;=$D$129),1,0),IF(AND(BS35=BR$5,BS$6&gt;=$D$129),1,0),IF(AND(BT35=BR$5,BS$6&gt;=$D$129),1,0),IF(BR35&amp;BU35=BU$5,4,0),IF(AND(BR35=BR$5,BS$6&lt;=$D$104),-0.5,0),IF(AND(BS35=BR$5,BS$6&lt;=$D$104),-0.5,0),IF(AND(BT35=BR$5,BS$6&lt;=$D$104),-0.5,0))</f>
        <v/>
      </c>
      <c r="BW35" s="416" t="n"/>
      <c r="BX35" s="418" t="n"/>
      <c r="BY35" s="418" t="n"/>
      <c r="BZ35" s="418" t="n"/>
      <c r="CA35" s="602">
        <f>SUM(IF(BW35=BW$5,4,0),IF(BW35&amp;BX35=BW$5&amp;BX$5,1,0),
IF(AND(BW35=BW$5,BX$6&gt;=$D$115),1,0),
IF(AND(BX35=BW$5,BX$6&gt;=$D$115),1,0),
IF(AND(BY35=BW$5,BX$6&gt;=$D$115),1,0),
IF(BW35&amp;BZ35=CA$5,1,0),
IF(BX35=BW$5,2,0),
IF(BY35=BW$5,1,0),
IF(OR(BW35&amp;BX35&amp;BY35=BW$5&amp;BX$5&amp;BY$5,BW35&amp;BX35&amp;BY35=BW$5&amp;BY$5&amp;BX$5,BW35&amp;BX35&amp;BY35=BX$5&amp;BW$5&amp;BY$5,BW35&amp;BX35&amp;BY35=BX$5&amp;BY$5&amp;BW$5,BW35&amp;BX35&amp;BY35=BY$5&amp;BW$5&amp;BX$5,BW35&amp;BX35&amp;BY35=BY$5&amp;BX$5&amp;BW$5),2,0),IF(AND(BW35=BW$5,BX$6&gt;=$D$129),1,0),IF(AND(BX35=BW$5,BX$6&gt;=$D$129),1,0),IF(AND(BY35=BW$5,BX$6&gt;=$D$129),1,0),IF(BW35&amp;BZ35=BZ$5,4,0),IF(AND(BW35=BW$5,BX$6&lt;=$D$104),-0.5,0),IF(AND(BX35=BW$5,BX$6&lt;=$D$104),-0.5,0),IF(AND(BY35=BW$5,BX$6&lt;=$D$104),-0.5,0))</f>
        <v/>
      </c>
      <c r="CB35" s="416" t="n"/>
      <c r="CC35" s="418" t="n"/>
      <c r="CD35" s="418" t="n"/>
      <c r="CE35" s="418" t="n"/>
      <c r="CF35" s="602">
        <f>SUM(IF(CB35=CB$5,4,0),IF(CB35&amp;CC35=CB$5&amp;CC$5,1,0),
IF(AND(CB35=CB$5,CC$6&gt;=$D$115),1,0),
IF(AND(CC35=CB$5,CC$6&gt;=$D$115),1,0),
IF(AND(CD35=CB$5,CC$6&gt;=$D$115),1,0),
IF(CB35&amp;CE35=CF$5,1,0),
IF(CC35=CB$5,2,0),
IF(CD35=CB$5,1,0),
IF(OR(CB35&amp;CC35&amp;CD35=CB$5&amp;CC$5&amp;CD$5,CB35&amp;CC35&amp;CD35=CB$5&amp;CD$5&amp;CC$5,CB35&amp;CC35&amp;CD35=CC$5&amp;CB$5&amp;CD$5,CB35&amp;CC35&amp;CD35=CC$5&amp;CD$5&amp;CB$5,CB35&amp;CC35&amp;CD35=CD$5&amp;CB$5&amp;CC$5,CB35&amp;CC35&amp;CD35=CD$5&amp;CC$5&amp;CB$5),2,0),IF(AND(CB35=CB$5,CC$6&gt;=$D$129),1,0),IF(AND(CC35=CB$5,CC$6&gt;=$D$129),1,0),IF(AND(CD35=CB$5,CC$6&gt;=$D$129),1,0),IF(CB35&amp;CE35=CE$5,4,0),IF(AND(CB35=CB$5,CC$6&lt;=$D$104),-0.5,0),IF(AND(CC35=CB$5,CC$6&lt;=$D$104),-0.5,0),IF(AND(CD35=CB$5,CC$6&lt;=$D$104),-0.5,0))</f>
        <v/>
      </c>
      <c r="CG35" s="164">
        <f>IF(SEMANA29[[#This Row],[1]]="",0,$B$4)</f>
        <v/>
      </c>
      <c r="CH35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5" s="166">
        <f>IF(SEMANA29[[#This Row],[Columna14]]=0,0,(CH35/CG35))</f>
        <v/>
      </c>
      <c r="CJ35" s="165">
        <f>IF(SEMANA29[[#This Row],[1]]="",0,$B$4)</f>
        <v/>
      </c>
      <c r="CK35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5" s="166">
        <f>IF(SEMANA29[[#This Row],[Columna14]]=0,0,(CK35/CJ35))</f>
        <v/>
      </c>
      <c r="CM35" s="164">
        <f>IF(SEMANA29[[#This Row],[1]]="",0,$B$4)</f>
        <v/>
      </c>
      <c r="CN35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5" s="166">
        <f>IF(SEMANA29[[#This Row],[Columna14]]=0,0,(CN35/CM35))</f>
        <v/>
      </c>
      <c r="CP35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5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Row],[Columna25]],$AX$5,BA35,"SF")+COUNTIFS(SEMANA29[[#This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5" s="166">
        <f>IFERROR(IF(SEMANA29[[#This Row],[Columna14]]=0,0,(CQ35/CP35)),0)</f>
        <v/>
      </c>
      <c r="CS35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5" s="95">
        <f>_xlfn.XLOOKUP(SEMANA29[[#This Row],[COD]],SEMANA2[COD],SEMANA2[Columna33])</f>
        <v/>
      </c>
      <c r="CU35" s="604">
        <f>SUM(CS35,CT35)</f>
        <v/>
      </c>
      <c r="CV35" s="450">
        <f>IF(SEMANA29[[#This Row],[TIPO]]="PREMIO",$O$3,"0,00")</f>
        <v/>
      </c>
      <c r="CW35" s="576" t="n"/>
      <c r="CY35" s="392">
        <f>IF(CZ35="","",$CZ$25)</f>
        <v/>
      </c>
      <c r="CZ35" s="392" t="n"/>
      <c r="DA35" s="392">
        <f t="array" ref="DA35">IF(CZ35="", "", IF((INDEX(E$8:CE$57, MATCH(CZ35, C$8:C$57, 0), ($CZ$25-1)*5 + 1) &amp; "") = (INDEX(E$5:CE$5, 1, ($CZ$25-1)*5 + 1) &amp; ""), 1, IF((INDEX(E$8:CE$57, MATCH(CZ35, C$8:C$57, 0), ($CZ$25-1)*5 + 2) &amp; "") = (INDEX(E$5:CE$5, 1, ($CZ$25-1)*5 + 1) &amp; ""), 2, IF((INDEX(E$8:CE$57, MATCH(CZ35, C$8:C$57, 0), ($CZ$25-1)*5 + 3) &amp; "") = (INDEX(E$5:CE$5, 1, ($CZ$25-1)*5 + 1) &amp; ""), 3, ""))))</f>
        <v/>
      </c>
      <c r="DB35" s="605">
        <f>SEMANA29[[#This Row],[COD]]</f>
        <v/>
      </c>
      <c r="DC35" s="395">
        <f t="array" ref="DC35">IFERROR(IF(AND(INDEX($E$8:$CE$57, MATCH($C35, $C$8:$C$57, 0), (COLUMNS($DC35:DC35)-1)*5 + 1) = INDEX($E$5:$CE$5, 1, (COLUMNS($DC35:DC35)-1)*5 + 1), INDEX($E$8:$CE$57, MATCH($C35, $C$8:$C$57, 0), (COLUMNS($DC35:DC35)-1)*5 + 4) = "F"), INDEX($CZ$8:$CZ$23, COLUMNS($DC35:DC35)), "0"), "")</f>
        <v/>
      </c>
      <c r="DD35" s="395">
        <f t="array" ref="DD35">IFERROR(IF(AND(INDEX($E$8:$CE$57, MATCH($C35, $C$8:$C$57, 0), (COLUMNS($DC35:DD35)-1)*5 + 1) = INDEX($E$5:$CE$5, 1, (COLUMNS($DC35:DD35)-1)*5 + 1), INDEX($E$8:$CE$57, MATCH($C35, $C$8:$C$57, 0), (COLUMNS($DC35:DD35)-1)*5 + 4) = "F"), INDEX($CZ$8:$CZ$23, COLUMNS($DC35:DD35)), "0"), "")</f>
        <v/>
      </c>
      <c r="DE35" s="395">
        <f t="array" ref="DE35">IFERROR(IF(AND(INDEX($E$8:$CE$57, MATCH($C35, $C$8:$C$57, 0), (COLUMNS($DC35:DE35)-1)*5 + 1) = INDEX($E$5:$CE$5, 1, (COLUMNS($DC35:DE35)-1)*5 + 1), INDEX($E$8:$CE$57, MATCH($C35, $C$8:$C$57, 0), (COLUMNS($DC35:DE35)-1)*5 + 4) = "F"), INDEX($CZ$8:$CZ$23, COLUMNS($DC35:DE35)), "0"), "")</f>
        <v/>
      </c>
      <c r="DF35" s="395">
        <f t="array" ref="DF35">IFERROR(IF(AND(INDEX($E$8:$CE$57, MATCH($C35, $C$8:$C$57, 0), (COLUMNS($DC35:DF35)-1)*5 + 1) = INDEX($E$5:$CE$5, 1, (COLUMNS($DC35:DF35)-1)*5 + 1), INDEX($E$8:$CE$57, MATCH($C35, $C$8:$C$57, 0), (COLUMNS($DC35:DF35)-1)*5 + 4) = "F"), INDEX($CZ$8:$CZ$23, COLUMNS($DC35:DF35)), "0"), "")</f>
        <v/>
      </c>
      <c r="DG35" s="395">
        <f t="array" ref="DG35">IFERROR(IF(AND(INDEX($E$8:$CE$57, MATCH($C35, $C$8:$C$57, 0), (COLUMNS($DC35:DG35)-1)*5 + 1) = INDEX($E$5:$CE$5, 1, (COLUMNS($DC35:DG35)-1)*5 + 1), INDEX($E$8:$CE$57, MATCH($C35, $C$8:$C$57, 0), (COLUMNS($DC35:DG35)-1)*5 + 4) = "F"), INDEX($CZ$8:$CZ$23, COLUMNS($DC35:DG35)), "0"), "")</f>
        <v/>
      </c>
      <c r="DH35" s="395">
        <f t="array" ref="DH35">IFERROR(IF(AND(INDEX($E$8:$CE$57, MATCH($C35, $C$8:$C$57, 0), (COLUMNS($DC35:DH35)-1)*5 + 1) = INDEX($E$5:$CE$5, 1, (COLUMNS($DC35:DH35)-1)*5 + 1), INDEX($E$8:$CE$57, MATCH($C35, $C$8:$C$57, 0), (COLUMNS($DC35:DH35)-1)*5 + 4) = "F"), INDEX($CZ$8:$CZ$23, COLUMNS($DC35:DH35)), "0"), "")</f>
        <v/>
      </c>
      <c r="DI35" s="395">
        <f t="array" ref="DI35">IFERROR(IF(AND(INDEX($E$8:$CE$57, MATCH($C35, $C$8:$C$57, 0), (COLUMNS($DC35:DI35)-1)*5 + 1) = INDEX($E$5:$CE$5, 1, (COLUMNS($DC35:DI35)-1)*5 + 1), INDEX($E$8:$CE$57, MATCH($C35, $C$8:$C$57, 0), (COLUMNS($DC35:DI35)-1)*5 + 4) = "F"), INDEX($CZ$8:$CZ$23, COLUMNS($DC35:DI35)), "0"), "")</f>
        <v/>
      </c>
      <c r="DJ35" s="395">
        <f t="array" ref="DJ35">IFERROR(IF(AND(INDEX($E$8:$CE$57, MATCH($C35, $C$8:$C$57, 0), (COLUMNS($DC35:DJ35)-1)*5 + 1) = INDEX($E$5:$CE$5, 1, (COLUMNS($DC35:DJ35)-1)*5 + 1), INDEX($E$8:$CE$57, MATCH($C35, $C$8:$C$57, 0), (COLUMNS($DC35:DJ35)-1)*5 + 4) = "F"), INDEX($CZ$8:$CZ$23, COLUMNS($DC35:DJ35)), "0"), "")</f>
        <v/>
      </c>
      <c r="DK35" s="395">
        <f t="array" ref="DK35">IFERROR(IF(AND(INDEX($E$8:$CE$57, MATCH($C35, $C$8:$C$57, 0), (COLUMNS($DC35:DK35)-1)*5 + 1) = INDEX($E$5:$CE$5, 1, (COLUMNS($DC35:DK35)-1)*5 + 1), INDEX($E$8:$CE$57, MATCH($C35, $C$8:$C$57, 0), (COLUMNS($DC35:DK35)-1)*5 + 4) = "F"), INDEX($CZ$8:$CZ$23, COLUMNS($DC35:DK35)), "0"), "")</f>
        <v/>
      </c>
      <c r="DL35" s="395">
        <f t="array" ref="DL35">IFERROR(IF(AND(INDEX($E$8:$CE$57, MATCH($C35, $C$8:$C$57, 0), (COLUMNS($DC35:DL35)-1)*5 + 1) = INDEX($E$5:$CE$5, 1, (COLUMNS($DC35:DL35)-1)*5 + 1), INDEX($E$8:$CE$57, MATCH($C35, $C$8:$C$57, 0), (COLUMNS($DC35:DL35)-1)*5 + 4) = "F"), INDEX($CZ$8:$CZ$23, COLUMNS($DC35:DL35)), "0"), "")</f>
        <v/>
      </c>
      <c r="DM35" s="395">
        <f t="array" ref="DM35">IFERROR(IF(AND(INDEX($E$8:$CE$57, MATCH($C35, $C$8:$C$57, 0), (COLUMNS($DC35:DM35)-1)*5 + 1) = INDEX($E$5:$CE$5, 1, (COLUMNS($DC35:DM35)-1)*5 + 1), INDEX($E$8:$CE$57, MATCH($C35, $C$8:$C$57, 0), (COLUMNS($DC35:DM35)-1)*5 + 4) = "F"), INDEX($CZ$8:$CZ$23, COLUMNS($DC35:DM35)), "0"), "")</f>
        <v/>
      </c>
      <c r="DN35" s="395">
        <f t="array" ref="DN35">IFERROR(IF(AND(INDEX($E$8:$CE$57, MATCH($C35, $C$8:$C$57, 0), (COLUMNS($DC35:DN35)-1)*5 + 1) = INDEX($E$5:$CE$5, 1, (COLUMNS($DC35:DN35)-1)*5 + 1), INDEX($E$8:$CE$57, MATCH($C35, $C$8:$C$57, 0), (COLUMNS($DC35:DN35)-1)*5 + 4) = "F"), INDEX($CZ$8:$CZ$23, COLUMNS($DC35:DN35)), "0"), "")</f>
        <v/>
      </c>
      <c r="DO35" s="395">
        <f t="array" ref="DO35">IFERROR(IF(AND(INDEX($E$8:$CE$57, MATCH($C35, $C$8:$C$57, 0), (COLUMNS($DC35:DO35)-1)*5 + 1) = INDEX($E$5:$CE$5, 1, (COLUMNS($DC35:DO35)-1)*5 + 1), INDEX($E$8:$CE$57, MATCH($C35, $C$8:$C$57, 0), (COLUMNS($DC35:DO35)-1)*5 + 4) = "F"), INDEX($CZ$8:$CZ$23, COLUMNS($DC35:DO35)), "0"), "")</f>
        <v/>
      </c>
      <c r="DP35" s="395">
        <f t="array" ref="DP35">IFERROR(IF(AND(INDEX($E$8:$CE$57, MATCH($C35, $C$8:$C$57, 0), (COLUMNS($DC35:DP35)-1)*5 + 1) = INDEX($E$5:$CE$5, 1, (COLUMNS($DC35:DP35)-1)*5 + 1), INDEX($E$8:$CE$57, MATCH($C35, $C$8:$C$57, 0), (COLUMNS($DC35:DP35)-1)*5 + 4) = "F"), INDEX($CZ$8:$CZ$23, COLUMNS($DC35:DP35)), "0"), "")</f>
        <v/>
      </c>
      <c r="DQ35" s="395">
        <f t="array" ref="DQ35">IFERROR(IF(AND(INDEX($E$8:$CE$57, MATCH($C35, $C$8:$C$57, 0), (COLUMNS($DC35:DQ35)-1)*5 + 1) = INDEX($E$5:$CE$5, 1, (COLUMNS($DC35:DQ35)-1)*5 + 1), INDEX($E$8:$CE$57, MATCH($C35, $C$8:$C$57, 0), (COLUMNS($DC35:DQ35)-1)*5 + 4) = "F"), INDEX($CZ$8:$CZ$23, COLUMNS($DC35:DQ35)), "0"), "")</f>
        <v/>
      </c>
      <c r="DR35" s="395">
        <f t="array" ref="DR35">IFERROR(IF(AND(INDEX($E$8:$CE$57, MATCH($C35, $C$8:$C$57, 0), (COLUMNS($DC35:DR35)-1)*5 + 1) = INDEX($E$5:$CE$5, 1, (COLUMNS($DC35:DR35)-1)*5 + 1), INDEX($E$8:$CE$57, MATCH($C35, $C$8:$C$57, 0), (COLUMNS($DC35:DR35)-1)*5 + 4) = "F"), INDEX($CZ$8:$CZ$23, COLUMNS($DC35:DR35)), "0"), "")</f>
        <v/>
      </c>
      <c r="DT35" s="605">
        <f>SEMANA29[[#This Row],[COD]]</f>
        <v/>
      </c>
      <c r="DU35" s="395">
        <f t="array" ref="DU35">IFERROR(IF(AND(INDEX($E$8:$CE$57, MATCH($C35, $C$8:$C$57, 0), (COLUMNS($DU35:DU35)-1)*5 + 1) = INDEX($E$5:$CE$5, 1, (COLUMNS($DU35:DU35)-1)*5 + 1), INDEX($E$8:$CE$57, MATCH($C35, $C$8:$C$57, 0), (COLUMNS($DU35:DU35)-1)*5 + 4) = "SF"), INDEX($CZ$8:$CZ$23, COLUMNS($DU35:DU35)), "0"), "")</f>
        <v/>
      </c>
      <c r="DV35" s="395">
        <f t="array" ref="DV35">IFERROR(IF(AND(INDEX($E$8:$CE$57, MATCH($C35, $C$8:$C$57, 0), (COLUMNS($DU35:DV35)-1)*5 + 1) = INDEX($E$5:$CE$5, 1, (COLUMNS($DU35:DV35)-1)*5 + 1), INDEX($E$8:$CE$57, MATCH($C35, $C$8:$C$57, 0), (COLUMNS($DU35:DV35)-1)*5 + 4) = "SF"), INDEX($CZ$8:$CZ$23, COLUMNS($DU35:DV35)), "0"), "")</f>
        <v/>
      </c>
      <c r="DW35" s="395">
        <f t="array" ref="DW35">IFERROR(IF(AND(INDEX($E$8:$CE$57, MATCH($C35, $C$8:$C$57, 0), (COLUMNS($DU35:DW35)-1)*5 + 1) = INDEX($E$5:$CE$5, 1, (COLUMNS($DU35:DW35)-1)*5 + 1), INDEX($E$8:$CE$57, MATCH($C35, $C$8:$C$57, 0), (COLUMNS($DU35:DW35)-1)*5 + 4) = "SF"), INDEX($CZ$8:$CZ$23, COLUMNS($DU35:DW35)), "0"), "")</f>
        <v/>
      </c>
      <c r="DX35" s="395">
        <f t="array" ref="DX35">IFERROR(IF(AND(INDEX($E$8:$CE$57, MATCH($C35, $C$8:$C$57, 0), (COLUMNS($DU35:DX35)-1)*5 + 1) = INDEX($E$5:$CE$5, 1, (COLUMNS($DU35:DX35)-1)*5 + 1), INDEX($E$8:$CE$57, MATCH($C35, $C$8:$C$57, 0), (COLUMNS($DU35:DX35)-1)*5 + 4) = "SF"), INDEX($CZ$8:$CZ$23, COLUMNS($DU35:DX35)), "0"), "")</f>
        <v/>
      </c>
      <c r="DY35" s="395">
        <f t="array" ref="DY35">IFERROR(IF(AND(INDEX($E$8:$CE$57, MATCH($C35, $C$8:$C$57, 0), (COLUMNS($DU35:DY35)-1)*5 + 1) = INDEX($E$5:$CE$5, 1, (COLUMNS($DU35:DY35)-1)*5 + 1), INDEX($E$8:$CE$57, MATCH($C35, $C$8:$C$57, 0), (COLUMNS($DU35:DY35)-1)*5 + 4) = "SF"), INDEX($CZ$8:$CZ$23, COLUMNS($DU35:DY35)), "0"), "")</f>
        <v/>
      </c>
      <c r="DZ35" s="395">
        <f t="array" ref="DZ35">IFERROR(IF(AND(INDEX($E$8:$CE$57, MATCH($C35, $C$8:$C$57, 0), (COLUMNS($DU35:DZ35)-1)*5 + 1) = INDEX($E$5:$CE$5, 1, (COLUMNS($DU35:DZ35)-1)*5 + 1), INDEX($E$8:$CE$57, MATCH($C35, $C$8:$C$57, 0), (COLUMNS($DU35:DZ35)-1)*5 + 4) = "SF"), INDEX($CZ$8:$CZ$23, COLUMNS($DU35:DZ35)), "0"), "")</f>
        <v/>
      </c>
      <c r="EA35" s="395">
        <f t="array" ref="EA35">IFERROR(IF(AND(INDEX($E$8:$CE$57, MATCH($C35, $C$8:$C$57, 0), (COLUMNS($DU35:EA35)-1)*5 + 1) = INDEX($E$5:$CE$5, 1, (COLUMNS($DU35:EA35)-1)*5 + 1), INDEX($E$8:$CE$57, MATCH($C35, $C$8:$C$57, 0), (COLUMNS($DU35:EA35)-1)*5 + 4) = "SF"), INDEX($CZ$8:$CZ$23, COLUMNS($DU35:EA35)), "0"), "")</f>
        <v/>
      </c>
      <c r="EB35" s="395">
        <f t="array" ref="EB35">IFERROR(IF(AND(INDEX($E$8:$CE$57, MATCH($C35, $C$8:$C$57, 0), (COLUMNS($DU35:EB35)-1)*5 + 1) = INDEX($E$5:$CE$5, 1, (COLUMNS($DU35:EB35)-1)*5 + 1), INDEX($E$8:$CE$57, MATCH($C35, $C$8:$C$57, 0), (COLUMNS($DU35:EB35)-1)*5 + 4) = "SF"), INDEX($CZ$8:$CZ$23, COLUMNS($DU35:EB35)), "0"), "")</f>
        <v/>
      </c>
      <c r="EC35" s="395">
        <f t="array" ref="EC35">IFERROR(IF(AND(INDEX($E$8:$CE$57, MATCH($C35, $C$8:$C$57, 0), (COLUMNS($DU35:EC35)-1)*5 + 1) = INDEX($E$5:$CE$5, 1, (COLUMNS($DU35:EC35)-1)*5 + 1), INDEX($E$8:$CE$57, MATCH($C35, $C$8:$C$57, 0), (COLUMNS($DU35:EC35)-1)*5 + 4) = "SF"), INDEX($CZ$8:$CZ$23, COLUMNS($DU35:EC35)), "0"), "")</f>
        <v/>
      </c>
      <c r="ED35" s="395">
        <f t="array" ref="ED35">IFERROR(IF(AND(INDEX($E$8:$CE$57, MATCH($C35, $C$8:$C$57, 0), (COLUMNS($DU35:ED35)-1)*5 + 1) = INDEX($E$5:$CE$5, 1, (COLUMNS($DU35:ED35)-1)*5 + 1), INDEX($E$8:$CE$57, MATCH($C35, $C$8:$C$57, 0), (COLUMNS($DU35:ED35)-1)*5 + 4) = "SF"), INDEX($CZ$8:$CZ$23, COLUMNS($DU35:ED35)), "0"), "")</f>
        <v/>
      </c>
      <c r="EE35" s="395">
        <f t="array" ref="EE35">IFERROR(IF(AND(INDEX($E$8:$CE$57, MATCH($C35, $C$8:$C$57, 0), (COLUMNS($DU35:EE35)-1)*5 + 1) = INDEX($E$5:$CE$5, 1, (COLUMNS($DU35:EE35)-1)*5 + 1), INDEX($E$8:$CE$57, MATCH($C35, $C$8:$C$57, 0), (COLUMNS($DU35:EE35)-1)*5 + 4) = "SF"), INDEX($CZ$8:$CZ$23, COLUMNS($DU35:EE35)), "0"), "")</f>
        <v/>
      </c>
      <c r="EF35" s="395">
        <f t="array" ref="EF35">IFERROR(IF(AND(INDEX($E$8:$CE$57, MATCH($C35, $C$8:$C$57, 0), (COLUMNS($DU35:EF35)-1)*5 + 1) = INDEX($E$5:$CE$5, 1, (COLUMNS($DU35:EF35)-1)*5 + 1), INDEX($E$8:$CE$57, MATCH($C35, $C$8:$C$57, 0), (COLUMNS($DU35:EF35)-1)*5 + 4) = "SF"), INDEX($CZ$8:$CZ$23, COLUMNS($DU35:EF35)), "0"), "")</f>
        <v/>
      </c>
      <c r="EG35" s="395">
        <f t="array" ref="EG35">IFERROR(IF(AND(INDEX($E$8:$CE$57, MATCH($C35, $C$8:$C$57, 0), (COLUMNS($DU35:EG35)-1)*5 + 1) = INDEX($E$5:$CE$5, 1, (COLUMNS($DU35:EG35)-1)*5 + 1), INDEX($E$8:$CE$57, MATCH($C35, $C$8:$C$57, 0), (COLUMNS($DU35:EG35)-1)*5 + 4) = "SF"), INDEX($CZ$8:$CZ$23, COLUMNS($DU35:EG35)), "0"), "")</f>
        <v/>
      </c>
      <c r="EH35" s="395">
        <f t="array" ref="EH35">IFERROR(IF(AND(INDEX($E$8:$CE$57, MATCH($C35, $C$8:$C$57, 0), (COLUMNS($DU35:EH35)-1)*5 + 1) = INDEX($E$5:$CE$5, 1, (COLUMNS($DU35:EH35)-1)*5 + 1), INDEX($E$8:$CE$57, MATCH($C35, $C$8:$C$57, 0), (COLUMNS($DU35:EH35)-1)*5 + 4) = "SF"), INDEX($CZ$8:$CZ$23, COLUMNS($DU35:EH35)), "0"), "")</f>
        <v/>
      </c>
      <c r="EI35" s="395">
        <f t="array" ref="EI35">IFERROR(IF(AND(INDEX($E$8:$CE$57, MATCH($C35, $C$8:$C$57, 0), (COLUMNS($DU35:EI35)-1)*5 + 1) = INDEX($E$5:$CE$5, 1, (COLUMNS($DU35:EI35)-1)*5 + 1), INDEX($E$8:$CE$57, MATCH($C35, $C$8:$C$57, 0), (COLUMNS($DU35:EI35)-1)*5 + 4) = "SF"), INDEX($CZ$8:$CZ$23, COLUMNS($DU35:EI35)), "0"), "")</f>
        <v/>
      </c>
      <c r="EJ35" s="395">
        <f t="array" ref="EJ35">IFERROR(IF(AND(INDEX($E$8:$CE$57, MATCH($C35, $C$8:$C$57, 0), (COLUMNS($DU35:EJ35)-1)*5 + 1) = INDEX($E$5:$CE$5, 1, (COLUMNS($DU35:EJ35)-1)*5 + 1), INDEX($E$8:$CE$57, MATCH($C35, $C$8:$C$57, 0), (COLUMNS($DU35:EJ35)-1)*5 + 4) = "SF"), INDEX($CZ$8:$CZ$23, COLUMNS($DU35:EJ35)), "0"), "")</f>
        <v/>
      </c>
    </row>
    <row r="36" ht="19.5" customHeight="1" s="568">
      <c r="A36" s="576" t="n"/>
      <c r="B36" s="449">
        <f>IF(SEMANA29[[#This Row],[COD]]&lt;&gt;"",B35+1,"")</f>
        <v/>
      </c>
      <c r="C36" s="622" t="inlineStr">
        <is>
          <t>COD 29</t>
        </is>
      </c>
      <c r="D36" s="415">
        <f t="array" ref="D36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6" s="416" t="n"/>
      <c r="F36" s="418" t="n"/>
      <c r="G36" s="418" t="n"/>
      <c r="H36" s="418" t="n"/>
      <c r="I36" s="602">
        <f>SUM(IF(E36=E$5,4,0),IF(E36&amp;F36=E$5&amp;F$5,1,0),
IF(AND(E36=E$5,F$6&gt;=$D$115),1,0),
IF(AND(F36=E$5,F$6&gt;=$D$115),1,0),
IF(AND(G36=E$5,F$6&gt;=$D$115),1,0),
IF(E36&amp;H36=I$5,1,0),
IF(F36=E$5,2,0),
IF(G36=E$5,1,0),
IF(OR(E36&amp;F36&amp;G36=E$5&amp;F$5&amp;G$5,E36&amp;F36&amp;G36=E$5&amp;G$5&amp;F$5,E36&amp;F36&amp;G36=F$5&amp;E$5&amp;G$5,E36&amp;F36&amp;G36=F$5&amp;G$5&amp;E$5,E36&amp;F36&amp;G36=G$5&amp;E$5&amp;F$5,E36&amp;F36&amp;G36=G$5&amp;F$5&amp;E$5),2,0),IF(AND(E36=E$5,F$6&gt;=$D$129),1,0),IF(AND(F36=E$5,F$6&gt;=$D$129),1,0),IF(AND(G36=E$5,F$6&gt;=$D$129),1,0),IF(E36&amp;H36=H$5,4,0),IF(AND(E36=E$5,F$6&lt;=$D$104),-0.5,0),IF(AND(F36=E$5,F$6&lt;=$D$104),-0.5,0),IF(AND(G36=E$5,F$6&lt;=$D$104),-0.5,0))</f>
        <v/>
      </c>
      <c r="J36" s="416" t="n"/>
      <c r="K36" s="418" t="n"/>
      <c r="L36" s="418" t="n"/>
      <c r="M36" s="418" t="n"/>
      <c r="N36" s="602">
        <f>SUM(IF(J36=J$5,4,0),IF(J36&amp;K36=J$5&amp;K$5,1,0),
IF(AND(J36=J$5,K$6&gt;=$D$115),1,0),
IF(AND(K36=J$5,K$6&gt;=$D$115),1,0),
IF(AND(L36=J$5,K$6&gt;=$D$115),1,0),
IF(J36&amp;M36=N$5,1,0),
IF(K36=J$5,2,0),
IF(L36=J$5,1,0),
IF(OR(J36&amp;K36&amp;L36=J$5&amp;K$5&amp;L$5,J36&amp;K36&amp;L36=J$5&amp;L$5&amp;K$5,J36&amp;K36&amp;L36=K$5&amp;J$5&amp;L$5,J36&amp;K36&amp;L36=K$5&amp;L$5&amp;J$5,J36&amp;K36&amp;L36=L$5&amp;J$5&amp;K$5,J36&amp;K36&amp;L36=L$5&amp;K$5&amp;J$5),2,0),IF(AND(J36=J$5,K$6&gt;=$D$129),1,0),IF(AND(K36=J$5,K$6&gt;=$D$129),1,0),IF(AND(L36=J$5,K$6&gt;=$D$129),1,0),IF(J36&amp;M36=M$5,4,0),IF(AND(J36=J$5,K$6&lt;=$D$104),-0.5,0),IF(AND(K36=J$5,K$6&lt;=$D$104),-0.5,0),IF(AND(L36=J$5,K$6&lt;=$D$104),-0.5,0))</f>
        <v/>
      </c>
      <c r="O36" s="416" t="n"/>
      <c r="P36" s="418" t="n"/>
      <c r="Q36" s="418" t="n"/>
      <c r="R36" s="418" t="n"/>
      <c r="S36" s="602">
        <f>SUM(IF(O36=O$5,4,0),IF(O36&amp;P36=O$5&amp;P$5,1,0),
IF(AND(O36=O$5,P$6&gt;=$D$115),1,0),
IF(AND(P36=O$5,P$6&gt;=$D$115),1,0),
IF(AND(Q36=O$5,P$6&gt;=$D$115),1,0),
IF(O36&amp;R36=S$5,1,0),
IF(P36=O$5,2,0),
IF(Q36=O$5,1,0),
IF(OR(O36&amp;P36&amp;Q36=O$5&amp;P$5&amp;Q$5,O36&amp;P36&amp;Q36=O$5&amp;Q$5&amp;P$5,O36&amp;P36&amp;Q36=P$5&amp;O$5&amp;Q$5,O36&amp;P36&amp;Q36=P$5&amp;Q$5&amp;O$5,O36&amp;P36&amp;Q36=Q$5&amp;O$5&amp;P$5,O36&amp;P36&amp;Q36=Q$5&amp;P$5&amp;O$5),2,0),IF(AND(O36=O$5,P$6&gt;=$D$129),1,0),IF(AND(P36=O$5,P$6&gt;=$D$129),1,0),IF(AND(Q36=O$5,P$6&gt;=$D$129),1,0),IF(O36&amp;R36=R$5,4,0),IF(AND(O36=O$5,P$6&lt;=$D$104),-0.5,0),IF(AND(P36=O$5,P$6&lt;=$D$104),-0.5,0),IF(AND(Q36=O$5,P$6&lt;=$D$104),-0.5,0))</f>
        <v/>
      </c>
      <c r="T36" s="416" t="n"/>
      <c r="U36" s="418" t="n"/>
      <c r="V36" s="418" t="n"/>
      <c r="W36" s="418" t="n"/>
      <c r="X36" s="602">
        <f>SUM(IF(T36=T$5,4,0),IF(T36&amp;U36=T$5&amp;U$5,1,0),
IF(AND(T36=T$5,U$6&gt;=$D$115),1,0),
IF(AND(U36=T$5,U$6&gt;=$D$115),1,0),
IF(AND(V36=T$5,U$6&gt;=$D$115),1,0),
IF(T36&amp;W36=X$5,1,0),
IF(U36=T$5,2,0),
IF(V36=T$5,1,0),
IF(OR(T36&amp;U36&amp;V36=T$5&amp;U$5&amp;V$5,T36&amp;U36&amp;V36=T$5&amp;V$5&amp;U$5,T36&amp;U36&amp;V36=U$5&amp;T$5&amp;V$5,T36&amp;U36&amp;V36=U$5&amp;V$5&amp;T$5,T36&amp;U36&amp;V36=V$5&amp;T$5&amp;U$5,T36&amp;U36&amp;V36=V$5&amp;U$5&amp;T$5),2,0),IF(AND(T36=T$5,U$6&gt;=$D$129),1,0),IF(AND(U36=T$5,U$6&gt;=$D$129),1,0),IF(AND(V36=T$5,U$6&gt;=$D$129),1,0),IF(T36&amp;W36=W$5,4,0),IF(AND(T36=T$5,U$6&lt;=$D$104),-0.5,0),IF(AND(U36=T$5,U$6&lt;=$D$104),-0.5,0),IF(AND(V36=T$5,U$6&lt;=$D$104),-0.5,0))</f>
        <v/>
      </c>
      <c r="Y36" s="416" t="n"/>
      <c r="Z36" s="418" t="n"/>
      <c r="AA36" s="418" t="n"/>
      <c r="AB36" s="418" t="n"/>
      <c r="AC36" s="602">
        <f>SUM(IF(Y36=Y$5,4,0),IF(Y36&amp;Z36=Y$5&amp;Z$5,1,0),
IF(AND(Y36=Y$5,Z$6&gt;=$D$115),1,0),
IF(AND(Z36=Y$5,Z$6&gt;=$D$115),1,0),
IF(AND(AA36=Y$5,Z$6&gt;=$D$115),1,0),
IF(Y36&amp;AB36=AC$5,1,0),
IF(Z36=Y$5,2,0),
IF(AA36=Y$5,1,0),
IF(OR(Y36&amp;Z36&amp;AA36=Y$5&amp;Z$5&amp;AA$5,Y36&amp;Z36&amp;AA36=Y$5&amp;AA$5&amp;Z$5,Y36&amp;Z36&amp;AA36=Z$5&amp;Y$5&amp;AA$5,Y36&amp;Z36&amp;AA36=Z$5&amp;AA$5&amp;Y$5,Y36&amp;Z36&amp;AA36=AA$5&amp;Y$5&amp;Z$5,Y36&amp;Z36&amp;AA36=AA$5&amp;Z$5&amp;Y$5),2,0),IF(AND(Y36=Y$5,Z$6&gt;=$D$129),1,0),IF(AND(Z36=Y$5,Z$6&gt;=$D$129),1,0),IF(AND(AA36=Y$5,Z$6&gt;=$D$129),1,0),IF(Y36&amp;AB36=AB$5,4,0),IF(AND(Y36=Y$5,Z$6&lt;=$D$104),-0.5,0),IF(AND(Z36=Y$5,Z$6&lt;=$D$104),-0.5,0),IF(AND(AA36=Y$5,Z$6&lt;=$D$104),-0.5,0))</f>
        <v/>
      </c>
      <c r="AD36" s="416" t="n"/>
      <c r="AE36" s="418" t="n"/>
      <c r="AF36" s="418" t="n"/>
      <c r="AG36" s="418" t="n"/>
      <c r="AH36" s="602">
        <f>SUM(IF(AD36=AD$5,4,0),IF(AD36&amp;AE36=AD$5&amp;AE$5,1,0),
IF(AND(AD36=AD$5,AE$6&gt;=$D$115),1,0),
IF(AND(AE36=AD$5,AE$6&gt;=$D$115),1,0),
IF(AND(AF36=AD$5,AE$6&gt;=$D$115),1,0),
IF(AD36&amp;AG36=AH$5,1,0),
IF(AE36=AD$5,2,0),
IF(AF36=AD$5,1,0),
IF(OR(AD36&amp;AE36&amp;AF36=AD$5&amp;AE$5&amp;AF$5,AD36&amp;AE36&amp;AF36=AD$5&amp;AF$5&amp;AE$5,AD36&amp;AE36&amp;AF36=AE$5&amp;AD$5&amp;AF$5,AD36&amp;AE36&amp;AF36=AE$5&amp;AF$5&amp;AD$5,AD36&amp;AE36&amp;AF36=AF$5&amp;AD$5&amp;AE$5,AD36&amp;AE36&amp;AF36=AF$5&amp;AE$5&amp;AD$5),2,0),IF(AND(AD36=AD$5,AE$6&gt;=$D$129),1,0),IF(AND(AE36=AD$5,AE$6&gt;=$D$129),1,0),IF(AND(AF36=AD$5,AE$6&gt;=$D$129),1,0),IF(AD36&amp;AG36=AG$5,4,0),IF(AND(AD36=AD$5,AE$6&lt;=$D$104),-0.5,0),IF(AND(AE36=AD$5,AE$6&lt;=$D$104),-0.5,0),IF(AND(AF36=AD$5,AE$6&lt;=$D$104),-0.5,0))</f>
        <v/>
      </c>
      <c r="AI36" s="416" t="n"/>
      <c r="AJ36" s="418" t="n"/>
      <c r="AK36" s="418" t="n"/>
      <c r="AL36" s="418" t="n"/>
      <c r="AM36" s="602">
        <f>SUM(IF(AI36=AI$5,4,0),IF(AI36&amp;AJ36=AI$5&amp;AJ$5,1,0),
IF(AND(AI36=AI$5,AJ$6&gt;=$D$115),1,0),
IF(AND(AJ36=AI$5,AJ$6&gt;=$D$115),1,0),
IF(AND(AK36=AI$5,AJ$6&gt;=$D$115),1,0),
IF(AI36&amp;AL36=AM$5,1,0),
IF(AJ36=AI$5,2,0),
IF(AK36=AI$5,1,0),
IF(OR(AI36&amp;AJ36&amp;AK36=AI$5&amp;AJ$5&amp;AK$5,AI36&amp;AJ36&amp;AK36=AI$5&amp;AK$5&amp;AJ$5,AI36&amp;AJ36&amp;AK36=AJ$5&amp;AI$5&amp;AK$5,AI36&amp;AJ36&amp;AK36=AJ$5&amp;AK$5&amp;AI$5,AI36&amp;AJ36&amp;AK36=AK$5&amp;AI$5&amp;AJ$5,AI36&amp;AJ36&amp;AK36=AK$5&amp;AJ$5&amp;AI$5),2,0),IF(AND(AI36=AI$5,AJ$6&gt;=$D$129),1,0),IF(AND(AJ36=AI$5,AJ$6&gt;=$D$129),1,0),IF(AND(AK36=AI$5,AJ$6&gt;=$D$129),1,0),IF(AI36&amp;AL36=AL$5,4,0),IF(AND(AI36=AI$5,AJ$6&lt;=$D$104),-0.5,0),IF(AND(AJ36=AI$5,AJ$6&lt;=$D$104),-0.5,0),IF(AND(AK36=AI$5,AJ$6&lt;=$D$104),-0.5,0))</f>
        <v/>
      </c>
      <c r="AN36" s="416" t="n"/>
      <c r="AO36" s="418" t="n"/>
      <c r="AP36" s="418" t="n"/>
      <c r="AQ36" s="418" t="n"/>
      <c r="AR36" s="602">
        <f>SUM(IF(AN36=AN$5,4,0),IF(AN36&amp;AO36=AN$5&amp;AO$5,1,0),
IF(AND(AN36=AN$5,AO$6&gt;=$D$115),1,0),
IF(AND(AO36=AN$5,AO$6&gt;=$D$115),1,0),
IF(AND(AP36=AN$5,AO$6&gt;=$D$115),1,0),
IF(AN36&amp;AQ36=AR$5,1,0),
IF(AO36=AN$5,2,0),
IF(AP36=AN$5,1,0),
IF(OR(AN36&amp;AO36&amp;AP36=AN$5&amp;AO$5&amp;AP$5,AN36&amp;AO36&amp;AP36=AN$5&amp;AP$5&amp;AO$5,AN36&amp;AO36&amp;AP36=AO$5&amp;AN$5&amp;AP$5,AN36&amp;AO36&amp;AP36=AO$5&amp;AP$5&amp;AN$5,AN36&amp;AO36&amp;AP36=AP$5&amp;AN$5&amp;AO$5,AN36&amp;AO36&amp;AP36=AP$5&amp;AO$5&amp;AN$5),2,0),IF(AND(AN36=AN$5,AO$6&gt;=$D$129),1,0),IF(AND(AO36=AN$5,AO$6&gt;=$D$129),1,0),IF(AND(AP36=AN$5,AO$6&gt;=$D$129),1,0),IF(AN36&amp;AQ36=AQ$5,4,0),IF(AND(AN36=AN$5,AO$6&lt;=$D$104),-0.5,0),IF(AND(AO36=AN$5,AO$6&lt;=$D$104),-0.5,0),IF(AND(AP36=AN$5,AO$6&lt;=$D$104),-0.5,0))</f>
        <v/>
      </c>
      <c r="AS36" s="416" t="n"/>
      <c r="AT36" s="418" t="n"/>
      <c r="AU36" s="418" t="n"/>
      <c r="AV36" s="418" t="n"/>
      <c r="AW36" s="602">
        <f>SUM(IF(AS36=AS$5,4,0),IF(AS36&amp;AT36=AS$5&amp;AT$5,1,0),
IF(AND(AS36=AS$5,AT$6&gt;=$D$115),1,0),
IF(AND(AT36=AS$5,AT$6&gt;=$D$115),1,0),
IF(AND(AU36=AS$5,AT$6&gt;=$D$115),1,0),
IF(AS36&amp;AV36=AW$5,1,0),
IF(AT36=AS$5,2,0),
IF(AU36=AS$5,1,0),
IF(OR(AS36&amp;AT36&amp;AU36=AS$5&amp;AT$5&amp;AU$5,AS36&amp;AT36&amp;AU36=AS$5&amp;AU$5&amp;AT$5,AS36&amp;AT36&amp;AU36=AT$5&amp;AS$5&amp;AU$5,AS36&amp;AT36&amp;AU36=AT$5&amp;AU$5&amp;AS$5,AS36&amp;AT36&amp;AU36=AU$5&amp;AS$5&amp;AT$5,AS36&amp;AT36&amp;AU36=AU$5&amp;AT$5&amp;AS$5),2,0),IF(AND(AS36=AS$5,AT$6&gt;=$D$129),1,0),IF(AND(AT36=AS$5,AT$6&gt;=$D$129),1,0),IF(AND(AU36=AS$5,AT$6&gt;=$D$129),1,0),IF(AS36&amp;AV36=AV$5,4,0),IF(AND(AS36=AS$5,AT$6&lt;=$D$104),-0.5,0),IF(AND(AT36=AS$5,AT$6&lt;=$D$104),-0.5,0),IF(AND(AU36=AS$5,AT$6&lt;=$D$104),-0.5,0))</f>
        <v/>
      </c>
      <c r="AX36" s="416" t="n"/>
      <c r="AY36" s="418" t="n"/>
      <c r="AZ36" s="418" t="n"/>
      <c r="BA36" s="418" t="n"/>
      <c r="BB36" s="602">
        <f>SUM(IF(AX36=AX$5,4,0),IF(AX36&amp;AY36=AX$5&amp;AY$5,1,0),
IF(AND(AX36=AX$5,AY$6&gt;=$D$115),1,0),
IF(AND(AY36=AX$5,AY$6&gt;=$D$115),1,0),
IF(AND(AZ36=AX$5,AY$6&gt;=$D$115),1,0),
IF(AX36&amp;BA36=BB$5,1,0),
IF(AY36=AX$5,2,0),
IF(AZ36=AX$5,1,0),
IF(OR(AX36&amp;AY36&amp;AZ36=AX$5&amp;AY$5&amp;AZ$5,AX36&amp;AY36&amp;AZ36=AX$5&amp;AZ$5&amp;AY$5,AX36&amp;AY36&amp;AZ36=AY$5&amp;AX$5&amp;AZ$5,AX36&amp;AY36&amp;AZ36=AY$5&amp;AZ$5&amp;AX$5,AX36&amp;AY36&amp;AZ36=AZ$5&amp;AX$5&amp;AY$5,AX36&amp;AY36&amp;AZ36=AZ$5&amp;AY$5&amp;AX$5),2,0),IF(AND(AX36=AX$5,AY$6&gt;=$D$129),1,0),IF(AND(AY36=AX$5,AY$6&gt;=$D$129),1,0),IF(AND(AZ36=AX$5,AY$6&gt;=$D$129),1,0),IF(AX36&amp;BA36=BA$5,4,0),IF(AND(AX36=AX$5,AY$6&lt;=$D$104),-0.5,0),IF(AND(AY36=AX$5,AY$6&lt;=$D$104),-0.5,0),IF(AND(AZ36=AX$5,AY$6&lt;=$D$104),-0.5,0))</f>
        <v/>
      </c>
      <c r="BC36" s="416" t="n"/>
      <c r="BD36" s="418" t="n"/>
      <c r="BE36" s="418" t="n"/>
      <c r="BF36" s="418" t="n"/>
      <c r="BG36" s="602">
        <f>SUM(IF(BC36=BC$5,4,0),IF(BC36&amp;BD36=BC$5&amp;BD$5,1,0),
IF(AND(BC36=BC$5,BD$6&gt;=$D$115),1,0),
IF(AND(BD36=BC$5,BD$6&gt;=$D$115),1,0),
IF(AND(BE36=BC$5,BD$6&gt;=$D$115),1,0),
IF(BC36&amp;BF36=BG$5,1,0),
IF(BD36=BC$5,2,0),
IF(BE36=BC$5,1,0),
IF(OR(BC36&amp;BD36&amp;BE36=BC$5&amp;BD$5&amp;BE$5,BC36&amp;BD36&amp;BE36=BC$5&amp;BE$5&amp;BD$5,BC36&amp;BD36&amp;BE36=BD$5&amp;BC$5&amp;BE$5,BC36&amp;BD36&amp;BE36=BD$5&amp;BE$5&amp;BC$5,BC36&amp;BD36&amp;BE36=BE$5&amp;BC$5&amp;BD$5,BC36&amp;BD36&amp;BE36=BE$5&amp;BD$5&amp;BC$5),2,0),IF(AND(BC36=BC$5,BD$6&gt;=$D$129),1,0),IF(AND(BD36=BC$5,BD$6&gt;=$D$129),1,0),IF(AND(BE36=BC$5,BD$6&gt;=$D$129),1,0),IF(BC36&amp;BF36=BF$5,4,0),IF(AND(BC36=BC$5,BD$6&lt;=$D$104),-0.5,0),IF(AND(BD36=BC$5,BD$6&lt;=$D$104),-0.5,0),IF(AND(BE36=BC$5,BD$6&lt;=$D$104),-0.5,0))</f>
        <v/>
      </c>
      <c r="BH36" s="416" t="n"/>
      <c r="BI36" s="418" t="n"/>
      <c r="BJ36" s="418" t="n"/>
      <c r="BK36" s="418" t="n"/>
      <c r="BL36" s="602">
        <f>SUM(IF(BH36=BH$5,4,0),IF(BH36&amp;BI36=BH$5&amp;BI$5,1,0),
IF(AND(BH36=BH$5,BI$6&gt;=$D$115),1,0),
IF(AND(BI36=BH$5,BI$6&gt;=$D$115),1,0),
IF(AND(BJ36=BH$5,BI$6&gt;=$D$115),1,0),
IF(BH36&amp;BK36=BL$5,1,0),
IF(BI36=BH$5,2,0),
IF(BJ36=BH$5,1,0),
IF(OR(BH36&amp;BI36&amp;BJ36=BH$5&amp;BI$5&amp;BJ$5,BH36&amp;BI36&amp;BJ36=BH$5&amp;BJ$5&amp;BI$5,BH36&amp;BI36&amp;BJ36=BI$5&amp;BH$5&amp;BJ$5,BH36&amp;BI36&amp;BJ36=BI$5&amp;BJ$5&amp;BH$5,BH36&amp;BI36&amp;BJ36=BJ$5&amp;BH$5&amp;BI$5,BH36&amp;BI36&amp;BJ36=BJ$5&amp;BI$5&amp;BH$5),2,0),IF(AND(BH36=BH$5,BI$6&gt;=$D$129),1,0),IF(AND(BI36=BH$5,BI$6&gt;=$D$129),1,0),IF(AND(BJ36=BH$5,BI$6&gt;=$D$129),1,0),IF(BH36&amp;BK36=BK$5,4,0),IF(AND(BH36=BH$5,BI$6&lt;=$D$104),-0.5,0),IF(AND(BI36=BH$5,BI$6&lt;=$D$104),-0.5,0),IF(AND(BJ36=BH$5,BI$6&lt;=$D$104),-0.5,0))</f>
        <v/>
      </c>
      <c r="BM36" s="416" t="n"/>
      <c r="BN36" s="418" t="n"/>
      <c r="BO36" s="418" t="n"/>
      <c r="BP36" s="418" t="n"/>
      <c r="BQ36" s="602">
        <f>SUM(IF(BM36=BM$5,4,0),IF(BM36&amp;BN36=BM$5&amp;BN$5,1,0),
IF(AND(BM36=BM$5,BN$6&gt;=$D$115),1,0),
IF(AND(BN36=BM$5,BN$6&gt;=$D$115),1,0),
IF(AND(BO36=BM$5,BN$6&gt;=$D$115),1,0),
IF(BM36&amp;BP36=BQ$5,1,0),
IF(BN36=BM$5,2,0),
IF(BO36=BM$5,1,0),
IF(OR(BM36&amp;BN36&amp;BO36=BM$5&amp;BN$5&amp;BO$5,BM36&amp;BN36&amp;BO36=BM$5&amp;BO$5&amp;BN$5,BM36&amp;BN36&amp;BO36=BN$5&amp;BM$5&amp;BO$5,BM36&amp;BN36&amp;BO36=BN$5&amp;BO$5&amp;BM$5,BM36&amp;BN36&amp;BO36=BO$5&amp;BM$5&amp;BN$5,BM36&amp;BN36&amp;BO36=BO$5&amp;BN$5&amp;BM$5),2,0),IF(AND(BM36=BM$5,BN$6&gt;=$D$129),1,0),IF(AND(BN36=BM$5,BN$6&gt;=$D$129),1,0),IF(AND(BO36=BM$5,BN$6&gt;=$D$129),1,0),IF(BM36&amp;BP36=BP$5,4,0),IF(AND(BM36=BM$5,BN$6&lt;=$D$104),-0.5,0),IF(AND(BN36=BM$5,BN$6&lt;=$D$104),-0.5,0),IF(AND(BO36=BM$5,BN$6&lt;=$D$104),-0.5,0))</f>
        <v/>
      </c>
      <c r="BR36" s="416" t="n"/>
      <c r="BS36" s="418" t="n"/>
      <c r="BT36" s="418" t="n"/>
      <c r="BU36" s="418" t="n"/>
      <c r="BV36" s="602">
        <f>SUM(IF(BR36=BR$5,4,0),IF(BR36&amp;BS36=BR$5&amp;BS$5,1,0),
IF(AND(BR36=BR$5,BS$6&gt;=$D$115),1,0),
IF(AND(BS36=BR$5,BS$6&gt;=$D$115),1,0),
IF(AND(BT36=BR$5,BS$6&gt;=$D$115),1,0),
IF(BR36&amp;BU36=BV$5,1,0),
IF(BS36=BR$5,2,0),
IF(BT36=BR$5,1,0),
IF(OR(BR36&amp;BS36&amp;BT36=BR$5&amp;BS$5&amp;BT$5,BR36&amp;BS36&amp;BT36=BR$5&amp;BT$5&amp;BS$5,BR36&amp;BS36&amp;BT36=BS$5&amp;BR$5&amp;BT$5,BR36&amp;BS36&amp;BT36=BS$5&amp;BT$5&amp;BR$5,BR36&amp;BS36&amp;BT36=BT$5&amp;BR$5&amp;BS$5,BR36&amp;BS36&amp;BT36=BT$5&amp;BS$5&amp;BR$5),2,0),IF(AND(BR36=BR$5,BS$6&gt;=$D$129),1,0),IF(AND(BS36=BR$5,BS$6&gt;=$D$129),1,0),IF(AND(BT36=BR$5,BS$6&gt;=$D$129),1,0),IF(BR36&amp;BU36=BU$5,4,0),IF(AND(BR36=BR$5,BS$6&lt;=$D$104),-0.5,0),IF(AND(BS36=BR$5,BS$6&lt;=$D$104),-0.5,0),IF(AND(BT36=BR$5,BS$6&lt;=$D$104),-0.5,0))</f>
        <v/>
      </c>
      <c r="BW36" s="416" t="n"/>
      <c r="BX36" s="418" t="n"/>
      <c r="BY36" s="418" t="n"/>
      <c r="BZ36" s="418" t="n"/>
      <c r="CA36" s="602">
        <f>SUM(IF(BW36=BW$5,4,0),IF(BW36&amp;BX36=BW$5&amp;BX$5,1,0),
IF(AND(BW36=BW$5,BX$6&gt;=$D$115),1,0),
IF(AND(BX36=BW$5,BX$6&gt;=$D$115),1,0),
IF(AND(BY36=BW$5,BX$6&gt;=$D$115),1,0),
IF(BW36&amp;BZ36=CA$5,1,0),
IF(BX36=BW$5,2,0),
IF(BY36=BW$5,1,0),
IF(OR(BW36&amp;BX36&amp;BY36=BW$5&amp;BX$5&amp;BY$5,BW36&amp;BX36&amp;BY36=BW$5&amp;BY$5&amp;BX$5,BW36&amp;BX36&amp;BY36=BX$5&amp;BW$5&amp;BY$5,BW36&amp;BX36&amp;BY36=BX$5&amp;BY$5&amp;BW$5,BW36&amp;BX36&amp;BY36=BY$5&amp;BW$5&amp;BX$5,BW36&amp;BX36&amp;BY36=BY$5&amp;BX$5&amp;BW$5),2,0),IF(AND(BW36=BW$5,BX$6&gt;=$D$129),1,0),IF(AND(BX36=BW$5,BX$6&gt;=$D$129),1,0),IF(AND(BY36=BW$5,BX$6&gt;=$D$129),1,0),IF(BW36&amp;BZ36=BZ$5,4,0),IF(AND(BW36=BW$5,BX$6&lt;=$D$104),-0.5,0),IF(AND(BX36=BW$5,BX$6&lt;=$D$104),-0.5,0),IF(AND(BY36=BW$5,BX$6&lt;=$D$104),-0.5,0))</f>
        <v/>
      </c>
      <c r="CB36" s="416" t="n"/>
      <c r="CC36" s="418" t="n"/>
      <c r="CD36" s="418" t="n"/>
      <c r="CE36" s="418" t="n"/>
      <c r="CF36" s="602">
        <f>SUM(IF(CB36=CB$5,4,0),IF(CB36&amp;CC36=CB$5&amp;CC$5,1,0),
IF(AND(CB36=CB$5,CC$6&gt;=$D$115),1,0),
IF(AND(CC36=CB$5,CC$6&gt;=$D$115),1,0),
IF(AND(CD36=CB$5,CC$6&gt;=$D$115),1,0),
IF(CB36&amp;CE36=CF$5,1,0),
IF(CC36=CB$5,2,0),
IF(CD36=CB$5,1,0),
IF(OR(CB36&amp;CC36&amp;CD36=CB$5&amp;CC$5&amp;CD$5,CB36&amp;CC36&amp;CD36=CB$5&amp;CD$5&amp;CC$5,CB36&amp;CC36&amp;CD36=CC$5&amp;CB$5&amp;CD$5,CB36&amp;CC36&amp;CD36=CC$5&amp;CD$5&amp;CB$5,CB36&amp;CC36&amp;CD36=CD$5&amp;CB$5&amp;CC$5,CB36&amp;CC36&amp;CD36=CD$5&amp;CC$5&amp;CB$5),2,0),IF(AND(CB36=CB$5,CC$6&gt;=$D$129),1,0),IF(AND(CC36=CB$5,CC$6&gt;=$D$129),1,0),IF(AND(CD36=CB$5,CC$6&gt;=$D$129),1,0),IF(CB36&amp;CE36=CE$5,4,0),IF(AND(CB36=CB$5,CC$6&lt;=$D$104),-0.5,0),IF(AND(CC36=CB$5,CC$6&lt;=$D$104),-0.5,0),IF(AND(CD36=CB$5,CC$6&lt;=$D$104),-0.5,0))</f>
        <v/>
      </c>
      <c r="CG36" s="164">
        <f>IF(SEMANA29[[#This Row],[1]]="",0,$B$4)</f>
        <v/>
      </c>
      <c r="CH36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6" s="166">
        <f>IF(SEMANA29[[#This Row],[Columna14]]=0,0,(CH36/CG36))</f>
        <v/>
      </c>
      <c r="CJ36" s="165">
        <f>IF(SEMANA29[[#This Row],[1]]="",0,$B$4)</f>
        <v/>
      </c>
      <c r="CK36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6" s="166">
        <f>IF(SEMANA29[[#This Row],[Columna14]]=0,0,(CK36/CJ36))</f>
        <v/>
      </c>
      <c r="CM36" s="164">
        <f>IF(SEMANA29[[#This Row],[1]]="",0,$B$4)</f>
        <v/>
      </c>
      <c r="CN36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6" s="166">
        <f>IF(SEMANA29[[#This Row],[Columna14]]=0,0,(CN36/CM36))</f>
        <v/>
      </c>
      <c r="CP36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6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Row],[Columna25]],$AX$5,BA36,"SF")+COUNTIFS(SEMANA29[[#This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6" s="166">
        <f>IFERROR(IF(SEMANA29[[#This Row],[Columna14]]=0,0,(CQ36/CP36)),0)</f>
        <v/>
      </c>
      <c r="CS36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6" s="95">
        <f>_xlfn.XLOOKUP(SEMANA29[[#This Row],[COD]],SEMANA2[COD],SEMANA2[Columna33])</f>
        <v/>
      </c>
      <c r="CU36" s="604">
        <f>SUM(CS36,CT36)</f>
        <v/>
      </c>
      <c r="CV36" s="450">
        <f>IF(SEMANA29[[#This Row],[TIPO]]="PREMIO",$O$3,"0,00")</f>
        <v/>
      </c>
      <c r="CW36" s="576" t="n"/>
      <c r="CY36" s="392">
        <f>IF(CZ36="","",$CZ$25)</f>
        <v/>
      </c>
      <c r="CZ36" s="392" t="n"/>
      <c r="DA36" s="392">
        <f t="array" ref="DA36">IF(CZ36="", "", IF((INDEX(E$8:CE$57, MATCH(CZ36, C$8:C$57, 0), ($CZ$25-1)*5 + 1) &amp; "") = (INDEX(E$5:CE$5, 1, ($CZ$25-1)*5 + 1) &amp; ""), 1, IF((INDEX(E$8:CE$57, MATCH(CZ36, C$8:C$57, 0), ($CZ$25-1)*5 + 2) &amp; "") = (INDEX(E$5:CE$5, 1, ($CZ$25-1)*5 + 1) &amp; ""), 2, IF((INDEX(E$8:CE$57, MATCH(CZ36, C$8:C$57, 0), ($CZ$25-1)*5 + 3) &amp; "") = (INDEX(E$5:CE$5, 1, ($CZ$25-1)*5 + 1) &amp; ""), 3, ""))))</f>
        <v/>
      </c>
      <c r="DB36" s="605">
        <f>SEMANA29[[#This Row],[COD]]</f>
        <v/>
      </c>
      <c r="DC36" s="395">
        <f t="array" ref="DC36">IFERROR(IF(AND(INDEX($E$8:$CE$57, MATCH($C36, $C$8:$C$57, 0), (COLUMNS($DC36:DC36)-1)*5 + 1) = INDEX($E$5:$CE$5, 1, (COLUMNS($DC36:DC36)-1)*5 + 1), INDEX($E$8:$CE$57, MATCH($C36, $C$8:$C$57, 0), (COLUMNS($DC36:DC36)-1)*5 + 4) = "F"), INDEX($CZ$8:$CZ$23, COLUMNS($DC36:DC36)), "0"), "")</f>
        <v/>
      </c>
      <c r="DD36" s="395">
        <f t="array" ref="DD36">IFERROR(IF(AND(INDEX($E$8:$CE$57, MATCH($C36, $C$8:$C$57, 0), (COLUMNS($DC36:DD36)-1)*5 + 1) = INDEX($E$5:$CE$5, 1, (COLUMNS($DC36:DD36)-1)*5 + 1), INDEX($E$8:$CE$57, MATCH($C36, $C$8:$C$57, 0), (COLUMNS($DC36:DD36)-1)*5 + 4) = "F"), INDEX($CZ$8:$CZ$23, COLUMNS($DC36:DD36)), "0"), "")</f>
        <v/>
      </c>
      <c r="DE36" s="395">
        <f t="array" ref="DE36">IFERROR(IF(AND(INDEX($E$8:$CE$57, MATCH($C36, $C$8:$C$57, 0), (COLUMNS($DC36:DE36)-1)*5 + 1) = INDEX($E$5:$CE$5, 1, (COLUMNS($DC36:DE36)-1)*5 + 1), INDEX($E$8:$CE$57, MATCH($C36, $C$8:$C$57, 0), (COLUMNS($DC36:DE36)-1)*5 + 4) = "F"), INDEX($CZ$8:$CZ$23, COLUMNS($DC36:DE36)), "0"), "")</f>
        <v/>
      </c>
      <c r="DF36" s="395">
        <f t="array" ref="DF36">IFERROR(IF(AND(INDEX($E$8:$CE$57, MATCH($C36, $C$8:$C$57, 0), (COLUMNS($DC36:DF36)-1)*5 + 1) = INDEX($E$5:$CE$5, 1, (COLUMNS($DC36:DF36)-1)*5 + 1), INDEX($E$8:$CE$57, MATCH($C36, $C$8:$C$57, 0), (COLUMNS($DC36:DF36)-1)*5 + 4) = "F"), INDEX($CZ$8:$CZ$23, COLUMNS($DC36:DF36)), "0"), "")</f>
        <v/>
      </c>
      <c r="DG36" s="395">
        <f t="array" ref="DG36">IFERROR(IF(AND(INDEX($E$8:$CE$57, MATCH($C36, $C$8:$C$57, 0), (COLUMNS($DC36:DG36)-1)*5 + 1) = INDEX($E$5:$CE$5, 1, (COLUMNS($DC36:DG36)-1)*5 + 1), INDEX($E$8:$CE$57, MATCH($C36, $C$8:$C$57, 0), (COLUMNS($DC36:DG36)-1)*5 + 4) = "F"), INDEX($CZ$8:$CZ$23, COLUMNS($DC36:DG36)), "0"), "")</f>
        <v/>
      </c>
      <c r="DH36" s="395">
        <f t="array" ref="DH36">IFERROR(IF(AND(INDEX($E$8:$CE$57, MATCH($C36, $C$8:$C$57, 0), (COLUMNS($DC36:DH36)-1)*5 + 1) = INDEX($E$5:$CE$5, 1, (COLUMNS($DC36:DH36)-1)*5 + 1), INDEX($E$8:$CE$57, MATCH($C36, $C$8:$C$57, 0), (COLUMNS($DC36:DH36)-1)*5 + 4) = "F"), INDEX($CZ$8:$CZ$23, COLUMNS($DC36:DH36)), "0"), "")</f>
        <v/>
      </c>
      <c r="DI36" s="395">
        <f t="array" ref="DI36">IFERROR(IF(AND(INDEX($E$8:$CE$57, MATCH($C36, $C$8:$C$57, 0), (COLUMNS($DC36:DI36)-1)*5 + 1) = INDEX($E$5:$CE$5, 1, (COLUMNS($DC36:DI36)-1)*5 + 1), INDEX($E$8:$CE$57, MATCH($C36, $C$8:$C$57, 0), (COLUMNS($DC36:DI36)-1)*5 + 4) = "F"), INDEX($CZ$8:$CZ$23, COLUMNS($DC36:DI36)), "0"), "")</f>
        <v/>
      </c>
      <c r="DJ36" s="395">
        <f t="array" ref="DJ36">IFERROR(IF(AND(INDEX($E$8:$CE$57, MATCH($C36, $C$8:$C$57, 0), (COLUMNS($DC36:DJ36)-1)*5 + 1) = INDEX($E$5:$CE$5, 1, (COLUMNS($DC36:DJ36)-1)*5 + 1), INDEX($E$8:$CE$57, MATCH($C36, $C$8:$C$57, 0), (COLUMNS($DC36:DJ36)-1)*5 + 4) = "F"), INDEX($CZ$8:$CZ$23, COLUMNS($DC36:DJ36)), "0"), "")</f>
        <v/>
      </c>
      <c r="DK36" s="395">
        <f t="array" ref="DK36">IFERROR(IF(AND(INDEX($E$8:$CE$57, MATCH($C36, $C$8:$C$57, 0), (COLUMNS($DC36:DK36)-1)*5 + 1) = INDEX($E$5:$CE$5, 1, (COLUMNS($DC36:DK36)-1)*5 + 1), INDEX($E$8:$CE$57, MATCH($C36, $C$8:$C$57, 0), (COLUMNS($DC36:DK36)-1)*5 + 4) = "F"), INDEX($CZ$8:$CZ$23, COLUMNS($DC36:DK36)), "0"), "")</f>
        <v/>
      </c>
      <c r="DL36" s="395">
        <f t="array" ref="DL36">IFERROR(IF(AND(INDEX($E$8:$CE$57, MATCH($C36, $C$8:$C$57, 0), (COLUMNS($DC36:DL36)-1)*5 + 1) = INDEX($E$5:$CE$5, 1, (COLUMNS($DC36:DL36)-1)*5 + 1), INDEX($E$8:$CE$57, MATCH($C36, $C$8:$C$57, 0), (COLUMNS($DC36:DL36)-1)*5 + 4) = "F"), INDEX($CZ$8:$CZ$23, COLUMNS($DC36:DL36)), "0"), "")</f>
        <v/>
      </c>
      <c r="DM36" s="395">
        <f t="array" ref="DM36">IFERROR(IF(AND(INDEX($E$8:$CE$57, MATCH($C36, $C$8:$C$57, 0), (COLUMNS($DC36:DM36)-1)*5 + 1) = INDEX($E$5:$CE$5, 1, (COLUMNS($DC36:DM36)-1)*5 + 1), INDEX($E$8:$CE$57, MATCH($C36, $C$8:$C$57, 0), (COLUMNS($DC36:DM36)-1)*5 + 4) = "F"), INDEX($CZ$8:$CZ$23, COLUMNS($DC36:DM36)), "0"), "")</f>
        <v/>
      </c>
      <c r="DN36" s="395">
        <f t="array" ref="DN36">IFERROR(IF(AND(INDEX($E$8:$CE$57, MATCH($C36, $C$8:$C$57, 0), (COLUMNS($DC36:DN36)-1)*5 + 1) = INDEX($E$5:$CE$5, 1, (COLUMNS($DC36:DN36)-1)*5 + 1), INDEX($E$8:$CE$57, MATCH($C36, $C$8:$C$57, 0), (COLUMNS($DC36:DN36)-1)*5 + 4) = "F"), INDEX($CZ$8:$CZ$23, COLUMNS($DC36:DN36)), "0"), "")</f>
        <v/>
      </c>
      <c r="DO36" s="395">
        <f t="array" ref="DO36">IFERROR(IF(AND(INDEX($E$8:$CE$57, MATCH($C36, $C$8:$C$57, 0), (COLUMNS($DC36:DO36)-1)*5 + 1) = INDEX($E$5:$CE$5, 1, (COLUMNS($DC36:DO36)-1)*5 + 1), INDEX($E$8:$CE$57, MATCH($C36, $C$8:$C$57, 0), (COLUMNS($DC36:DO36)-1)*5 + 4) = "F"), INDEX($CZ$8:$CZ$23, COLUMNS($DC36:DO36)), "0"), "")</f>
        <v/>
      </c>
      <c r="DP36" s="395">
        <f t="array" ref="DP36">IFERROR(IF(AND(INDEX($E$8:$CE$57, MATCH($C36, $C$8:$C$57, 0), (COLUMNS($DC36:DP36)-1)*5 + 1) = INDEX($E$5:$CE$5, 1, (COLUMNS($DC36:DP36)-1)*5 + 1), INDEX($E$8:$CE$57, MATCH($C36, $C$8:$C$57, 0), (COLUMNS($DC36:DP36)-1)*5 + 4) = "F"), INDEX($CZ$8:$CZ$23, COLUMNS($DC36:DP36)), "0"), "")</f>
        <v/>
      </c>
      <c r="DQ36" s="395">
        <f t="array" ref="DQ36">IFERROR(IF(AND(INDEX($E$8:$CE$57, MATCH($C36, $C$8:$C$57, 0), (COLUMNS($DC36:DQ36)-1)*5 + 1) = INDEX($E$5:$CE$5, 1, (COLUMNS($DC36:DQ36)-1)*5 + 1), INDEX($E$8:$CE$57, MATCH($C36, $C$8:$C$57, 0), (COLUMNS($DC36:DQ36)-1)*5 + 4) = "F"), INDEX($CZ$8:$CZ$23, COLUMNS($DC36:DQ36)), "0"), "")</f>
        <v/>
      </c>
      <c r="DR36" s="395">
        <f t="array" ref="DR36">IFERROR(IF(AND(INDEX($E$8:$CE$57, MATCH($C36, $C$8:$C$57, 0), (COLUMNS($DC36:DR36)-1)*5 + 1) = INDEX($E$5:$CE$5, 1, (COLUMNS($DC36:DR36)-1)*5 + 1), INDEX($E$8:$CE$57, MATCH($C36, $C$8:$C$57, 0), (COLUMNS($DC36:DR36)-1)*5 + 4) = "F"), INDEX($CZ$8:$CZ$23, COLUMNS($DC36:DR36)), "0"), "")</f>
        <v/>
      </c>
      <c r="DT36" s="605">
        <f>SEMANA29[[#This Row],[COD]]</f>
        <v/>
      </c>
      <c r="DU36" s="395">
        <f t="array" ref="DU36">IFERROR(IF(AND(INDEX($E$8:$CE$57, MATCH($C36, $C$8:$C$57, 0), (COLUMNS($DU36:DU36)-1)*5 + 1) = INDEX($E$5:$CE$5, 1, (COLUMNS($DU36:DU36)-1)*5 + 1), INDEX($E$8:$CE$57, MATCH($C36, $C$8:$C$57, 0), (COLUMNS($DU36:DU36)-1)*5 + 4) = "SF"), INDEX($CZ$8:$CZ$23, COLUMNS($DU36:DU36)), "0"), "")</f>
        <v/>
      </c>
      <c r="DV36" s="395">
        <f t="array" ref="DV36">IFERROR(IF(AND(INDEX($E$8:$CE$57, MATCH($C36, $C$8:$C$57, 0), (COLUMNS($DU36:DV36)-1)*5 + 1) = INDEX($E$5:$CE$5, 1, (COLUMNS($DU36:DV36)-1)*5 + 1), INDEX($E$8:$CE$57, MATCH($C36, $C$8:$C$57, 0), (COLUMNS($DU36:DV36)-1)*5 + 4) = "SF"), INDEX($CZ$8:$CZ$23, COLUMNS($DU36:DV36)), "0"), "")</f>
        <v/>
      </c>
      <c r="DW36" s="395">
        <f t="array" ref="DW36">IFERROR(IF(AND(INDEX($E$8:$CE$57, MATCH($C36, $C$8:$C$57, 0), (COLUMNS($DU36:DW36)-1)*5 + 1) = INDEX($E$5:$CE$5, 1, (COLUMNS($DU36:DW36)-1)*5 + 1), INDEX($E$8:$CE$57, MATCH($C36, $C$8:$C$57, 0), (COLUMNS($DU36:DW36)-1)*5 + 4) = "SF"), INDEX($CZ$8:$CZ$23, COLUMNS($DU36:DW36)), "0"), "")</f>
        <v/>
      </c>
      <c r="DX36" s="395">
        <f t="array" ref="DX36">IFERROR(IF(AND(INDEX($E$8:$CE$57, MATCH($C36, $C$8:$C$57, 0), (COLUMNS($DU36:DX36)-1)*5 + 1) = INDEX($E$5:$CE$5, 1, (COLUMNS($DU36:DX36)-1)*5 + 1), INDEX($E$8:$CE$57, MATCH($C36, $C$8:$C$57, 0), (COLUMNS($DU36:DX36)-1)*5 + 4) = "SF"), INDEX($CZ$8:$CZ$23, COLUMNS($DU36:DX36)), "0"), "")</f>
        <v/>
      </c>
      <c r="DY36" s="395">
        <f t="array" ref="DY36">IFERROR(IF(AND(INDEX($E$8:$CE$57, MATCH($C36, $C$8:$C$57, 0), (COLUMNS($DU36:DY36)-1)*5 + 1) = INDEX($E$5:$CE$5, 1, (COLUMNS($DU36:DY36)-1)*5 + 1), INDEX($E$8:$CE$57, MATCH($C36, $C$8:$C$57, 0), (COLUMNS($DU36:DY36)-1)*5 + 4) = "SF"), INDEX($CZ$8:$CZ$23, COLUMNS($DU36:DY36)), "0"), "")</f>
        <v/>
      </c>
      <c r="DZ36" s="395">
        <f t="array" ref="DZ36">IFERROR(IF(AND(INDEX($E$8:$CE$57, MATCH($C36, $C$8:$C$57, 0), (COLUMNS($DU36:DZ36)-1)*5 + 1) = INDEX($E$5:$CE$5, 1, (COLUMNS($DU36:DZ36)-1)*5 + 1), INDEX($E$8:$CE$57, MATCH($C36, $C$8:$C$57, 0), (COLUMNS($DU36:DZ36)-1)*5 + 4) = "SF"), INDEX($CZ$8:$CZ$23, COLUMNS($DU36:DZ36)), "0"), "")</f>
        <v/>
      </c>
      <c r="EA36" s="395">
        <f t="array" ref="EA36">IFERROR(IF(AND(INDEX($E$8:$CE$57, MATCH($C36, $C$8:$C$57, 0), (COLUMNS($DU36:EA36)-1)*5 + 1) = INDEX($E$5:$CE$5, 1, (COLUMNS($DU36:EA36)-1)*5 + 1), INDEX($E$8:$CE$57, MATCH($C36, $C$8:$C$57, 0), (COLUMNS($DU36:EA36)-1)*5 + 4) = "SF"), INDEX($CZ$8:$CZ$23, COLUMNS($DU36:EA36)), "0"), "")</f>
        <v/>
      </c>
      <c r="EB36" s="395">
        <f t="array" ref="EB36">IFERROR(IF(AND(INDEX($E$8:$CE$57, MATCH($C36, $C$8:$C$57, 0), (COLUMNS($DU36:EB36)-1)*5 + 1) = INDEX($E$5:$CE$5, 1, (COLUMNS($DU36:EB36)-1)*5 + 1), INDEX($E$8:$CE$57, MATCH($C36, $C$8:$C$57, 0), (COLUMNS($DU36:EB36)-1)*5 + 4) = "SF"), INDEX($CZ$8:$CZ$23, COLUMNS($DU36:EB36)), "0"), "")</f>
        <v/>
      </c>
      <c r="EC36" s="395">
        <f t="array" ref="EC36">IFERROR(IF(AND(INDEX($E$8:$CE$57, MATCH($C36, $C$8:$C$57, 0), (COLUMNS($DU36:EC36)-1)*5 + 1) = INDEX($E$5:$CE$5, 1, (COLUMNS($DU36:EC36)-1)*5 + 1), INDEX($E$8:$CE$57, MATCH($C36, $C$8:$C$57, 0), (COLUMNS($DU36:EC36)-1)*5 + 4) = "SF"), INDEX($CZ$8:$CZ$23, COLUMNS($DU36:EC36)), "0"), "")</f>
        <v/>
      </c>
      <c r="ED36" s="395">
        <f t="array" ref="ED36">IFERROR(IF(AND(INDEX($E$8:$CE$57, MATCH($C36, $C$8:$C$57, 0), (COLUMNS($DU36:ED36)-1)*5 + 1) = INDEX($E$5:$CE$5, 1, (COLUMNS($DU36:ED36)-1)*5 + 1), INDEX($E$8:$CE$57, MATCH($C36, $C$8:$C$57, 0), (COLUMNS($DU36:ED36)-1)*5 + 4) = "SF"), INDEX($CZ$8:$CZ$23, COLUMNS($DU36:ED36)), "0"), "")</f>
        <v/>
      </c>
      <c r="EE36" s="395">
        <f t="array" ref="EE36">IFERROR(IF(AND(INDEX($E$8:$CE$57, MATCH($C36, $C$8:$C$57, 0), (COLUMNS($DU36:EE36)-1)*5 + 1) = INDEX($E$5:$CE$5, 1, (COLUMNS($DU36:EE36)-1)*5 + 1), INDEX($E$8:$CE$57, MATCH($C36, $C$8:$C$57, 0), (COLUMNS($DU36:EE36)-1)*5 + 4) = "SF"), INDEX($CZ$8:$CZ$23, COLUMNS($DU36:EE36)), "0"), "")</f>
        <v/>
      </c>
      <c r="EF36" s="395">
        <f t="array" ref="EF36">IFERROR(IF(AND(INDEX($E$8:$CE$57, MATCH($C36, $C$8:$C$57, 0), (COLUMNS($DU36:EF36)-1)*5 + 1) = INDEX($E$5:$CE$5, 1, (COLUMNS($DU36:EF36)-1)*5 + 1), INDEX($E$8:$CE$57, MATCH($C36, $C$8:$C$57, 0), (COLUMNS($DU36:EF36)-1)*5 + 4) = "SF"), INDEX($CZ$8:$CZ$23, COLUMNS($DU36:EF36)), "0"), "")</f>
        <v/>
      </c>
      <c r="EG36" s="395">
        <f t="array" ref="EG36">IFERROR(IF(AND(INDEX($E$8:$CE$57, MATCH($C36, $C$8:$C$57, 0), (COLUMNS($DU36:EG36)-1)*5 + 1) = INDEX($E$5:$CE$5, 1, (COLUMNS($DU36:EG36)-1)*5 + 1), INDEX($E$8:$CE$57, MATCH($C36, $C$8:$C$57, 0), (COLUMNS($DU36:EG36)-1)*5 + 4) = "SF"), INDEX($CZ$8:$CZ$23, COLUMNS($DU36:EG36)), "0"), "")</f>
        <v/>
      </c>
      <c r="EH36" s="395">
        <f t="array" ref="EH36">IFERROR(IF(AND(INDEX($E$8:$CE$57, MATCH($C36, $C$8:$C$57, 0), (COLUMNS($DU36:EH36)-1)*5 + 1) = INDEX($E$5:$CE$5, 1, (COLUMNS($DU36:EH36)-1)*5 + 1), INDEX($E$8:$CE$57, MATCH($C36, $C$8:$C$57, 0), (COLUMNS($DU36:EH36)-1)*5 + 4) = "SF"), INDEX($CZ$8:$CZ$23, COLUMNS($DU36:EH36)), "0"), "")</f>
        <v/>
      </c>
      <c r="EI36" s="395">
        <f t="array" ref="EI36">IFERROR(IF(AND(INDEX($E$8:$CE$57, MATCH($C36, $C$8:$C$57, 0), (COLUMNS($DU36:EI36)-1)*5 + 1) = INDEX($E$5:$CE$5, 1, (COLUMNS($DU36:EI36)-1)*5 + 1), INDEX($E$8:$CE$57, MATCH($C36, $C$8:$C$57, 0), (COLUMNS($DU36:EI36)-1)*5 + 4) = "SF"), INDEX($CZ$8:$CZ$23, COLUMNS($DU36:EI36)), "0"), "")</f>
        <v/>
      </c>
      <c r="EJ36" s="395">
        <f t="array" ref="EJ36">IFERROR(IF(AND(INDEX($E$8:$CE$57, MATCH($C36, $C$8:$C$57, 0), (COLUMNS($DU36:EJ36)-1)*5 + 1) = INDEX($E$5:$CE$5, 1, (COLUMNS($DU36:EJ36)-1)*5 + 1), INDEX($E$8:$CE$57, MATCH($C36, $C$8:$C$57, 0), (COLUMNS($DU36:EJ36)-1)*5 + 4) = "SF"), INDEX($CZ$8:$CZ$23, COLUMNS($DU36:EJ36)), "0"), "")</f>
        <v/>
      </c>
    </row>
    <row r="37" ht="19.5" customHeight="1" s="568">
      <c r="A37" s="576" t="n"/>
      <c r="B37" s="449">
        <f>IF(SEMANA29[[#This Row],[COD]]&lt;&gt;"",B36+1,"")</f>
        <v/>
      </c>
      <c r="C37" s="622" t="inlineStr">
        <is>
          <t>COD 30</t>
        </is>
      </c>
      <c r="D37" s="415">
        <f t="array" ref="D37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7" s="416" t="n"/>
      <c r="F37" s="418" t="n"/>
      <c r="G37" s="418" t="n"/>
      <c r="H37" s="418" t="n"/>
      <c r="I37" s="602">
        <f>SUM(IF(E37=E$5,4,0),IF(E37&amp;F37=E$5&amp;F$5,1,0),
IF(AND(E37=E$5,F$6&gt;=$D$115),1,0),
IF(AND(F37=E$5,F$6&gt;=$D$115),1,0),
IF(AND(G37=E$5,F$6&gt;=$D$115),1,0),
IF(E37&amp;H37=I$5,1,0),
IF(F37=E$5,2,0),
IF(G37=E$5,1,0),
IF(OR(E37&amp;F37&amp;G37=E$5&amp;F$5&amp;G$5,E37&amp;F37&amp;G37=E$5&amp;G$5&amp;F$5,E37&amp;F37&amp;G37=F$5&amp;E$5&amp;G$5,E37&amp;F37&amp;G37=F$5&amp;G$5&amp;E$5,E37&amp;F37&amp;G37=G$5&amp;E$5&amp;F$5,E37&amp;F37&amp;G37=G$5&amp;F$5&amp;E$5),2,0),IF(AND(E37=E$5,F$6&gt;=$D$129),1,0),IF(AND(F37=E$5,F$6&gt;=$D$129),1,0),IF(AND(G37=E$5,F$6&gt;=$D$129),1,0),IF(E37&amp;H37=H$5,4,0),IF(AND(E37=E$5,F$6&lt;=$D$104),-0.5,0),IF(AND(F37=E$5,F$6&lt;=$D$104),-0.5,0),IF(AND(G37=E$5,F$6&lt;=$D$104),-0.5,0))</f>
        <v/>
      </c>
      <c r="J37" s="416" t="n"/>
      <c r="K37" s="418" t="n"/>
      <c r="L37" s="418" t="n"/>
      <c r="M37" s="418" t="n"/>
      <c r="N37" s="602">
        <f>SUM(IF(J37=J$5,4,0),IF(J37&amp;K37=J$5&amp;K$5,1,0),
IF(AND(J37=J$5,K$6&gt;=$D$115),1,0),
IF(AND(K37=J$5,K$6&gt;=$D$115),1,0),
IF(AND(L37=J$5,K$6&gt;=$D$115),1,0),
IF(J37&amp;M37=N$5,1,0),
IF(K37=J$5,2,0),
IF(L37=J$5,1,0),
IF(OR(J37&amp;K37&amp;L37=J$5&amp;K$5&amp;L$5,J37&amp;K37&amp;L37=J$5&amp;L$5&amp;K$5,J37&amp;K37&amp;L37=K$5&amp;J$5&amp;L$5,J37&amp;K37&amp;L37=K$5&amp;L$5&amp;J$5,J37&amp;K37&amp;L37=L$5&amp;J$5&amp;K$5,J37&amp;K37&amp;L37=L$5&amp;K$5&amp;J$5),2,0),IF(AND(J37=J$5,K$6&gt;=$D$129),1,0),IF(AND(K37=J$5,K$6&gt;=$D$129),1,0),IF(AND(L37=J$5,K$6&gt;=$D$129),1,0),IF(J37&amp;M37=M$5,4,0),IF(AND(J37=J$5,K$6&lt;=$D$104),-0.5,0),IF(AND(K37=J$5,K$6&lt;=$D$104),-0.5,0),IF(AND(L37=J$5,K$6&lt;=$D$104),-0.5,0))</f>
        <v/>
      </c>
      <c r="O37" s="416" t="n"/>
      <c r="P37" s="418" t="n"/>
      <c r="Q37" s="418" t="n"/>
      <c r="R37" s="418" t="n"/>
      <c r="S37" s="602">
        <f>SUM(IF(O37=O$5,4,0),IF(O37&amp;P37=O$5&amp;P$5,1,0),
IF(AND(O37=O$5,P$6&gt;=$D$115),1,0),
IF(AND(P37=O$5,P$6&gt;=$D$115),1,0),
IF(AND(Q37=O$5,P$6&gt;=$D$115),1,0),
IF(O37&amp;R37=S$5,1,0),
IF(P37=O$5,2,0),
IF(Q37=O$5,1,0),
IF(OR(O37&amp;P37&amp;Q37=O$5&amp;P$5&amp;Q$5,O37&amp;P37&amp;Q37=O$5&amp;Q$5&amp;P$5,O37&amp;P37&amp;Q37=P$5&amp;O$5&amp;Q$5,O37&amp;P37&amp;Q37=P$5&amp;Q$5&amp;O$5,O37&amp;P37&amp;Q37=Q$5&amp;O$5&amp;P$5,O37&amp;P37&amp;Q37=Q$5&amp;P$5&amp;O$5),2,0),IF(AND(O37=O$5,P$6&gt;=$D$129),1,0),IF(AND(P37=O$5,P$6&gt;=$D$129),1,0),IF(AND(Q37=O$5,P$6&gt;=$D$129),1,0),IF(O37&amp;R37=R$5,4,0),IF(AND(O37=O$5,P$6&lt;=$D$104),-0.5,0),IF(AND(P37=O$5,P$6&lt;=$D$104),-0.5,0),IF(AND(Q37=O$5,P$6&lt;=$D$104),-0.5,0))</f>
        <v/>
      </c>
      <c r="T37" s="416" t="n"/>
      <c r="U37" s="418" t="n"/>
      <c r="V37" s="418" t="n"/>
      <c r="W37" s="418" t="n"/>
      <c r="X37" s="602">
        <f>SUM(IF(T37=T$5,4,0),IF(T37&amp;U37=T$5&amp;U$5,1,0),
IF(AND(T37=T$5,U$6&gt;=$D$115),1,0),
IF(AND(U37=T$5,U$6&gt;=$D$115),1,0),
IF(AND(V37=T$5,U$6&gt;=$D$115),1,0),
IF(T37&amp;W37=X$5,1,0),
IF(U37=T$5,2,0),
IF(V37=T$5,1,0),
IF(OR(T37&amp;U37&amp;V37=T$5&amp;U$5&amp;V$5,T37&amp;U37&amp;V37=T$5&amp;V$5&amp;U$5,T37&amp;U37&amp;V37=U$5&amp;T$5&amp;V$5,T37&amp;U37&amp;V37=U$5&amp;V$5&amp;T$5,T37&amp;U37&amp;V37=V$5&amp;T$5&amp;U$5,T37&amp;U37&amp;V37=V$5&amp;U$5&amp;T$5),2,0),IF(AND(T37=T$5,U$6&gt;=$D$129),1,0),IF(AND(U37=T$5,U$6&gt;=$D$129),1,0),IF(AND(V37=T$5,U$6&gt;=$D$129),1,0),IF(T37&amp;W37=W$5,4,0),IF(AND(T37=T$5,U$6&lt;=$D$104),-0.5,0),IF(AND(U37=T$5,U$6&lt;=$D$104),-0.5,0),IF(AND(V37=T$5,U$6&lt;=$D$104),-0.5,0))</f>
        <v/>
      </c>
      <c r="Y37" s="416" t="n"/>
      <c r="Z37" s="418" t="n"/>
      <c r="AA37" s="418" t="n"/>
      <c r="AB37" s="418" t="n"/>
      <c r="AC37" s="602">
        <f>SUM(IF(Y37=Y$5,4,0),IF(Y37&amp;Z37=Y$5&amp;Z$5,1,0),
IF(AND(Y37=Y$5,Z$6&gt;=$D$115),1,0),
IF(AND(Z37=Y$5,Z$6&gt;=$D$115),1,0),
IF(AND(AA37=Y$5,Z$6&gt;=$D$115),1,0),
IF(Y37&amp;AB37=AC$5,1,0),
IF(Z37=Y$5,2,0),
IF(AA37=Y$5,1,0),
IF(OR(Y37&amp;Z37&amp;AA37=Y$5&amp;Z$5&amp;AA$5,Y37&amp;Z37&amp;AA37=Y$5&amp;AA$5&amp;Z$5,Y37&amp;Z37&amp;AA37=Z$5&amp;Y$5&amp;AA$5,Y37&amp;Z37&amp;AA37=Z$5&amp;AA$5&amp;Y$5,Y37&amp;Z37&amp;AA37=AA$5&amp;Y$5&amp;Z$5,Y37&amp;Z37&amp;AA37=AA$5&amp;Z$5&amp;Y$5),2,0),IF(AND(Y37=Y$5,Z$6&gt;=$D$129),1,0),IF(AND(Z37=Y$5,Z$6&gt;=$D$129),1,0),IF(AND(AA37=Y$5,Z$6&gt;=$D$129),1,0),IF(Y37&amp;AB37=AB$5,4,0),IF(AND(Y37=Y$5,Z$6&lt;=$D$104),-0.5,0),IF(AND(Z37=Y$5,Z$6&lt;=$D$104),-0.5,0),IF(AND(AA37=Y$5,Z$6&lt;=$D$104),-0.5,0))</f>
        <v/>
      </c>
      <c r="AD37" s="416" t="n"/>
      <c r="AE37" s="418" t="n"/>
      <c r="AF37" s="418" t="n"/>
      <c r="AG37" s="418" t="n"/>
      <c r="AH37" s="602">
        <f>SUM(IF(AD37=AD$5,4,0),IF(AD37&amp;AE37=AD$5&amp;AE$5,1,0),
IF(AND(AD37=AD$5,AE$6&gt;=$D$115),1,0),
IF(AND(AE37=AD$5,AE$6&gt;=$D$115),1,0),
IF(AND(AF37=AD$5,AE$6&gt;=$D$115),1,0),
IF(AD37&amp;AG37=AH$5,1,0),
IF(AE37=AD$5,2,0),
IF(AF37=AD$5,1,0),
IF(OR(AD37&amp;AE37&amp;AF37=AD$5&amp;AE$5&amp;AF$5,AD37&amp;AE37&amp;AF37=AD$5&amp;AF$5&amp;AE$5,AD37&amp;AE37&amp;AF37=AE$5&amp;AD$5&amp;AF$5,AD37&amp;AE37&amp;AF37=AE$5&amp;AF$5&amp;AD$5,AD37&amp;AE37&amp;AF37=AF$5&amp;AD$5&amp;AE$5,AD37&amp;AE37&amp;AF37=AF$5&amp;AE$5&amp;AD$5),2,0),IF(AND(AD37=AD$5,AE$6&gt;=$D$129),1,0),IF(AND(AE37=AD$5,AE$6&gt;=$D$129),1,0),IF(AND(AF37=AD$5,AE$6&gt;=$D$129),1,0),IF(AD37&amp;AG37=AG$5,4,0),IF(AND(AD37=AD$5,AE$6&lt;=$D$104),-0.5,0),IF(AND(AE37=AD$5,AE$6&lt;=$D$104),-0.5,0),IF(AND(AF37=AD$5,AE$6&lt;=$D$104),-0.5,0))</f>
        <v/>
      </c>
      <c r="AI37" s="416" t="n"/>
      <c r="AJ37" s="418" t="n"/>
      <c r="AK37" s="418" t="n"/>
      <c r="AL37" s="418" t="n"/>
      <c r="AM37" s="602">
        <f>SUM(IF(AI37=AI$5,4,0),IF(AI37&amp;AJ37=AI$5&amp;AJ$5,1,0),
IF(AND(AI37=AI$5,AJ$6&gt;=$D$115),1,0),
IF(AND(AJ37=AI$5,AJ$6&gt;=$D$115),1,0),
IF(AND(AK37=AI$5,AJ$6&gt;=$D$115),1,0),
IF(AI37&amp;AL37=AM$5,1,0),
IF(AJ37=AI$5,2,0),
IF(AK37=AI$5,1,0),
IF(OR(AI37&amp;AJ37&amp;AK37=AI$5&amp;AJ$5&amp;AK$5,AI37&amp;AJ37&amp;AK37=AI$5&amp;AK$5&amp;AJ$5,AI37&amp;AJ37&amp;AK37=AJ$5&amp;AI$5&amp;AK$5,AI37&amp;AJ37&amp;AK37=AJ$5&amp;AK$5&amp;AI$5,AI37&amp;AJ37&amp;AK37=AK$5&amp;AI$5&amp;AJ$5,AI37&amp;AJ37&amp;AK37=AK$5&amp;AJ$5&amp;AI$5),2,0),IF(AND(AI37=AI$5,AJ$6&gt;=$D$129),1,0),IF(AND(AJ37=AI$5,AJ$6&gt;=$D$129),1,0),IF(AND(AK37=AI$5,AJ$6&gt;=$D$129),1,0),IF(AI37&amp;AL37=AL$5,4,0),IF(AND(AI37=AI$5,AJ$6&lt;=$D$104),-0.5,0),IF(AND(AJ37=AI$5,AJ$6&lt;=$D$104),-0.5,0),IF(AND(AK37=AI$5,AJ$6&lt;=$D$104),-0.5,0))</f>
        <v/>
      </c>
      <c r="AN37" s="416" t="n"/>
      <c r="AO37" s="418" t="n"/>
      <c r="AP37" s="418" t="n"/>
      <c r="AQ37" s="418" t="n"/>
      <c r="AR37" s="602">
        <f>SUM(IF(AN37=AN$5,4,0),IF(AN37&amp;AO37=AN$5&amp;AO$5,1,0),
IF(AND(AN37=AN$5,AO$6&gt;=$D$115),1,0),
IF(AND(AO37=AN$5,AO$6&gt;=$D$115),1,0),
IF(AND(AP37=AN$5,AO$6&gt;=$D$115),1,0),
IF(AN37&amp;AQ37=AR$5,1,0),
IF(AO37=AN$5,2,0),
IF(AP37=AN$5,1,0),
IF(OR(AN37&amp;AO37&amp;AP37=AN$5&amp;AO$5&amp;AP$5,AN37&amp;AO37&amp;AP37=AN$5&amp;AP$5&amp;AO$5,AN37&amp;AO37&amp;AP37=AO$5&amp;AN$5&amp;AP$5,AN37&amp;AO37&amp;AP37=AO$5&amp;AP$5&amp;AN$5,AN37&amp;AO37&amp;AP37=AP$5&amp;AN$5&amp;AO$5,AN37&amp;AO37&amp;AP37=AP$5&amp;AO$5&amp;AN$5),2,0),IF(AND(AN37=AN$5,AO$6&gt;=$D$129),1,0),IF(AND(AO37=AN$5,AO$6&gt;=$D$129),1,0),IF(AND(AP37=AN$5,AO$6&gt;=$D$129),1,0),IF(AN37&amp;AQ37=AQ$5,4,0),IF(AND(AN37=AN$5,AO$6&lt;=$D$104),-0.5,0),IF(AND(AO37=AN$5,AO$6&lt;=$D$104),-0.5,0),IF(AND(AP37=AN$5,AO$6&lt;=$D$104),-0.5,0))</f>
        <v/>
      </c>
      <c r="AS37" s="416" t="n"/>
      <c r="AT37" s="418" t="n"/>
      <c r="AU37" s="418" t="n"/>
      <c r="AV37" s="418" t="n"/>
      <c r="AW37" s="602">
        <f>SUM(IF(AS37=AS$5,4,0),IF(AS37&amp;AT37=AS$5&amp;AT$5,1,0),
IF(AND(AS37=AS$5,AT$6&gt;=$D$115),1,0),
IF(AND(AT37=AS$5,AT$6&gt;=$D$115),1,0),
IF(AND(AU37=AS$5,AT$6&gt;=$D$115),1,0),
IF(AS37&amp;AV37=AW$5,1,0),
IF(AT37=AS$5,2,0),
IF(AU37=AS$5,1,0),
IF(OR(AS37&amp;AT37&amp;AU37=AS$5&amp;AT$5&amp;AU$5,AS37&amp;AT37&amp;AU37=AS$5&amp;AU$5&amp;AT$5,AS37&amp;AT37&amp;AU37=AT$5&amp;AS$5&amp;AU$5,AS37&amp;AT37&amp;AU37=AT$5&amp;AU$5&amp;AS$5,AS37&amp;AT37&amp;AU37=AU$5&amp;AS$5&amp;AT$5,AS37&amp;AT37&amp;AU37=AU$5&amp;AT$5&amp;AS$5),2,0),IF(AND(AS37=AS$5,AT$6&gt;=$D$129),1,0),IF(AND(AT37=AS$5,AT$6&gt;=$D$129),1,0),IF(AND(AU37=AS$5,AT$6&gt;=$D$129),1,0),IF(AS37&amp;AV37=AV$5,4,0),IF(AND(AS37=AS$5,AT$6&lt;=$D$104),-0.5,0),IF(AND(AT37=AS$5,AT$6&lt;=$D$104),-0.5,0),IF(AND(AU37=AS$5,AT$6&lt;=$D$104),-0.5,0))</f>
        <v/>
      </c>
      <c r="AX37" s="416" t="n"/>
      <c r="AY37" s="418" t="n"/>
      <c r="AZ37" s="418" t="n"/>
      <c r="BA37" s="418" t="n"/>
      <c r="BB37" s="602">
        <f>SUM(IF(AX37=AX$5,4,0),IF(AX37&amp;AY37=AX$5&amp;AY$5,1,0),
IF(AND(AX37=AX$5,AY$6&gt;=$D$115),1,0),
IF(AND(AY37=AX$5,AY$6&gt;=$D$115),1,0),
IF(AND(AZ37=AX$5,AY$6&gt;=$D$115),1,0),
IF(AX37&amp;BA37=BB$5,1,0),
IF(AY37=AX$5,2,0),
IF(AZ37=AX$5,1,0),
IF(OR(AX37&amp;AY37&amp;AZ37=AX$5&amp;AY$5&amp;AZ$5,AX37&amp;AY37&amp;AZ37=AX$5&amp;AZ$5&amp;AY$5,AX37&amp;AY37&amp;AZ37=AY$5&amp;AX$5&amp;AZ$5,AX37&amp;AY37&amp;AZ37=AY$5&amp;AZ$5&amp;AX$5,AX37&amp;AY37&amp;AZ37=AZ$5&amp;AX$5&amp;AY$5,AX37&amp;AY37&amp;AZ37=AZ$5&amp;AY$5&amp;AX$5),2,0),IF(AND(AX37=AX$5,AY$6&gt;=$D$129),1,0),IF(AND(AY37=AX$5,AY$6&gt;=$D$129),1,0),IF(AND(AZ37=AX$5,AY$6&gt;=$D$129),1,0),IF(AX37&amp;BA37=BA$5,4,0),IF(AND(AX37=AX$5,AY$6&lt;=$D$104),-0.5,0),IF(AND(AY37=AX$5,AY$6&lt;=$D$104),-0.5,0),IF(AND(AZ37=AX$5,AY$6&lt;=$D$104),-0.5,0))</f>
        <v/>
      </c>
      <c r="BC37" s="416" t="n"/>
      <c r="BD37" s="418" t="n"/>
      <c r="BE37" s="418" t="n"/>
      <c r="BF37" s="418" t="n"/>
      <c r="BG37" s="602">
        <f>SUM(IF(BC37=BC$5,4,0),IF(BC37&amp;BD37=BC$5&amp;BD$5,1,0),
IF(AND(BC37=BC$5,BD$6&gt;=$D$115),1,0),
IF(AND(BD37=BC$5,BD$6&gt;=$D$115),1,0),
IF(AND(BE37=BC$5,BD$6&gt;=$D$115),1,0),
IF(BC37&amp;BF37=BG$5,1,0),
IF(BD37=BC$5,2,0),
IF(BE37=BC$5,1,0),
IF(OR(BC37&amp;BD37&amp;BE37=BC$5&amp;BD$5&amp;BE$5,BC37&amp;BD37&amp;BE37=BC$5&amp;BE$5&amp;BD$5,BC37&amp;BD37&amp;BE37=BD$5&amp;BC$5&amp;BE$5,BC37&amp;BD37&amp;BE37=BD$5&amp;BE$5&amp;BC$5,BC37&amp;BD37&amp;BE37=BE$5&amp;BC$5&amp;BD$5,BC37&amp;BD37&amp;BE37=BE$5&amp;BD$5&amp;BC$5),2,0),IF(AND(BC37=BC$5,BD$6&gt;=$D$129),1,0),IF(AND(BD37=BC$5,BD$6&gt;=$D$129),1,0),IF(AND(BE37=BC$5,BD$6&gt;=$D$129),1,0),IF(BC37&amp;BF37=BF$5,4,0),IF(AND(BC37=BC$5,BD$6&lt;=$D$104),-0.5,0),IF(AND(BD37=BC$5,BD$6&lt;=$D$104),-0.5,0),IF(AND(BE37=BC$5,BD$6&lt;=$D$104),-0.5,0))</f>
        <v/>
      </c>
      <c r="BH37" s="416" t="n"/>
      <c r="BI37" s="418" t="n"/>
      <c r="BJ37" s="418" t="n"/>
      <c r="BK37" s="418" t="n"/>
      <c r="BL37" s="602">
        <f>SUM(IF(BH37=BH$5,4,0),IF(BH37&amp;BI37=BH$5&amp;BI$5,1,0),
IF(AND(BH37=BH$5,BI$6&gt;=$D$115),1,0),
IF(AND(BI37=BH$5,BI$6&gt;=$D$115),1,0),
IF(AND(BJ37=BH$5,BI$6&gt;=$D$115),1,0),
IF(BH37&amp;BK37=BL$5,1,0),
IF(BI37=BH$5,2,0),
IF(BJ37=BH$5,1,0),
IF(OR(BH37&amp;BI37&amp;BJ37=BH$5&amp;BI$5&amp;BJ$5,BH37&amp;BI37&amp;BJ37=BH$5&amp;BJ$5&amp;BI$5,BH37&amp;BI37&amp;BJ37=BI$5&amp;BH$5&amp;BJ$5,BH37&amp;BI37&amp;BJ37=BI$5&amp;BJ$5&amp;BH$5,BH37&amp;BI37&amp;BJ37=BJ$5&amp;BH$5&amp;BI$5,BH37&amp;BI37&amp;BJ37=BJ$5&amp;BI$5&amp;BH$5),2,0),IF(AND(BH37=BH$5,BI$6&gt;=$D$129),1,0),IF(AND(BI37=BH$5,BI$6&gt;=$D$129),1,0),IF(AND(BJ37=BH$5,BI$6&gt;=$D$129),1,0),IF(BH37&amp;BK37=BK$5,4,0),IF(AND(BH37=BH$5,BI$6&lt;=$D$104),-0.5,0),IF(AND(BI37=BH$5,BI$6&lt;=$D$104),-0.5,0),IF(AND(BJ37=BH$5,BI$6&lt;=$D$104),-0.5,0))</f>
        <v/>
      </c>
      <c r="BM37" s="416" t="n"/>
      <c r="BN37" s="418" t="n"/>
      <c r="BO37" s="418" t="n"/>
      <c r="BP37" s="418" t="n"/>
      <c r="BQ37" s="602">
        <f>SUM(IF(BM37=BM$5,4,0),IF(BM37&amp;BN37=BM$5&amp;BN$5,1,0),
IF(AND(BM37=BM$5,BN$6&gt;=$D$115),1,0),
IF(AND(BN37=BM$5,BN$6&gt;=$D$115),1,0),
IF(AND(BO37=BM$5,BN$6&gt;=$D$115),1,0),
IF(BM37&amp;BP37=BQ$5,1,0),
IF(BN37=BM$5,2,0),
IF(BO37=BM$5,1,0),
IF(OR(BM37&amp;BN37&amp;BO37=BM$5&amp;BN$5&amp;BO$5,BM37&amp;BN37&amp;BO37=BM$5&amp;BO$5&amp;BN$5,BM37&amp;BN37&amp;BO37=BN$5&amp;BM$5&amp;BO$5,BM37&amp;BN37&amp;BO37=BN$5&amp;BO$5&amp;BM$5,BM37&amp;BN37&amp;BO37=BO$5&amp;BM$5&amp;BN$5,BM37&amp;BN37&amp;BO37=BO$5&amp;BN$5&amp;BM$5),2,0),IF(AND(BM37=BM$5,BN$6&gt;=$D$129),1,0),IF(AND(BN37=BM$5,BN$6&gt;=$D$129),1,0),IF(AND(BO37=BM$5,BN$6&gt;=$D$129),1,0),IF(BM37&amp;BP37=BP$5,4,0),IF(AND(BM37=BM$5,BN$6&lt;=$D$104),-0.5,0),IF(AND(BN37=BM$5,BN$6&lt;=$D$104),-0.5,0),IF(AND(BO37=BM$5,BN$6&lt;=$D$104),-0.5,0))</f>
        <v/>
      </c>
      <c r="BR37" s="416" t="n"/>
      <c r="BS37" s="418" t="n"/>
      <c r="BT37" s="418" t="n"/>
      <c r="BU37" s="418" t="n"/>
      <c r="BV37" s="602">
        <f>SUM(IF(BR37=BR$5,4,0),IF(BR37&amp;BS37=BR$5&amp;BS$5,1,0),
IF(AND(BR37=BR$5,BS$6&gt;=$D$115),1,0),
IF(AND(BS37=BR$5,BS$6&gt;=$D$115),1,0),
IF(AND(BT37=BR$5,BS$6&gt;=$D$115),1,0),
IF(BR37&amp;BU37=BV$5,1,0),
IF(BS37=BR$5,2,0),
IF(BT37=BR$5,1,0),
IF(OR(BR37&amp;BS37&amp;BT37=BR$5&amp;BS$5&amp;BT$5,BR37&amp;BS37&amp;BT37=BR$5&amp;BT$5&amp;BS$5,BR37&amp;BS37&amp;BT37=BS$5&amp;BR$5&amp;BT$5,BR37&amp;BS37&amp;BT37=BS$5&amp;BT$5&amp;BR$5,BR37&amp;BS37&amp;BT37=BT$5&amp;BR$5&amp;BS$5,BR37&amp;BS37&amp;BT37=BT$5&amp;BS$5&amp;BR$5),2,0),IF(AND(BR37=BR$5,BS$6&gt;=$D$129),1,0),IF(AND(BS37=BR$5,BS$6&gt;=$D$129),1,0),IF(AND(BT37=BR$5,BS$6&gt;=$D$129),1,0),IF(BR37&amp;BU37=BU$5,4,0),IF(AND(BR37=BR$5,BS$6&lt;=$D$104),-0.5,0),IF(AND(BS37=BR$5,BS$6&lt;=$D$104),-0.5,0),IF(AND(BT37=BR$5,BS$6&lt;=$D$104),-0.5,0))</f>
        <v/>
      </c>
      <c r="BW37" s="416" t="n"/>
      <c r="BX37" s="418" t="n"/>
      <c r="BY37" s="418" t="n"/>
      <c r="BZ37" s="418" t="n"/>
      <c r="CA37" s="602">
        <f>SUM(IF(BW37=BW$5,4,0),IF(BW37&amp;BX37=BW$5&amp;BX$5,1,0),
IF(AND(BW37=BW$5,BX$6&gt;=$D$115),1,0),
IF(AND(BX37=BW$5,BX$6&gt;=$D$115),1,0),
IF(AND(BY37=BW$5,BX$6&gt;=$D$115),1,0),
IF(BW37&amp;BZ37=CA$5,1,0),
IF(BX37=BW$5,2,0),
IF(BY37=BW$5,1,0),
IF(OR(BW37&amp;BX37&amp;BY37=BW$5&amp;BX$5&amp;BY$5,BW37&amp;BX37&amp;BY37=BW$5&amp;BY$5&amp;BX$5,BW37&amp;BX37&amp;BY37=BX$5&amp;BW$5&amp;BY$5,BW37&amp;BX37&amp;BY37=BX$5&amp;BY$5&amp;BW$5,BW37&amp;BX37&amp;BY37=BY$5&amp;BW$5&amp;BX$5,BW37&amp;BX37&amp;BY37=BY$5&amp;BX$5&amp;BW$5),2,0),IF(AND(BW37=BW$5,BX$6&gt;=$D$129),1,0),IF(AND(BX37=BW$5,BX$6&gt;=$D$129),1,0),IF(AND(BY37=BW$5,BX$6&gt;=$D$129),1,0),IF(BW37&amp;BZ37=BZ$5,4,0),IF(AND(BW37=BW$5,BX$6&lt;=$D$104),-0.5,0),IF(AND(BX37=BW$5,BX$6&lt;=$D$104),-0.5,0),IF(AND(BY37=BW$5,BX$6&lt;=$D$104),-0.5,0))</f>
        <v/>
      </c>
      <c r="CB37" s="416" t="n"/>
      <c r="CC37" s="418" t="n"/>
      <c r="CD37" s="418" t="n"/>
      <c r="CE37" s="418" t="n"/>
      <c r="CF37" s="602">
        <f>SUM(IF(CB37=CB$5,4,0),IF(CB37&amp;CC37=CB$5&amp;CC$5,1,0),
IF(AND(CB37=CB$5,CC$6&gt;=$D$115),1,0),
IF(AND(CC37=CB$5,CC$6&gt;=$D$115),1,0),
IF(AND(CD37=CB$5,CC$6&gt;=$D$115),1,0),
IF(CB37&amp;CE37=CF$5,1,0),
IF(CC37=CB$5,2,0),
IF(CD37=CB$5,1,0),
IF(OR(CB37&amp;CC37&amp;CD37=CB$5&amp;CC$5&amp;CD$5,CB37&amp;CC37&amp;CD37=CB$5&amp;CD$5&amp;CC$5,CB37&amp;CC37&amp;CD37=CC$5&amp;CB$5&amp;CD$5,CB37&amp;CC37&amp;CD37=CC$5&amp;CD$5&amp;CB$5,CB37&amp;CC37&amp;CD37=CD$5&amp;CB$5&amp;CC$5,CB37&amp;CC37&amp;CD37=CD$5&amp;CC$5&amp;CB$5),2,0),IF(AND(CB37=CB$5,CC$6&gt;=$D$129),1,0),IF(AND(CC37=CB$5,CC$6&gt;=$D$129),1,0),IF(AND(CD37=CB$5,CC$6&gt;=$D$129),1,0),IF(CB37&amp;CE37=CE$5,4,0),IF(AND(CB37=CB$5,CC$6&lt;=$D$104),-0.5,0),IF(AND(CC37=CB$5,CC$6&lt;=$D$104),-0.5,0),IF(AND(CD37=CB$5,CC$6&lt;=$D$104),-0.5,0))</f>
        <v/>
      </c>
      <c r="CG37" s="164">
        <f>IF(SEMANA29[[#This Row],[1]]="",0,$B$4)</f>
        <v/>
      </c>
      <c r="CH37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7" s="166">
        <f>IF(SEMANA29[[#This Row],[Columna14]]=0,0,(CH37/CG37))</f>
        <v/>
      </c>
      <c r="CJ37" s="165">
        <f>IF(SEMANA29[[#This Row],[1]]="",0,$B$4)</f>
        <v/>
      </c>
      <c r="CK37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7" s="166">
        <f>IF(SEMANA29[[#This Row],[Columna14]]=0,0,(CK37/CJ37))</f>
        <v/>
      </c>
      <c r="CM37" s="164">
        <f>IF(SEMANA29[[#This Row],[1]]="",0,$B$4)</f>
        <v/>
      </c>
      <c r="CN37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7" s="166">
        <f>IF(SEMANA29[[#This Row],[Columna14]]=0,0,(CN37/CM37))</f>
        <v/>
      </c>
      <c r="CP37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7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Row],[Columna25]],$AX$5,BA37,"SF")+COUNTIFS(SEMANA29[[#This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7" s="166">
        <f>IFERROR(IF(SEMANA29[[#This Row],[Columna14]]=0,0,(CQ37/CP37)),0)</f>
        <v/>
      </c>
      <c r="CS37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7" s="95">
        <f>_xlfn.XLOOKUP(SEMANA29[[#This Row],[COD]],SEMANA2[COD],SEMANA2[Columna33])</f>
        <v/>
      </c>
      <c r="CU37" s="604">
        <f>SUM(CS37,CT37)</f>
        <v/>
      </c>
      <c r="CV37" s="450">
        <f>IF(SEMANA29[[#This Row],[TIPO]]="PREMIO",$O$3,"0,00")</f>
        <v/>
      </c>
      <c r="CW37" s="576" t="n"/>
      <c r="CY37" s="392">
        <f>IF(CZ37="","",$CZ$25)</f>
        <v/>
      </c>
      <c r="CZ37" s="392" t="n"/>
      <c r="DA37" s="392">
        <f t="array" ref="DA37">IF(CZ37="", "", IF((INDEX(E$8:CE$57, MATCH(CZ37, C$8:C$57, 0), ($CZ$25-1)*5 + 1) &amp; "") = (INDEX(E$5:CE$5, 1, ($CZ$25-1)*5 + 1) &amp; ""), 1, IF((INDEX(E$8:CE$57, MATCH(CZ37, C$8:C$57, 0), ($CZ$25-1)*5 + 2) &amp; "") = (INDEX(E$5:CE$5, 1, ($CZ$25-1)*5 + 1) &amp; ""), 2, IF((INDEX(E$8:CE$57, MATCH(CZ37, C$8:C$57, 0), ($CZ$25-1)*5 + 3) &amp; "") = (INDEX(E$5:CE$5, 1, ($CZ$25-1)*5 + 1) &amp; ""), 3, ""))))</f>
        <v/>
      </c>
      <c r="DB37" s="605">
        <f>SEMANA29[[#This Row],[COD]]</f>
        <v/>
      </c>
      <c r="DC37" s="395">
        <f t="array" ref="DC37">IFERROR(IF(AND(INDEX($E$8:$CE$57, MATCH($C37, $C$8:$C$57, 0), (COLUMNS($DC37:DC37)-1)*5 + 1) = INDEX($E$5:$CE$5, 1, (COLUMNS($DC37:DC37)-1)*5 + 1), INDEX($E$8:$CE$57, MATCH($C37, $C$8:$C$57, 0), (COLUMNS($DC37:DC37)-1)*5 + 4) = "F"), INDEX($CZ$8:$CZ$23, COLUMNS($DC37:DC37)), "0"), "")</f>
        <v/>
      </c>
      <c r="DD37" s="395">
        <f t="array" ref="DD37">IFERROR(IF(AND(INDEX($E$8:$CE$57, MATCH($C37, $C$8:$C$57, 0), (COLUMNS($DC37:DD37)-1)*5 + 1) = INDEX($E$5:$CE$5, 1, (COLUMNS($DC37:DD37)-1)*5 + 1), INDEX($E$8:$CE$57, MATCH($C37, $C$8:$C$57, 0), (COLUMNS($DC37:DD37)-1)*5 + 4) = "F"), INDEX($CZ$8:$CZ$23, COLUMNS($DC37:DD37)), "0"), "")</f>
        <v/>
      </c>
      <c r="DE37" s="395">
        <f t="array" ref="DE37">IFERROR(IF(AND(INDEX($E$8:$CE$57, MATCH($C37, $C$8:$C$57, 0), (COLUMNS($DC37:DE37)-1)*5 + 1) = INDEX($E$5:$CE$5, 1, (COLUMNS($DC37:DE37)-1)*5 + 1), INDEX($E$8:$CE$57, MATCH($C37, $C$8:$C$57, 0), (COLUMNS($DC37:DE37)-1)*5 + 4) = "F"), INDEX($CZ$8:$CZ$23, COLUMNS($DC37:DE37)), "0"), "")</f>
        <v/>
      </c>
      <c r="DF37" s="395">
        <f t="array" ref="DF37">IFERROR(IF(AND(INDEX($E$8:$CE$57, MATCH($C37, $C$8:$C$57, 0), (COLUMNS($DC37:DF37)-1)*5 + 1) = INDEX($E$5:$CE$5, 1, (COLUMNS($DC37:DF37)-1)*5 + 1), INDEX($E$8:$CE$57, MATCH($C37, $C$8:$C$57, 0), (COLUMNS($DC37:DF37)-1)*5 + 4) = "F"), INDEX($CZ$8:$CZ$23, COLUMNS($DC37:DF37)), "0"), "")</f>
        <v/>
      </c>
      <c r="DG37" s="395">
        <f t="array" ref="DG37">IFERROR(IF(AND(INDEX($E$8:$CE$57, MATCH($C37, $C$8:$C$57, 0), (COLUMNS($DC37:DG37)-1)*5 + 1) = INDEX($E$5:$CE$5, 1, (COLUMNS($DC37:DG37)-1)*5 + 1), INDEX($E$8:$CE$57, MATCH($C37, $C$8:$C$57, 0), (COLUMNS($DC37:DG37)-1)*5 + 4) = "F"), INDEX($CZ$8:$CZ$23, COLUMNS($DC37:DG37)), "0"), "")</f>
        <v/>
      </c>
      <c r="DH37" s="395">
        <f t="array" ref="DH37">IFERROR(IF(AND(INDEX($E$8:$CE$57, MATCH($C37, $C$8:$C$57, 0), (COLUMNS($DC37:DH37)-1)*5 + 1) = INDEX($E$5:$CE$5, 1, (COLUMNS($DC37:DH37)-1)*5 + 1), INDEX($E$8:$CE$57, MATCH($C37, $C$8:$C$57, 0), (COLUMNS($DC37:DH37)-1)*5 + 4) = "F"), INDEX($CZ$8:$CZ$23, COLUMNS($DC37:DH37)), "0"), "")</f>
        <v/>
      </c>
      <c r="DI37" s="395">
        <f t="array" ref="DI37">IFERROR(IF(AND(INDEX($E$8:$CE$57, MATCH($C37, $C$8:$C$57, 0), (COLUMNS($DC37:DI37)-1)*5 + 1) = INDEX($E$5:$CE$5, 1, (COLUMNS($DC37:DI37)-1)*5 + 1), INDEX($E$8:$CE$57, MATCH($C37, $C$8:$C$57, 0), (COLUMNS($DC37:DI37)-1)*5 + 4) = "F"), INDEX($CZ$8:$CZ$23, COLUMNS($DC37:DI37)), "0"), "")</f>
        <v/>
      </c>
      <c r="DJ37" s="395">
        <f t="array" ref="DJ37">IFERROR(IF(AND(INDEX($E$8:$CE$57, MATCH($C37, $C$8:$C$57, 0), (COLUMNS($DC37:DJ37)-1)*5 + 1) = INDEX($E$5:$CE$5, 1, (COLUMNS($DC37:DJ37)-1)*5 + 1), INDEX($E$8:$CE$57, MATCH($C37, $C$8:$C$57, 0), (COLUMNS($DC37:DJ37)-1)*5 + 4) = "F"), INDEX($CZ$8:$CZ$23, COLUMNS($DC37:DJ37)), "0"), "")</f>
        <v/>
      </c>
      <c r="DK37" s="395">
        <f t="array" ref="DK37">IFERROR(IF(AND(INDEX($E$8:$CE$57, MATCH($C37, $C$8:$C$57, 0), (COLUMNS($DC37:DK37)-1)*5 + 1) = INDEX($E$5:$CE$5, 1, (COLUMNS($DC37:DK37)-1)*5 + 1), INDEX($E$8:$CE$57, MATCH($C37, $C$8:$C$57, 0), (COLUMNS($DC37:DK37)-1)*5 + 4) = "F"), INDEX($CZ$8:$CZ$23, COLUMNS($DC37:DK37)), "0"), "")</f>
        <v/>
      </c>
      <c r="DL37" s="395">
        <f t="array" ref="DL37">IFERROR(IF(AND(INDEX($E$8:$CE$57, MATCH($C37, $C$8:$C$57, 0), (COLUMNS($DC37:DL37)-1)*5 + 1) = INDEX($E$5:$CE$5, 1, (COLUMNS($DC37:DL37)-1)*5 + 1), INDEX($E$8:$CE$57, MATCH($C37, $C$8:$C$57, 0), (COLUMNS($DC37:DL37)-1)*5 + 4) = "F"), INDEX($CZ$8:$CZ$23, COLUMNS($DC37:DL37)), "0"), "")</f>
        <v/>
      </c>
      <c r="DM37" s="395">
        <f t="array" ref="DM37">IFERROR(IF(AND(INDEX($E$8:$CE$57, MATCH($C37, $C$8:$C$57, 0), (COLUMNS($DC37:DM37)-1)*5 + 1) = INDEX($E$5:$CE$5, 1, (COLUMNS($DC37:DM37)-1)*5 + 1), INDEX($E$8:$CE$57, MATCH($C37, $C$8:$C$57, 0), (COLUMNS($DC37:DM37)-1)*5 + 4) = "F"), INDEX($CZ$8:$CZ$23, COLUMNS($DC37:DM37)), "0"), "")</f>
        <v/>
      </c>
      <c r="DN37" s="395">
        <f t="array" ref="DN37">IFERROR(IF(AND(INDEX($E$8:$CE$57, MATCH($C37, $C$8:$C$57, 0), (COLUMNS($DC37:DN37)-1)*5 + 1) = INDEX($E$5:$CE$5, 1, (COLUMNS($DC37:DN37)-1)*5 + 1), INDEX($E$8:$CE$57, MATCH($C37, $C$8:$C$57, 0), (COLUMNS($DC37:DN37)-1)*5 + 4) = "F"), INDEX($CZ$8:$CZ$23, COLUMNS($DC37:DN37)), "0"), "")</f>
        <v/>
      </c>
      <c r="DO37" s="395">
        <f t="array" ref="DO37">IFERROR(IF(AND(INDEX($E$8:$CE$57, MATCH($C37, $C$8:$C$57, 0), (COLUMNS($DC37:DO37)-1)*5 + 1) = INDEX($E$5:$CE$5, 1, (COLUMNS($DC37:DO37)-1)*5 + 1), INDEX($E$8:$CE$57, MATCH($C37, $C$8:$C$57, 0), (COLUMNS($DC37:DO37)-1)*5 + 4) = "F"), INDEX($CZ$8:$CZ$23, COLUMNS($DC37:DO37)), "0"), "")</f>
        <v/>
      </c>
      <c r="DP37" s="395">
        <f t="array" ref="DP37">IFERROR(IF(AND(INDEX($E$8:$CE$57, MATCH($C37, $C$8:$C$57, 0), (COLUMNS($DC37:DP37)-1)*5 + 1) = INDEX($E$5:$CE$5, 1, (COLUMNS($DC37:DP37)-1)*5 + 1), INDEX($E$8:$CE$57, MATCH($C37, $C$8:$C$57, 0), (COLUMNS($DC37:DP37)-1)*5 + 4) = "F"), INDEX($CZ$8:$CZ$23, COLUMNS($DC37:DP37)), "0"), "")</f>
        <v/>
      </c>
      <c r="DQ37" s="395">
        <f t="array" ref="DQ37">IFERROR(IF(AND(INDEX($E$8:$CE$57, MATCH($C37, $C$8:$C$57, 0), (COLUMNS($DC37:DQ37)-1)*5 + 1) = INDEX($E$5:$CE$5, 1, (COLUMNS($DC37:DQ37)-1)*5 + 1), INDEX($E$8:$CE$57, MATCH($C37, $C$8:$C$57, 0), (COLUMNS($DC37:DQ37)-1)*5 + 4) = "F"), INDEX($CZ$8:$CZ$23, COLUMNS($DC37:DQ37)), "0"), "")</f>
        <v/>
      </c>
      <c r="DR37" s="395">
        <f t="array" ref="DR37">IFERROR(IF(AND(INDEX($E$8:$CE$57, MATCH($C37, $C$8:$C$57, 0), (COLUMNS($DC37:DR37)-1)*5 + 1) = INDEX($E$5:$CE$5, 1, (COLUMNS($DC37:DR37)-1)*5 + 1), INDEX($E$8:$CE$57, MATCH($C37, $C$8:$C$57, 0), (COLUMNS($DC37:DR37)-1)*5 + 4) = "F"), INDEX($CZ$8:$CZ$23, COLUMNS($DC37:DR37)), "0"), "")</f>
        <v/>
      </c>
      <c r="DT37" s="605">
        <f>SEMANA29[[#This Row],[COD]]</f>
        <v/>
      </c>
      <c r="DU37" s="395">
        <f t="array" ref="DU37">IFERROR(IF(AND(INDEX($E$8:$CE$57, MATCH($C37, $C$8:$C$57, 0), (COLUMNS($DU37:DU37)-1)*5 + 1) = INDEX($E$5:$CE$5, 1, (COLUMNS($DU37:DU37)-1)*5 + 1), INDEX($E$8:$CE$57, MATCH($C37, $C$8:$C$57, 0), (COLUMNS($DU37:DU37)-1)*5 + 4) = "SF"), INDEX($CZ$8:$CZ$23, COLUMNS($DU37:DU37)), "0"), "")</f>
        <v/>
      </c>
      <c r="DV37" s="395">
        <f t="array" ref="DV37">IFERROR(IF(AND(INDEX($E$8:$CE$57, MATCH($C37, $C$8:$C$57, 0), (COLUMNS($DU37:DV37)-1)*5 + 1) = INDEX($E$5:$CE$5, 1, (COLUMNS($DU37:DV37)-1)*5 + 1), INDEX($E$8:$CE$57, MATCH($C37, $C$8:$C$57, 0), (COLUMNS($DU37:DV37)-1)*5 + 4) = "SF"), INDEX($CZ$8:$CZ$23, COLUMNS($DU37:DV37)), "0"), "")</f>
        <v/>
      </c>
      <c r="DW37" s="395">
        <f t="array" ref="DW37">IFERROR(IF(AND(INDEX($E$8:$CE$57, MATCH($C37, $C$8:$C$57, 0), (COLUMNS($DU37:DW37)-1)*5 + 1) = INDEX($E$5:$CE$5, 1, (COLUMNS($DU37:DW37)-1)*5 + 1), INDEX($E$8:$CE$57, MATCH($C37, $C$8:$C$57, 0), (COLUMNS($DU37:DW37)-1)*5 + 4) = "SF"), INDEX($CZ$8:$CZ$23, COLUMNS($DU37:DW37)), "0"), "")</f>
        <v/>
      </c>
      <c r="DX37" s="395">
        <f t="array" ref="DX37">IFERROR(IF(AND(INDEX($E$8:$CE$57, MATCH($C37, $C$8:$C$57, 0), (COLUMNS($DU37:DX37)-1)*5 + 1) = INDEX($E$5:$CE$5, 1, (COLUMNS($DU37:DX37)-1)*5 + 1), INDEX($E$8:$CE$57, MATCH($C37, $C$8:$C$57, 0), (COLUMNS($DU37:DX37)-1)*5 + 4) = "SF"), INDEX($CZ$8:$CZ$23, COLUMNS($DU37:DX37)), "0"), "")</f>
        <v/>
      </c>
      <c r="DY37" s="395">
        <f t="array" ref="DY37">IFERROR(IF(AND(INDEX($E$8:$CE$57, MATCH($C37, $C$8:$C$57, 0), (COLUMNS($DU37:DY37)-1)*5 + 1) = INDEX($E$5:$CE$5, 1, (COLUMNS($DU37:DY37)-1)*5 + 1), INDEX($E$8:$CE$57, MATCH($C37, $C$8:$C$57, 0), (COLUMNS($DU37:DY37)-1)*5 + 4) = "SF"), INDEX($CZ$8:$CZ$23, COLUMNS($DU37:DY37)), "0"), "")</f>
        <v/>
      </c>
      <c r="DZ37" s="395">
        <f t="array" ref="DZ37">IFERROR(IF(AND(INDEX($E$8:$CE$57, MATCH($C37, $C$8:$C$57, 0), (COLUMNS($DU37:DZ37)-1)*5 + 1) = INDEX($E$5:$CE$5, 1, (COLUMNS($DU37:DZ37)-1)*5 + 1), INDEX($E$8:$CE$57, MATCH($C37, $C$8:$C$57, 0), (COLUMNS($DU37:DZ37)-1)*5 + 4) = "SF"), INDEX($CZ$8:$CZ$23, COLUMNS($DU37:DZ37)), "0"), "")</f>
        <v/>
      </c>
      <c r="EA37" s="395">
        <f t="array" ref="EA37">IFERROR(IF(AND(INDEX($E$8:$CE$57, MATCH($C37, $C$8:$C$57, 0), (COLUMNS($DU37:EA37)-1)*5 + 1) = INDEX($E$5:$CE$5, 1, (COLUMNS($DU37:EA37)-1)*5 + 1), INDEX($E$8:$CE$57, MATCH($C37, $C$8:$C$57, 0), (COLUMNS($DU37:EA37)-1)*5 + 4) = "SF"), INDEX($CZ$8:$CZ$23, COLUMNS($DU37:EA37)), "0"), "")</f>
        <v/>
      </c>
      <c r="EB37" s="395">
        <f t="array" ref="EB37">IFERROR(IF(AND(INDEX($E$8:$CE$57, MATCH($C37, $C$8:$C$57, 0), (COLUMNS($DU37:EB37)-1)*5 + 1) = INDEX($E$5:$CE$5, 1, (COLUMNS($DU37:EB37)-1)*5 + 1), INDEX($E$8:$CE$57, MATCH($C37, $C$8:$C$57, 0), (COLUMNS($DU37:EB37)-1)*5 + 4) = "SF"), INDEX($CZ$8:$CZ$23, COLUMNS($DU37:EB37)), "0"), "")</f>
        <v/>
      </c>
      <c r="EC37" s="395">
        <f t="array" ref="EC37">IFERROR(IF(AND(INDEX($E$8:$CE$57, MATCH($C37, $C$8:$C$57, 0), (COLUMNS($DU37:EC37)-1)*5 + 1) = INDEX($E$5:$CE$5, 1, (COLUMNS($DU37:EC37)-1)*5 + 1), INDEX($E$8:$CE$57, MATCH($C37, $C$8:$C$57, 0), (COLUMNS($DU37:EC37)-1)*5 + 4) = "SF"), INDEX($CZ$8:$CZ$23, COLUMNS($DU37:EC37)), "0"), "")</f>
        <v/>
      </c>
      <c r="ED37" s="395">
        <f t="array" ref="ED37">IFERROR(IF(AND(INDEX($E$8:$CE$57, MATCH($C37, $C$8:$C$57, 0), (COLUMNS($DU37:ED37)-1)*5 + 1) = INDEX($E$5:$CE$5, 1, (COLUMNS($DU37:ED37)-1)*5 + 1), INDEX($E$8:$CE$57, MATCH($C37, $C$8:$C$57, 0), (COLUMNS($DU37:ED37)-1)*5 + 4) = "SF"), INDEX($CZ$8:$CZ$23, COLUMNS($DU37:ED37)), "0"), "")</f>
        <v/>
      </c>
      <c r="EE37" s="395">
        <f t="array" ref="EE37">IFERROR(IF(AND(INDEX($E$8:$CE$57, MATCH($C37, $C$8:$C$57, 0), (COLUMNS($DU37:EE37)-1)*5 + 1) = INDEX($E$5:$CE$5, 1, (COLUMNS($DU37:EE37)-1)*5 + 1), INDEX($E$8:$CE$57, MATCH($C37, $C$8:$C$57, 0), (COLUMNS($DU37:EE37)-1)*5 + 4) = "SF"), INDEX($CZ$8:$CZ$23, COLUMNS($DU37:EE37)), "0"), "")</f>
        <v/>
      </c>
      <c r="EF37" s="395">
        <f t="array" ref="EF37">IFERROR(IF(AND(INDEX($E$8:$CE$57, MATCH($C37, $C$8:$C$57, 0), (COLUMNS($DU37:EF37)-1)*5 + 1) = INDEX($E$5:$CE$5, 1, (COLUMNS($DU37:EF37)-1)*5 + 1), INDEX($E$8:$CE$57, MATCH($C37, $C$8:$C$57, 0), (COLUMNS($DU37:EF37)-1)*5 + 4) = "SF"), INDEX($CZ$8:$CZ$23, COLUMNS($DU37:EF37)), "0"), "")</f>
        <v/>
      </c>
      <c r="EG37" s="395">
        <f t="array" ref="EG37">IFERROR(IF(AND(INDEX($E$8:$CE$57, MATCH($C37, $C$8:$C$57, 0), (COLUMNS($DU37:EG37)-1)*5 + 1) = INDEX($E$5:$CE$5, 1, (COLUMNS($DU37:EG37)-1)*5 + 1), INDEX($E$8:$CE$57, MATCH($C37, $C$8:$C$57, 0), (COLUMNS($DU37:EG37)-1)*5 + 4) = "SF"), INDEX($CZ$8:$CZ$23, COLUMNS($DU37:EG37)), "0"), "")</f>
        <v/>
      </c>
      <c r="EH37" s="395">
        <f t="array" ref="EH37">IFERROR(IF(AND(INDEX($E$8:$CE$57, MATCH($C37, $C$8:$C$57, 0), (COLUMNS($DU37:EH37)-1)*5 + 1) = INDEX($E$5:$CE$5, 1, (COLUMNS($DU37:EH37)-1)*5 + 1), INDEX($E$8:$CE$57, MATCH($C37, $C$8:$C$57, 0), (COLUMNS($DU37:EH37)-1)*5 + 4) = "SF"), INDEX($CZ$8:$CZ$23, COLUMNS($DU37:EH37)), "0"), "")</f>
        <v/>
      </c>
      <c r="EI37" s="395">
        <f t="array" ref="EI37">IFERROR(IF(AND(INDEX($E$8:$CE$57, MATCH($C37, $C$8:$C$57, 0), (COLUMNS($DU37:EI37)-1)*5 + 1) = INDEX($E$5:$CE$5, 1, (COLUMNS($DU37:EI37)-1)*5 + 1), INDEX($E$8:$CE$57, MATCH($C37, $C$8:$C$57, 0), (COLUMNS($DU37:EI37)-1)*5 + 4) = "SF"), INDEX($CZ$8:$CZ$23, COLUMNS($DU37:EI37)), "0"), "")</f>
        <v/>
      </c>
      <c r="EJ37" s="395">
        <f t="array" ref="EJ37">IFERROR(IF(AND(INDEX($E$8:$CE$57, MATCH($C37, $C$8:$C$57, 0), (COLUMNS($DU37:EJ37)-1)*5 + 1) = INDEX($E$5:$CE$5, 1, (COLUMNS($DU37:EJ37)-1)*5 + 1), INDEX($E$8:$CE$57, MATCH($C37, $C$8:$C$57, 0), (COLUMNS($DU37:EJ37)-1)*5 + 4) = "SF"), INDEX($CZ$8:$CZ$23, COLUMNS($DU37:EJ37)), "0"), "")</f>
        <v/>
      </c>
    </row>
    <row r="38" ht="19.5" customHeight="1" s="568">
      <c r="A38" s="576" t="n"/>
      <c r="B38" s="449">
        <f>IF(SEMANA29[[#This Row],[COD]]&lt;&gt;"",B37+1,"")</f>
        <v/>
      </c>
      <c r="C38" s="622" t="inlineStr">
        <is>
          <t>COD 31</t>
        </is>
      </c>
      <c r="D38" s="415">
        <f t="array" ref="D38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8" s="416" t="n"/>
      <c r="F38" s="418" t="n"/>
      <c r="G38" s="418" t="n"/>
      <c r="H38" s="418" t="n"/>
      <c r="I38" s="602">
        <f>SUM(IF(E38=E$5,4,0),IF(E38&amp;F38=E$5&amp;F$5,1,0),
IF(AND(E38=E$5,F$6&gt;=$D$115),1,0),
IF(AND(F38=E$5,F$6&gt;=$D$115),1,0),
IF(AND(G38=E$5,F$6&gt;=$D$115),1,0),
IF(E38&amp;H38=I$5,1,0),
IF(F38=E$5,2,0),
IF(G38=E$5,1,0),
IF(OR(E38&amp;F38&amp;G38=E$5&amp;F$5&amp;G$5,E38&amp;F38&amp;G38=E$5&amp;G$5&amp;F$5,E38&amp;F38&amp;G38=F$5&amp;E$5&amp;G$5,E38&amp;F38&amp;G38=F$5&amp;G$5&amp;E$5,E38&amp;F38&amp;G38=G$5&amp;E$5&amp;F$5,E38&amp;F38&amp;G38=G$5&amp;F$5&amp;E$5),2,0),IF(AND(E38=E$5,F$6&gt;=$D$129),1,0),IF(AND(F38=E$5,F$6&gt;=$D$129),1,0),IF(AND(G38=E$5,F$6&gt;=$D$129),1,0),IF(E38&amp;H38=H$5,4,0),IF(AND(E38=E$5,F$6&lt;=$D$104),-0.5,0),IF(AND(F38=E$5,F$6&lt;=$D$104),-0.5,0),IF(AND(G38=E$5,F$6&lt;=$D$104),-0.5,0))</f>
        <v/>
      </c>
      <c r="J38" s="416" t="n"/>
      <c r="K38" s="418" t="n"/>
      <c r="L38" s="418" t="n"/>
      <c r="M38" s="418" t="n"/>
      <c r="N38" s="602">
        <f>SUM(IF(J38=J$5,4,0),IF(J38&amp;K38=J$5&amp;K$5,1,0),
IF(AND(J38=J$5,K$6&gt;=$D$115),1,0),
IF(AND(K38=J$5,K$6&gt;=$D$115),1,0),
IF(AND(L38=J$5,K$6&gt;=$D$115),1,0),
IF(J38&amp;M38=N$5,1,0),
IF(K38=J$5,2,0),
IF(L38=J$5,1,0),
IF(OR(J38&amp;K38&amp;L38=J$5&amp;K$5&amp;L$5,J38&amp;K38&amp;L38=J$5&amp;L$5&amp;K$5,J38&amp;K38&amp;L38=K$5&amp;J$5&amp;L$5,J38&amp;K38&amp;L38=K$5&amp;L$5&amp;J$5,J38&amp;K38&amp;L38=L$5&amp;J$5&amp;K$5,J38&amp;K38&amp;L38=L$5&amp;K$5&amp;J$5),2,0),IF(AND(J38=J$5,K$6&gt;=$D$129),1,0),IF(AND(K38=J$5,K$6&gt;=$D$129),1,0),IF(AND(L38=J$5,K$6&gt;=$D$129),1,0),IF(J38&amp;M38=M$5,4,0),IF(AND(J38=J$5,K$6&lt;=$D$104),-0.5,0),IF(AND(K38=J$5,K$6&lt;=$D$104),-0.5,0),IF(AND(L38=J$5,K$6&lt;=$D$104),-0.5,0))</f>
        <v/>
      </c>
      <c r="O38" s="416" t="n"/>
      <c r="P38" s="418" t="n"/>
      <c r="Q38" s="418" t="n"/>
      <c r="R38" s="418" t="n"/>
      <c r="S38" s="602">
        <f>SUM(IF(O38=O$5,4,0),IF(O38&amp;P38=O$5&amp;P$5,1,0),
IF(AND(O38=O$5,P$6&gt;=$D$115),1,0),
IF(AND(P38=O$5,P$6&gt;=$D$115),1,0),
IF(AND(Q38=O$5,P$6&gt;=$D$115),1,0),
IF(O38&amp;R38=S$5,1,0),
IF(P38=O$5,2,0),
IF(Q38=O$5,1,0),
IF(OR(O38&amp;P38&amp;Q38=O$5&amp;P$5&amp;Q$5,O38&amp;P38&amp;Q38=O$5&amp;Q$5&amp;P$5,O38&amp;P38&amp;Q38=P$5&amp;O$5&amp;Q$5,O38&amp;P38&amp;Q38=P$5&amp;Q$5&amp;O$5,O38&amp;P38&amp;Q38=Q$5&amp;O$5&amp;P$5,O38&amp;P38&amp;Q38=Q$5&amp;P$5&amp;O$5),2,0),IF(AND(O38=O$5,P$6&gt;=$D$129),1,0),IF(AND(P38=O$5,P$6&gt;=$D$129),1,0),IF(AND(Q38=O$5,P$6&gt;=$D$129),1,0),IF(O38&amp;R38=R$5,4,0),IF(AND(O38=O$5,P$6&lt;=$D$104),-0.5,0),IF(AND(P38=O$5,P$6&lt;=$D$104),-0.5,0),IF(AND(Q38=O$5,P$6&lt;=$D$104),-0.5,0))</f>
        <v/>
      </c>
      <c r="T38" s="416" t="n"/>
      <c r="U38" s="418" t="n"/>
      <c r="V38" s="418" t="n"/>
      <c r="W38" s="418" t="n"/>
      <c r="X38" s="602">
        <f>SUM(IF(T38=T$5,4,0),IF(T38&amp;U38=T$5&amp;U$5,1,0),
IF(AND(T38=T$5,U$6&gt;=$D$115),1,0),
IF(AND(U38=T$5,U$6&gt;=$D$115),1,0),
IF(AND(V38=T$5,U$6&gt;=$D$115),1,0),
IF(T38&amp;W38=X$5,1,0),
IF(U38=T$5,2,0),
IF(V38=T$5,1,0),
IF(OR(T38&amp;U38&amp;V38=T$5&amp;U$5&amp;V$5,T38&amp;U38&amp;V38=T$5&amp;V$5&amp;U$5,T38&amp;U38&amp;V38=U$5&amp;T$5&amp;V$5,T38&amp;U38&amp;V38=U$5&amp;V$5&amp;T$5,T38&amp;U38&amp;V38=V$5&amp;T$5&amp;U$5,T38&amp;U38&amp;V38=V$5&amp;U$5&amp;T$5),2,0),IF(AND(T38=T$5,U$6&gt;=$D$129),1,0),IF(AND(U38=T$5,U$6&gt;=$D$129),1,0),IF(AND(V38=T$5,U$6&gt;=$D$129),1,0),IF(T38&amp;W38=W$5,4,0),IF(AND(T38=T$5,U$6&lt;=$D$104),-0.5,0),IF(AND(U38=T$5,U$6&lt;=$D$104),-0.5,0),IF(AND(V38=T$5,U$6&lt;=$D$104),-0.5,0))</f>
        <v/>
      </c>
      <c r="Y38" s="416" t="n"/>
      <c r="Z38" s="418" t="n"/>
      <c r="AA38" s="418" t="n"/>
      <c r="AB38" s="418" t="n"/>
      <c r="AC38" s="602">
        <f>SUM(IF(Y38=Y$5,4,0),IF(Y38&amp;Z38=Y$5&amp;Z$5,1,0),
IF(AND(Y38=Y$5,Z$6&gt;=$D$115),1,0),
IF(AND(Z38=Y$5,Z$6&gt;=$D$115),1,0),
IF(AND(AA38=Y$5,Z$6&gt;=$D$115),1,0),
IF(Y38&amp;AB38=AC$5,1,0),
IF(Z38=Y$5,2,0),
IF(AA38=Y$5,1,0),
IF(OR(Y38&amp;Z38&amp;AA38=Y$5&amp;Z$5&amp;AA$5,Y38&amp;Z38&amp;AA38=Y$5&amp;AA$5&amp;Z$5,Y38&amp;Z38&amp;AA38=Z$5&amp;Y$5&amp;AA$5,Y38&amp;Z38&amp;AA38=Z$5&amp;AA$5&amp;Y$5,Y38&amp;Z38&amp;AA38=AA$5&amp;Y$5&amp;Z$5,Y38&amp;Z38&amp;AA38=AA$5&amp;Z$5&amp;Y$5),2,0),IF(AND(Y38=Y$5,Z$6&gt;=$D$129),1,0),IF(AND(Z38=Y$5,Z$6&gt;=$D$129),1,0),IF(AND(AA38=Y$5,Z$6&gt;=$D$129),1,0),IF(Y38&amp;AB38=AB$5,4,0),IF(AND(Y38=Y$5,Z$6&lt;=$D$104),-0.5,0),IF(AND(Z38=Y$5,Z$6&lt;=$D$104),-0.5,0),IF(AND(AA38=Y$5,Z$6&lt;=$D$104),-0.5,0))</f>
        <v/>
      </c>
      <c r="AD38" s="416" t="n"/>
      <c r="AE38" s="418" t="n"/>
      <c r="AF38" s="418" t="n"/>
      <c r="AG38" s="418" t="n"/>
      <c r="AH38" s="602">
        <f>SUM(IF(AD38=AD$5,4,0),IF(AD38&amp;AE38=AD$5&amp;AE$5,1,0),
IF(AND(AD38=AD$5,AE$6&gt;=$D$115),1,0),
IF(AND(AE38=AD$5,AE$6&gt;=$D$115),1,0),
IF(AND(AF38=AD$5,AE$6&gt;=$D$115),1,0),
IF(AD38&amp;AG38=AH$5,1,0),
IF(AE38=AD$5,2,0),
IF(AF38=AD$5,1,0),
IF(OR(AD38&amp;AE38&amp;AF38=AD$5&amp;AE$5&amp;AF$5,AD38&amp;AE38&amp;AF38=AD$5&amp;AF$5&amp;AE$5,AD38&amp;AE38&amp;AF38=AE$5&amp;AD$5&amp;AF$5,AD38&amp;AE38&amp;AF38=AE$5&amp;AF$5&amp;AD$5,AD38&amp;AE38&amp;AF38=AF$5&amp;AD$5&amp;AE$5,AD38&amp;AE38&amp;AF38=AF$5&amp;AE$5&amp;AD$5),2,0),IF(AND(AD38=AD$5,AE$6&gt;=$D$129),1,0),IF(AND(AE38=AD$5,AE$6&gt;=$D$129),1,0),IF(AND(AF38=AD$5,AE$6&gt;=$D$129),1,0),IF(AD38&amp;AG38=AG$5,4,0),IF(AND(AD38=AD$5,AE$6&lt;=$D$104),-0.5,0),IF(AND(AE38=AD$5,AE$6&lt;=$D$104),-0.5,0),IF(AND(AF38=AD$5,AE$6&lt;=$D$104),-0.5,0))</f>
        <v/>
      </c>
      <c r="AI38" s="416" t="n"/>
      <c r="AJ38" s="418" t="n"/>
      <c r="AK38" s="418" t="n"/>
      <c r="AL38" s="418" t="n"/>
      <c r="AM38" s="602">
        <f>SUM(IF(AI38=AI$5,4,0),IF(AI38&amp;AJ38=AI$5&amp;AJ$5,1,0),
IF(AND(AI38=AI$5,AJ$6&gt;=$D$115),1,0),
IF(AND(AJ38=AI$5,AJ$6&gt;=$D$115),1,0),
IF(AND(AK38=AI$5,AJ$6&gt;=$D$115),1,0),
IF(AI38&amp;AL38=AM$5,1,0),
IF(AJ38=AI$5,2,0),
IF(AK38=AI$5,1,0),
IF(OR(AI38&amp;AJ38&amp;AK38=AI$5&amp;AJ$5&amp;AK$5,AI38&amp;AJ38&amp;AK38=AI$5&amp;AK$5&amp;AJ$5,AI38&amp;AJ38&amp;AK38=AJ$5&amp;AI$5&amp;AK$5,AI38&amp;AJ38&amp;AK38=AJ$5&amp;AK$5&amp;AI$5,AI38&amp;AJ38&amp;AK38=AK$5&amp;AI$5&amp;AJ$5,AI38&amp;AJ38&amp;AK38=AK$5&amp;AJ$5&amp;AI$5),2,0),IF(AND(AI38=AI$5,AJ$6&gt;=$D$129),1,0),IF(AND(AJ38=AI$5,AJ$6&gt;=$D$129),1,0),IF(AND(AK38=AI$5,AJ$6&gt;=$D$129),1,0),IF(AI38&amp;AL38=AL$5,4,0),IF(AND(AI38=AI$5,AJ$6&lt;=$D$104),-0.5,0),IF(AND(AJ38=AI$5,AJ$6&lt;=$D$104),-0.5,0),IF(AND(AK38=AI$5,AJ$6&lt;=$D$104),-0.5,0))</f>
        <v/>
      </c>
      <c r="AN38" s="416" t="n"/>
      <c r="AO38" s="418" t="n"/>
      <c r="AP38" s="418" t="n"/>
      <c r="AQ38" s="418" t="n"/>
      <c r="AR38" s="602">
        <f>SUM(IF(AN38=AN$5,4,0),IF(AN38&amp;AO38=AN$5&amp;AO$5,1,0),
IF(AND(AN38=AN$5,AO$6&gt;=$D$115),1,0),
IF(AND(AO38=AN$5,AO$6&gt;=$D$115),1,0),
IF(AND(AP38=AN$5,AO$6&gt;=$D$115),1,0),
IF(AN38&amp;AQ38=AR$5,1,0),
IF(AO38=AN$5,2,0),
IF(AP38=AN$5,1,0),
IF(OR(AN38&amp;AO38&amp;AP38=AN$5&amp;AO$5&amp;AP$5,AN38&amp;AO38&amp;AP38=AN$5&amp;AP$5&amp;AO$5,AN38&amp;AO38&amp;AP38=AO$5&amp;AN$5&amp;AP$5,AN38&amp;AO38&amp;AP38=AO$5&amp;AP$5&amp;AN$5,AN38&amp;AO38&amp;AP38=AP$5&amp;AN$5&amp;AO$5,AN38&amp;AO38&amp;AP38=AP$5&amp;AO$5&amp;AN$5),2,0),IF(AND(AN38=AN$5,AO$6&gt;=$D$129),1,0),IF(AND(AO38=AN$5,AO$6&gt;=$D$129),1,0),IF(AND(AP38=AN$5,AO$6&gt;=$D$129),1,0),IF(AN38&amp;AQ38=AQ$5,4,0),IF(AND(AN38=AN$5,AO$6&lt;=$D$104),-0.5,0),IF(AND(AO38=AN$5,AO$6&lt;=$D$104),-0.5,0),IF(AND(AP38=AN$5,AO$6&lt;=$D$104),-0.5,0))</f>
        <v/>
      </c>
      <c r="AS38" s="416" t="n"/>
      <c r="AT38" s="418" t="n"/>
      <c r="AU38" s="418" t="n"/>
      <c r="AV38" s="418" t="n"/>
      <c r="AW38" s="602">
        <f>SUM(IF(AS38=AS$5,4,0),IF(AS38&amp;AT38=AS$5&amp;AT$5,1,0),
IF(AND(AS38=AS$5,AT$6&gt;=$D$115),1,0),
IF(AND(AT38=AS$5,AT$6&gt;=$D$115),1,0),
IF(AND(AU38=AS$5,AT$6&gt;=$D$115),1,0),
IF(AS38&amp;AV38=AW$5,1,0),
IF(AT38=AS$5,2,0),
IF(AU38=AS$5,1,0),
IF(OR(AS38&amp;AT38&amp;AU38=AS$5&amp;AT$5&amp;AU$5,AS38&amp;AT38&amp;AU38=AS$5&amp;AU$5&amp;AT$5,AS38&amp;AT38&amp;AU38=AT$5&amp;AS$5&amp;AU$5,AS38&amp;AT38&amp;AU38=AT$5&amp;AU$5&amp;AS$5,AS38&amp;AT38&amp;AU38=AU$5&amp;AS$5&amp;AT$5,AS38&amp;AT38&amp;AU38=AU$5&amp;AT$5&amp;AS$5),2,0),IF(AND(AS38=AS$5,AT$6&gt;=$D$129),1,0),IF(AND(AT38=AS$5,AT$6&gt;=$D$129),1,0),IF(AND(AU38=AS$5,AT$6&gt;=$D$129),1,0),IF(AS38&amp;AV38=AV$5,4,0),IF(AND(AS38=AS$5,AT$6&lt;=$D$104),-0.5,0),IF(AND(AT38=AS$5,AT$6&lt;=$D$104),-0.5,0),IF(AND(AU38=AS$5,AT$6&lt;=$D$104),-0.5,0))</f>
        <v/>
      </c>
      <c r="AX38" s="416" t="n"/>
      <c r="AY38" s="418" t="n"/>
      <c r="AZ38" s="418" t="n"/>
      <c r="BA38" s="418" t="n"/>
      <c r="BB38" s="602">
        <f>SUM(IF(AX38=AX$5,4,0),IF(AX38&amp;AY38=AX$5&amp;AY$5,1,0),
IF(AND(AX38=AX$5,AY$6&gt;=$D$115),1,0),
IF(AND(AY38=AX$5,AY$6&gt;=$D$115),1,0),
IF(AND(AZ38=AX$5,AY$6&gt;=$D$115),1,0),
IF(AX38&amp;BA38=BB$5,1,0),
IF(AY38=AX$5,2,0),
IF(AZ38=AX$5,1,0),
IF(OR(AX38&amp;AY38&amp;AZ38=AX$5&amp;AY$5&amp;AZ$5,AX38&amp;AY38&amp;AZ38=AX$5&amp;AZ$5&amp;AY$5,AX38&amp;AY38&amp;AZ38=AY$5&amp;AX$5&amp;AZ$5,AX38&amp;AY38&amp;AZ38=AY$5&amp;AZ$5&amp;AX$5,AX38&amp;AY38&amp;AZ38=AZ$5&amp;AX$5&amp;AY$5,AX38&amp;AY38&amp;AZ38=AZ$5&amp;AY$5&amp;AX$5),2,0),IF(AND(AX38=AX$5,AY$6&gt;=$D$129),1,0),IF(AND(AY38=AX$5,AY$6&gt;=$D$129),1,0),IF(AND(AZ38=AX$5,AY$6&gt;=$D$129),1,0),IF(AX38&amp;BA38=BA$5,4,0),IF(AND(AX38=AX$5,AY$6&lt;=$D$104),-0.5,0),IF(AND(AY38=AX$5,AY$6&lt;=$D$104),-0.5,0),IF(AND(AZ38=AX$5,AY$6&lt;=$D$104),-0.5,0))</f>
        <v/>
      </c>
      <c r="BC38" s="416" t="n"/>
      <c r="BD38" s="418" t="n"/>
      <c r="BE38" s="418" t="n"/>
      <c r="BF38" s="418" t="n"/>
      <c r="BG38" s="602">
        <f>SUM(IF(BC38=BC$5,4,0),IF(BC38&amp;BD38=BC$5&amp;BD$5,1,0),
IF(AND(BC38=BC$5,BD$6&gt;=$D$115),1,0),
IF(AND(BD38=BC$5,BD$6&gt;=$D$115),1,0),
IF(AND(BE38=BC$5,BD$6&gt;=$D$115),1,0),
IF(BC38&amp;BF38=BG$5,1,0),
IF(BD38=BC$5,2,0),
IF(BE38=BC$5,1,0),
IF(OR(BC38&amp;BD38&amp;BE38=BC$5&amp;BD$5&amp;BE$5,BC38&amp;BD38&amp;BE38=BC$5&amp;BE$5&amp;BD$5,BC38&amp;BD38&amp;BE38=BD$5&amp;BC$5&amp;BE$5,BC38&amp;BD38&amp;BE38=BD$5&amp;BE$5&amp;BC$5,BC38&amp;BD38&amp;BE38=BE$5&amp;BC$5&amp;BD$5,BC38&amp;BD38&amp;BE38=BE$5&amp;BD$5&amp;BC$5),2,0),IF(AND(BC38=BC$5,BD$6&gt;=$D$129),1,0),IF(AND(BD38=BC$5,BD$6&gt;=$D$129),1,0),IF(AND(BE38=BC$5,BD$6&gt;=$D$129),1,0),IF(BC38&amp;BF38=BF$5,4,0),IF(AND(BC38=BC$5,BD$6&lt;=$D$104),-0.5,0),IF(AND(BD38=BC$5,BD$6&lt;=$D$104),-0.5,0),IF(AND(BE38=BC$5,BD$6&lt;=$D$104),-0.5,0))</f>
        <v/>
      </c>
      <c r="BH38" s="416" t="n"/>
      <c r="BI38" s="418" t="n"/>
      <c r="BJ38" s="418" t="n"/>
      <c r="BK38" s="418" t="n"/>
      <c r="BL38" s="602">
        <f>SUM(IF(BH38=BH$5,4,0),IF(BH38&amp;BI38=BH$5&amp;BI$5,1,0),
IF(AND(BH38=BH$5,BI$6&gt;=$D$115),1,0),
IF(AND(BI38=BH$5,BI$6&gt;=$D$115),1,0),
IF(AND(BJ38=BH$5,BI$6&gt;=$D$115),1,0),
IF(BH38&amp;BK38=BL$5,1,0),
IF(BI38=BH$5,2,0),
IF(BJ38=BH$5,1,0),
IF(OR(BH38&amp;BI38&amp;BJ38=BH$5&amp;BI$5&amp;BJ$5,BH38&amp;BI38&amp;BJ38=BH$5&amp;BJ$5&amp;BI$5,BH38&amp;BI38&amp;BJ38=BI$5&amp;BH$5&amp;BJ$5,BH38&amp;BI38&amp;BJ38=BI$5&amp;BJ$5&amp;BH$5,BH38&amp;BI38&amp;BJ38=BJ$5&amp;BH$5&amp;BI$5,BH38&amp;BI38&amp;BJ38=BJ$5&amp;BI$5&amp;BH$5),2,0),IF(AND(BH38=BH$5,BI$6&gt;=$D$129),1,0),IF(AND(BI38=BH$5,BI$6&gt;=$D$129),1,0),IF(AND(BJ38=BH$5,BI$6&gt;=$D$129),1,0),IF(BH38&amp;BK38=BK$5,4,0),IF(AND(BH38=BH$5,BI$6&lt;=$D$104),-0.5,0),IF(AND(BI38=BH$5,BI$6&lt;=$D$104),-0.5,0),IF(AND(BJ38=BH$5,BI$6&lt;=$D$104),-0.5,0))</f>
        <v/>
      </c>
      <c r="BM38" s="416" t="n"/>
      <c r="BN38" s="418" t="n"/>
      <c r="BO38" s="418" t="n"/>
      <c r="BP38" s="418" t="n"/>
      <c r="BQ38" s="602">
        <f>SUM(IF(BM38=BM$5,4,0),IF(BM38&amp;BN38=BM$5&amp;BN$5,1,0),
IF(AND(BM38=BM$5,BN$6&gt;=$D$115),1,0),
IF(AND(BN38=BM$5,BN$6&gt;=$D$115),1,0),
IF(AND(BO38=BM$5,BN$6&gt;=$D$115),1,0),
IF(BM38&amp;BP38=BQ$5,1,0),
IF(BN38=BM$5,2,0),
IF(BO38=BM$5,1,0),
IF(OR(BM38&amp;BN38&amp;BO38=BM$5&amp;BN$5&amp;BO$5,BM38&amp;BN38&amp;BO38=BM$5&amp;BO$5&amp;BN$5,BM38&amp;BN38&amp;BO38=BN$5&amp;BM$5&amp;BO$5,BM38&amp;BN38&amp;BO38=BN$5&amp;BO$5&amp;BM$5,BM38&amp;BN38&amp;BO38=BO$5&amp;BM$5&amp;BN$5,BM38&amp;BN38&amp;BO38=BO$5&amp;BN$5&amp;BM$5),2,0),IF(AND(BM38=BM$5,BN$6&gt;=$D$129),1,0),IF(AND(BN38=BM$5,BN$6&gt;=$D$129),1,0),IF(AND(BO38=BM$5,BN$6&gt;=$D$129),1,0),IF(BM38&amp;BP38=BP$5,4,0),IF(AND(BM38=BM$5,BN$6&lt;=$D$104),-0.5,0),IF(AND(BN38=BM$5,BN$6&lt;=$D$104),-0.5,0),IF(AND(BO38=BM$5,BN$6&lt;=$D$104),-0.5,0))</f>
        <v/>
      </c>
      <c r="BR38" s="416" t="n"/>
      <c r="BS38" s="418" t="n"/>
      <c r="BT38" s="418" t="n"/>
      <c r="BU38" s="418" t="n"/>
      <c r="BV38" s="602">
        <f>SUM(IF(BR38=BR$5,4,0),IF(BR38&amp;BS38=BR$5&amp;BS$5,1,0),
IF(AND(BR38=BR$5,BS$6&gt;=$D$115),1,0),
IF(AND(BS38=BR$5,BS$6&gt;=$D$115),1,0),
IF(AND(BT38=BR$5,BS$6&gt;=$D$115),1,0),
IF(BR38&amp;BU38=BV$5,1,0),
IF(BS38=BR$5,2,0),
IF(BT38=BR$5,1,0),
IF(OR(BR38&amp;BS38&amp;BT38=BR$5&amp;BS$5&amp;BT$5,BR38&amp;BS38&amp;BT38=BR$5&amp;BT$5&amp;BS$5,BR38&amp;BS38&amp;BT38=BS$5&amp;BR$5&amp;BT$5,BR38&amp;BS38&amp;BT38=BS$5&amp;BT$5&amp;BR$5,BR38&amp;BS38&amp;BT38=BT$5&amp;BR$5&amp;BS$5,BR38&amp;BS38&amp;BT38=BT$5&amp;BS$5&amp;BR$5),2,0),IF(AND(BR38=BR$5,BS$6&gt;=$D$129),1,0),IF(AND(BS38=BR$5,BS$6&gt;=$D$129),1,0),IF(AND(BT38=BR$5,BS$6&gt;=$D$129),1,0),IF(BR38&amp;BU38=BU$5,4,0),IF(AND(BR38=BR$5,BS$6&lt;=$D$104),-0.5,0),IF(AND(BS38=BR$5,BS$6&lt;=$D$104),-0.5,0),IF(AND(BT38=BR$5,BS$6&lt;=$D$104),-0.5,0))</f>
        <v/>
      </c>
      <c r="BW38" s="416" t="n"/>
      <c r="BX38" s="418" t="n"/>
      <c r="BY38" s="418" t="n"/>
      <c r="BZ38" s="418" t="n"/>
      <c r="CA38" s="602">
        <f>SUM(IF(BW38=BW$5,4,0),IF(BW38&amp;BX38=BW$5&amp;BX$5,1,0),
IF(AND(BW38=BW$5,BX$6&gt;=$D$115),1,0),
IF(AND(BX38=BW$5,BX$6&gt;=$D$115),1,0),
IF(AND(BY38=BW$5,BX$6&gt;=$D$115),1,0),
IF(BW38&amp;BZ38=CA$5,1,0),
IF(BX38=BW$5,2,0),
IF(BY38=BW$5,1,0),
IF(OR(BW38&amp;BX38&amp;BY38=BW$5&amp;BX$5&amp;BY$5,BW38&amp;BX38&amp;BY38=BW$5&amp;BY$5&amp;BX$5,BW38&amp;BX38&amp;BY38=BX$5&amp;BW$5&amp;BY$5,BW38&amp;BX38&amp;BY38=BX$5&amp;BY$5&amp;BW$5,BW38&amp;BX38&amp;BY38=BY$5&amp;BW$5&amp;BX$5,BW38&amp;BX38&amp;BY38=BY$5&amp;BX$5&amp;BW$5),2,0),IF(AND(BW38=BW$5,BX$6&gt;=$D$129),1,0),IF(AND(BX38=BW$5,BX$6&gt;=$D$129),1,0),IF(AND(BY38=BW$5,BX$6&gt;=$D$129),1,0),IF(BW38&amp;BZ38=BZ$5,4,0),IF(AND(BW38=BW$5,BX$6&lt;=$D$104),-0.5,0),IF(AND(BX38=BW$5,BX$6&lt;=$D$104),-0.5,0),IF(AND(BY38=BW$5,BX$6&lt;=$D$104),-0.5,0))</f>
        <v/>
      </c>
      <c r="CB38" s="416" t="n"/>
      <c r="CC38" s="418" t="n"/>
      <c r="CD38" s="418" t="n"/>
      <c r="CE38" s="418" t="n"/>
      <c r="CF38" s="602">
        <f>SUM(IF(CB38=CB$5,4,0),IF(CB38&amp;CC38=CB$5&amp;CC$5,1,0),
IF(AND(CB38=CB$5,CC$6&gt;=$D$115),1,0),
IF(AND(CC38=CB$5,CC$6&gt;=$D$115),1,0),
IF(AND(CD38=CB$5,CC$6&gt;=$D$115),1,0),
IF(CB38&amp;CE38=CF$5,1,0),
IF(CC38=CB$5,2,0),
IF(CD38=CB$5,1,0),
IF(OR(CB38&amp;CC38&amp;CD38=CB$5&amp;CC$5&amp;CD$5,CB38&amp;CC38&amp;CD38=CB$5&amp;CD$5&amp;CC$5,CB38&amp;CC38&amp;CD38=CC$5&amp;CB$5&amp;CD$5,CB38&amp;CC38&amp;CD38=CC$5&amp;CD$5&amp;CB$5,CB38&amp;CC38&amp;CD38=CD$5&amp;CB$5&amp;CC$5,CB38&amp;CC38&amp;CD38=CD$5&amp;CC$5&amp;CB$5),2,0),IF(AND(CB38=CB$5,CC$6&gt;=$D$129),1,0),IF(AND(CC38=CB$5,CC$6&gt;=$D$129),1,0),IF(AND(CD38=CB$5,CC$6&gt;=$D$129),1,0),IF(CB38&amp;CE38=CE$5,4,0),IF(AND(CB38=CB$5,CC$6&lt;=$D$104),-0.5,0),IF(AND(CC38=CB$5,CC$6&lt;=$D$104),-0.5,0),IF(AND(CD38=CB$5,CC$6&lt;=$D$104),-0.5,0))</f>
        <v/>
      </c>
      <c r="CG38" s="164">
        <f>IF(SEMANA29[[#This Row],[1]]="",0,$B$4)</f>
        <v/>
      </c>
      <c r="CH38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8" s="166">
        <f>IF(SEMANA29[[#This Row],[Columna14]]=0,0,(CH38/CG38))</f>
        <v/>
      </c>
      <c r="CJ38" s="165">
        <f>IF(SEMANA29[[#This Row],[1]]="",0,$B$4)</f>
        <v/>
      </c>
      <c r="CK38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8" s="166">
        <f>IF(SEMANA29[[#This Row],[Columna14]]=0,0,(CK38/CJ38))</f>
        <v/>
      </c>
      <c r="CM38" s="164">
        <f>IF(SEMANA29[[#This Row],[1]]="",0,$B$4)</f>
        <v/>
      </c>
      <c r="CN38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8" s="166">
        <f>IF(SEMANA29[[#This Row],[Columna14]]=0,0,(CN38/CM38))</f>
        <v/>
      </c>
      <c r="CP38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8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8" s="166">
        <f>IFERROR(IF(SEMANA29[[#This Row],[Columna14]]=0,0,(CQ38/CP38)),0)</f>
        <v/>
      </c>
      <c r="CS38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8" s="95">
        <f>_xlfn.XLOOKUP(SEMANA29[[#This Row],[COD]],SEMANA2[COD],SEMANA2[Columna33])</f>
        <v/>
      </c>
      <c r="CU38" s="604">
        <f>SUM(CS38,CT38)</f>
        <v/>
      </c>
      <c r="CV38" s="450">
        <f>IF(SEMANA29[[#This Row],[TIPO]]="PREMIO",$O$3,"0,00")</f>
        <v/>
      </c>
      <c r="CW38" s="576" t="n"/>
      <c r="CY38" s="392">
        <f>IF(CZ38="","",$CZ$25)</f>
        <v/>
      </c>
      <c r="CZ38" s="392" t="n"/>
      <c r="DA38" s="392">
        <f t="array" ref="DA38">IF(CZ38="", "", IF((INDEX(E$8:CE$57, MATCH(CZ38, C$8:C$57, 0), ($CZ$25-1)*5 + 1) &amp; "") = (INDEX(E$5:CE$5, 1, ($CZ$25-1)*5 + 1) &amp; ""), 1, IF((INDEX(E$8:CE$57, MATCH(CZ38, C$8:C$57, 0), ($CZ$25-1)*5 + 2) &amp; "") = (INDEX(E$5:CE$5, 1, ($CZ$25-1)*5 + 1) &amp; ""), 2, IF((INDEX(E$8:CE$57, MATCH(CZ38, C$8:C$57, 0), ($CZ$25-1)*5 + 3) &amp; "") = (INDEX(E$5:CE$5, 1, ($CZ$25-1)*5 + 1) &amp; ""), 3, ""))))</f>
        <v/>
      </c>
      <c r="DB38" s="605">
        <f>SEMANA29[[#This Row],[COD]]</f>
        <v/>
      </c>
      <c r="DC38" s="395">
        <f t="array" ref="DC38">IFERROR(IF(AND(INDEX($E$8:$CE$57, MATCH($C38, $C$8:$C$57, 0), (COLUMNS($DC38:DC38)-1)*5 + 1) = INDEX($E$5:$CE$5, 1, (COLUMNS($DC38:DC38)-1)*5 + 1), INDEX($E$8:$CE$57, MATCH($C38, $C$8:$C$57, 0), (COLUMNS($DC38:DC38)-1)*5 + 4) = "F"), INDEX($CZ$8:$CZ$23, COLUMNS($DC38:DC38)), "0"), "")</f>
        <v/>
      </c>
      <c r="DD38" s="395">
        <f t="array" ref="DD38">IFERROR(IF(AND(INDEX($E$8:$CE$57, MATCH($C38, $C$8:$C$57, 0), (COLUMNS($DC38:DD38)-1)*5 + 1) = INDEX($E$5:$CE$5, 1, (COLUMNS($DC38:DD38)-1)*5 + 1), INDEX($E$8:$CE$57, MATCH($C38, $C$8:$C$57, 0), (COLUMNS($DC38:DD38)-1)*5 + 4) = "F"), INDEX($CZ$8:$CZ$23, COLUMNS($DC38:DD38)), "0"), "")</f>
        <v/>
      </c>
      <c r="DE38" s="395">
        <f t="array" ref="DE38">IFERROR(IF(AND(INDEX($E$8:$CE$57, MATCH($C38, $C$8:$C$57, 0), (COLUMNS($DC38:DE38)-1)*5 + 1) = INDEX($E$5:$CE$5, 1, (COLUMNS($DC38:DE38)-1)*5 + 1), INDEX($E$8:$CE$57, MATCH($C38, $C$8:$C$57, 0), (COLUMNS($DC38:DE38)-1)*5 + 4) = "F"), INDEX($CZ$8:$CZ$23, COLUMNS($DC38:DE38)), "0"), "")</f>
        <v/>
      </c>
      <c r="DF38" s="395">
        <f t="array" ref="DF38">IFERROR(IF(AND(INDEX($E$8:$CE$57, MATCH($C38, $C$8:$C$57, 0), (COLUMNS($DC38:DF38)-1)*5 + 1) = INDEX($E$5:$CE$5, 1, (COLUMNS($DC38:DF38)-1)*5 + 1), INDEX($E$8:$CE$57, MATCH($C38, $C$8:$C$57, 0), (COLUMNS($DC38:DF38)-1)*5 + 4) = "F"), INDEX($CZ$8:$CZ$23, COLUMNS($DC38:DF38)), "0"), "")</f>
        <v/>
      </c>
      <c r="DG38" s="395">
        <f t="array" ref="DG38">IFERROR(IF(AND(INDEX($E$8:$CE$57, MATCH($C38, $C$8:$C$57, 0), (COLUMNS($DC38:DG38)-1)*5 + 1) = INDEX($E$5:$CE$5, 1, (COLUMNS($DC38:DG38)-1)*5 + 1), INDEX($E$8:$CE$57, MATCH($C38, $C$8:$C$57, 0), (COLUMNS($DC38:DG38)-1)*5 + 4) = "F"), INDEX($CZ$8:$CZ$23, COLUMNS($DC38:DG38)), "0"), "")</f>
        <v/>
      </c>
      <c r="DH38" s="395">
        <f t="array" ref="DH38">IFERROR(IF(AND(INDEX($E$8:$CE$57, MATCH($C38, $C$8:$C$57, 0), (COLUMNS($DC38:DH38)-1)*5 + 1) = INDEX($E$5:$CE$5, 1, (COLUMNS($DC38:DH38)-1)*5 + 1), INDEX($E$8:$CE$57, MATCH($C38, $C$8:$C$57, 0), (COLUMNS($DC38:DH38)-1)*5 + 4) = "F"), INDEX($CZ$8:$CZ$23, COLUMNS($DC38:DH38)), "0"), "")</f>
        <v/>
      </c>
      <c r="DI38" s="395">
        <f t="array" ref="DI38">IFERROR(IF(AND(INDEX($E$8:$CE$57, MATCH($C38, $C$8:$C$57, 0), (COLUMNS($DC38:DI38)-1)*5 + 1) = INDEX($E$5:$CE$5, 1, (COLUMNS($DC38:DI38)-1)*5 + 1), INDEX($E$8:$CE$57, MATCH($C38, $C$8:$C$57, 0), (COLUMNS($DC38:DI38)-1)*5 + 4) = "F"), INDEX($CZ$8:$CZ$23, COLUMNS($DC38:DI38)), "0"), "")</f>
        <v/>
      </c>
      <c r="DJ38" s="395">
        <f t="array" ref="DJ38">IFERROR(IF(AND(INDEX($E$8:$CE$57, MATCH($C38, $C$8:$C$57, 0), (COLUMNS($DC38:DJ38)-1)*5 + 1) = INDEX($E$5:$CE$5, 1, (COLUMNS($DC38:DJ38)-1)*5 + 1), INDEX($E$8:$CE$57, MATCH($C38, $C$8:$C$57, 0), (COLUMNS($DC38:DJ38)-1)*5 + 4) = "F"), INDEX($CZ$8:$CZ$23, COLUMNS($DC38:DJ38)), "0"), "")</f>
        <v/>
      </c>
      <c r="DK38" s="395">
        <f t="array" ref="DK38">IFERROR(IF(AND(INDEX($E$8:$CE$57, MATCH($C38, $C$8:$C$57, 0), (COLUMNS($DC38:DK38)-1)*5 + 1) = INDEX($E$5:$CE$5, 1, (COLUMNS($DC38:DK38)-1)*5 + 1), INDEX($E$8:$CE$57, MATCH($C38, $C$8:$C$57, 0), (COLUMNS($DC38:DK38)-1)*5 + 4) = "F"), INDEX($CZ$8:$CZ$23, COLUMNS($DC38:DK38)), "0"), "")</f>
        <v/>
      </c>
      <c r="DL38" s="395">
        <f t="array" ref="DL38">IFERROR(IF(AND(INDEX($E$8:$CE$57, MATCH($C38, $C$8:$C$57, 0), (COLUMNS($DC38:DL38)-1)*5 + 1) = INDEX($E$5:$CE$5, 1, (COLUMNS($DC38:DL38)-1)*5 + 1), INDEX($E$8:$CE$57, MATCH($C38, $C$8:$C$57, 0), (COLUMNS($DC38:DL38)-1)*5 + 4) = "F"), INDEX($CZ$8:$CZ$23, COLUMNS($DC38:DL38)), "0"), "")</f>
        <v/>
      </c>
      <c r="DM38" s="395">
        <f t="array" ref="DM38">IFERROR(IF(AND(INDEX($E$8:$CE$57, MATCH($C38, $C$8:$C$57, 0), (COLUMNS($DC38:DM38)-1)*5 + 1) = INDEX($E$5:$CE$5, 1, (COLUMNS($DC38:DM38)-1)*5 + 1), INDEX($E$8:$CE$57, MATCH($C38, $C$8:$C$57, 0), (COLUMNS($DC38:DM38)-1)*5 + 4) = "F"), INDEX($CZ$8:$CZ$23, COLUMNS($DC38:DM38)), "0"), "")</f>
        <v/>
      </c>
      <c r="DN38" s="395">
        <f t="array" ref="DN38">IFERROR(IF(AND(INDEX($E$8:$CE$57, MATCH($C38, $C$8:$C$57, 0), (COLUMNS($DC38:DN38)-1)*5 + 1) = INDEX($E$5:$CE$5, 1, (COLUMNS($DC38:DN38)-1)*5 + 1), INDEX($E$8:$CE$57, MATCH($C38, $C$8:$C$57, 0), (COLUMNS($DC38:DN38)-1)*5 + 4) = "F"), INDEX($CZ$8:$CZ$23, COLUMNS($DC38:DN38)), "0"), "")</f>
        <v/>
      </c>
      <c r="DO38" s="395">
        <f t="array" ref="DO38">IFERROR(IF(AND(INDEX($E$8:$CE$57, MATCH($C38, $C$8:$C$57, 0), (COLUMNS($DC38:DO38)-1)*5 + 1) = INDEX($E$5:$CE$5, 1, (COLUMNS($DC38:DO38)-1)*5 + 1), INDEX($E$8:$CE$57, MATCH($C38, $C$8:$C$57, 0), (COLUMNS($DC38:DO38)-1)*5 + 4) = "F"), INDEX($CZ$8:$CZ$23, COLUMNS($DC38:DO38)), "0"), "")</f>
        <v/>
      </c>
      <c r="DP38" s="395">
        <f t="array" ref="DP38">IFERROR(IF(AND(INDEX($E$8:$CE$57, MATCH($C38, $C$8:$C$57, 0), (COLUMNS($DC38:DP38)-1)*5 + 1) = INDEX($E$5:$CE$5, 1, (COLUMNS($DC38:DP38)-1)*5 + 1), INDEX($E$8:$CE$57, MATCH($C38, $C$8:$C$57, 0), (COLUMNS($DC38:DP38)-1)*5 + 4) = "F"), INDEX($CZ$8:$CZ$23, COLUMNS($DC38:DP38)), "0"), "")</f>
        <v/>
      </c>
      <c r="DQ38" s="395">
        <f t="array" ref="DQ38">IFERROR(IF(AND(INDEX($E$8:$CE$57, MATCH($C38, $C$8:$C$57, 0), (COLUMNS($DC38:DQ38)-1)*5 + 1) = INDEX($E$5:$CE$5, 1, (COLUMNS($DC38:DQ38)-1)*5 + 1), INDEX($E$8:$CE$57, MATCH($C38, $C$8:$C$57, 0), (COLUMNS($DC38:DQ38)-1)*5 + 4) = "F"), INDEX($CZ$8:$CZ$23, COLUMNS($DC38:DQ38)), "0"), "")</f>
        <v/>
      </c>
      <c r="DR38" s="395">
        <f t="array" ref="DR38">IFERROR(IF(AND(INDEX($E$8:$CE$57, MATCH($C38, $C$8:$C$57, 0), (COLUMNS($DC38:DR38)-1)*5 + 1) = INDEX($E$5:$CE$5, 1, (COLUMNS($DC38:DR38)-1)*5 + 1), INDEX($E$8:$CE$57, MATCH($C38, $C$8:$C$57, 0), (COLUMNS($DC38:DR38)-1)*5 + 4) = "F"), INDEX($CZ$8:$CZ$23, COLUMNS($DC38:DR38)), "0"), "")</f>
        <v/>
      </c>
      <c r="DT38" s="605">
        <f>SEMANA29[[#This Row],[COD]]</f>
        <v/>
      </c>
      <c r="DU38" s="395">
        <f t="array" ref="DU38">IFERROR(IF(AND(INDEX($E$8:$CE$57, MATCH($C38, $C$8:$C$57, 0), (COLUMNS($DU38:DU38)-1)*5 + 1) = INDEX($E$5:$CE$5, 1, (COLUMNS($DU38:DU38)-1)*5 + 1), INDEX($E$8:$CE$57, MATCH($C38, $C$8:$C$57, 0), (COLUMNS($DU38:DU38)-1)*5 + 4) = "SF"), INDEX($CZ$8:$CZ$23, COLUMNS($DU38:DU38)), "0"), "")</f>
        <v/>
      </c>
      <c r="DV38" s="395">
        <f t="array" ref="DV38">IFERROR(IF(AND(INDEX($E$8:$CE$57, MATCH($C38, $C$8:$C$57, 0), (COLUMNS($DU38:DV38)-1)*5 + 1) = INDEX($E$5:$CE$5, 1, (COLUMNS($DU38:DV38)-1)*5 + 1), INDEX($E$8:$CE$57, MATCH($C38, $C$8:$C$57, 0), (COLUMNS($DU38:DV38)-1)*5 + 4) = "SF"), INDEX($CZ$8:$CZ$23, COLUMNS($DU38:DV38)), "0"), "")</f>
        <v/>
      </c>
      <c r="DW38" s="395">
        <f t="array" ref="DW38">IFERROR(IF(AND(INDEX($E$8:$CE$57, MATCH($C38, $C$8:$C$57, 0), (COLUMNS($DU38:DW38)-1)*5 + 1) = INDEX($E$5:$CE$5, 1, (COLUMNS($DU38:DW38)-1)*5 + 1), INDEX($E$8:$CE$57, MATCH($C38, $C$8:$C$57, 0), (COLUMNS($DU38:DW38)-1)*5 + 4) = "SF"), INDEX($CZ$8:$CZ$23, COLUMNS($DU38:DW38)), "0"), "")</f>
        <v/>
      </c>
      <c r="DX38" s="395">
        <f t="array" ref="DX38">IFERROR(IF(AND(INDEX($E$8:$CE$57, MATCH($C38, $C$8:$C$57, 0), (COLUMNS($DU38:DX38)-1)*5 + 1) = INDEX($E$5:$CE$5, 1, (COLUMNS($DU38:DX38)-1)*5 + 1), INDEX($E$8:$CE$57, MATCH($C38, $C$8:$C$57, 0), (COLUMNS($DU38:DX38)-1)*5 + 4) = "SF"), INDEX($CZ$8:$CZ$23, COLUMNS($DU38:DX38)), "0"), "")</f>
        <v/>
      </c>
      <c r="DY38" s="395">
        <f t="array" ref="DY38">IFERROR(IF(AND(INDEX($E$8:$CE$57, MATCH($C38, $C$8:$C$57, 0), (COLUMNS($DU38:DY38)-1)*5 + 1) = INDEX($E$5:$CE$5, 1, (COLUMNS($DU38:DY38)-1)*5 + 1), INDEX($E$8:$CE$57, MATCH($C38, $C$8:$C$57, 0), (COLUMNS($DU38:DY38)-1)*5 + 4) = "SF"), INDEX($CZ$8:$CZ$23, COLUMNS($DU38:DY38)), "0"), "")</f>
        <v/>
      </c>
      <c r="DZ38" s="395">
        <f t="array" ref="DZ38">IFERROR(IF(AND(INDEX($E$8:$CE$57, MATCH($C38, $C$8:$C$57, 0), (COLUMNS($DU38:DZ38)-1)*5 + 1) = INDEX($E$5:$CE$5, 1, (COLUMNS($DU38:DZ38)-1)*5 + 1), INDEX($E$8:$CE$57, MATCH($C38, $C$8:$C$57, 0), (COLUMNS($DU38:DZ38)-1)*5 + 4) = "SF"), INDEX($CZ$8:$CZ$23, COLUMNS($DU38:DZ38)), "0"), "")</f>
        <v/>
      </c>
      <c r="EA38" s="395">
        <f t="array" ref="EA38">IFERROR(IF(AND(INDEX($E$8:$CE$57, MATCH($C38, $C$8:$C$57, 0), (COLUMNS($DU38:EA38)-1)*5 + 1) = INDEX($E$5:$CE$5, 1, (COLUMNS($DU38:EA38)-1)*5 + 1), INDEX($E$8:$CE$57, MATCH($C38, $C$8:$C$57, 0), (COLUMNS($DU38:EA38)-1)*5 + 4) = "SF"), INDEX($CZ$8:$CZ$23, COLUMNS($DU38:EA38)), "0"), "")</f>
        <v/>
      </c>
      <c r="EB38" s="395">
        <f t="array" ref="EB38">IFERROR(IF(AND(INDEX($E$8:$CE$57, MATCH($C38, $C$8:$C$57, 0), (COLUMNS($DU38:EB38)-1)*5 + 1) = INDEX($E$5:$CE$5, 1, (COLUMNS($DU38:EB38)-1)*5 + 1), INDEX($E$8:$CE$57, MATCH($C38, $C$8:$C$57, 0), (COLUMNS($DU38:EB38)-1)*5 + 4) = "SF"), INDEX($CZ$8:$CZ$23, COLUMNS($DU38:EB38)), "0"), "")</f>
        <v/>
      </c>
      <c r="EC38" s="395">
        <f t="array" ref="EC38">IFERROR(IF(AND(INDEX($E$8:$CE$57, MATCH($C38, $C$8:$C$57, 0), (COLUMNS($DU38:EC38)-1)*5 + 1) = INDEX($E$5:$CE$5, 1, (COLUMNS($DU38:EC38)-1)*5 + 1), INDEX($E$8:$CE$57, MATCH($C38, $C$8:$C$57, 0), (COLUMNS($DU38:EC38)-1)*5 + 4) = "SF"), INDEX($CZ$8:$CZ$23, COLUMNS($DU38:EC38)), "0"), "")</f>
        <v/>
      </c>
      <c r="ED38" s="395">
        <f t="array" ref="ED38">IFERROR(IF(AND(INDEX($E$8:$CE$57, MATCH($C38, $C$8:$C$57, 0), (COLUMNS($DU38:ED38)-1)*5 + 1) = INDEX($E$5:$CE$5, 1, (COLUMNS($DU38:ED38)-1)*5 + 1), INDEX($E$8:$CE$57, MATCH($C38, $C$8:$C$57, 0), (COLUMNS($DU38:ED38)-1)*5 + 4) = "SF"), INDEX($CZ$8:$CZ$23, COLUMNS($DU38:ED38)), "0"), "")</f>
        <v/>
      </c>
      <c r="EE38" s="395">
        <f t="array" ref="EE38">IFERROR(IF(AND(INDEX($E$8:$CE$57, MATCH($C38, $C$8:$C$57, 0), (COLUMNS($DU38:EE38)-1)*5 + 1) = INDEX($E$5:$CE$5, 1, (COLUMNS($DU38:EE38)-1)*5 + 1), INDEX($E$8:$CE$57, MATCH($C38, $C$8:$C$57, 0), (COLUMNS($DU38:EE38)-1)*5 + 4) = "SF"), INDEX($CZ$8:$CZ$23, COLUMNS($DU38:EE38)), "0"), "")</f>
        <v/>
      </c>
      <c r="EF38" s="395">
        <f t="array" ref="EF38">IFERROR(IF(AND(INDEX($E$8:$CE$57, MATCH($C38, $C$8:$C$57, 0), (COLUMNS($DU38:EF38)-1)*5 + 1) = INDEX($E$5:$CE$5, 1, (COLUMNS($DU38:EF38)-1)*5 + 1), INDEX($E$8:$CE$57, MATCH($C38, $C$8:$C$57, 0), (COLUMNS($DU38:EF38)-1)*5 + 4) = "SF"), INDEX($CZ$8:$CZ$23, COLUMNS($DU38:EF38)), "0"), "")</f>
        <v/>
      </c>
      <c r="EG38" s="395">
        <f t="array" ref="EG38">IFERROR(IF(AND(INDEX($E$8:$CE$57, MATCH($C38, $C$8:$C$57, 0), (COLUMNS($DU38:EG38)-1)*5 + 1) = INDEX($E$5:$CE$5, 1, (COLUMNS($DU38:EG38)-1)*5 + 1), INDEX($E$8:$CE$57, MATCH($C38, $C$8:$C$57, 0), (COLUMNS($DU38:EG38)-1)*5 + 4) = "SF"), INDEX($CZ$8:$CZ$23, COLUMNS($DU38:EG38)), "0"), "")</f>
        <v/>
      </c>
      <c r="EH38" s="395">
        <f t="array" ref="EH38">IFERROR(IF(AND(INDEX($E$8:$CE$57, MATCH($C38, $C$8:$C$57, 0), (COLUMNS($DU38:EH38)-1)*5 + 1) = INDEX($E$5:$CE$5, 1, (COLUMNS($DU38:EH38)-1)*5 + 1), INDEX($E$8:$CE$57, MATCH($C38, $C$8:$C$57, 0), (COLUMNS($DU38:EH38)-1)*5 + 4) = "SF"), INDEX($CZ$8:$CZ$23, COLUMNS($DU38:EH38)), "0"), "")</f>
        <v/>
      </c>
      <c r="EI38" s="395">
        <f t="array" ref="EI38">IFERROR(IF(AND(INDEX($E$8:$CE$57, MATCH($C38, $C$8:$C$57, 0), (COLUMNS($DU38:EI38)-1)*5 + 1) = INDEX($E$5:$CE$5, 1, (COLUMNS($DU38:EI38)-1)*5 + 1), INDEX($E$8:$CE$57, MATCH($C38, $C$8:$C$57, 0), (COLUMNS($DU38:EI38)-1)*5 + 4) = "SF"), INDEX($CZ$8:$CZ$23, COLUMNS($DU38:EI38)), "0"), "")</f>
        <v/>
      </c>
      <c r="EJ38" s="395">
        <f t="array" ref="EJ38">IFERROR(IF(AND(INDEX($E$8:$CE$57, MATCH($C38, $C$8:$C$57, 0), (COLUMNS($DU38:EJ38)-1)*5 + 1) = INDEX($E$5:$CE$5, 1, (COLUMNS($DU38:EJ38)-1)*5 + 1), INDEX($E$8:$CE$57, MATCH($C38, $C$8:$C$57, 0), (COLUMNS($DU38:EJ38)-1)*5 + 4) = "SF"), INDEX($CZ$8:$CZ$23, COLUMNS($DU38:EJ38)), "0"), "")</f>
        <v/>
      </c>
    </row>
    <row r="39" ht="19.5" customHeight="1" s="568">
      <c r="A39" s="576" t="n"/>
      <c r="B39" s="449">
        <f>IF(SEMANA29[[#This Row],[COD]]&lt;&gt;"",B38+1,"")</f>
        <v/>
      </c>
      <c r="C39" s="622" t="inlineStr">
        <is>
          <t>COD 32</t>
        </is>
      </c>
      <c r="D39" s="415">
        <f t="array" ref="D39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39" s="416" t="n"/>
      <c r="F39" s="418" t="n"/>
      <c r="G39" s="418" t="n"/>
      <c r="H39" s="418" t="n"/>
      <c r="I39" s="602">
        <f>SUM(IF(E39=E$5,4,0),IF(E39&amp;F39=E$5&amp;F$5,1,0),
IF(AND(E39=E$5,F$6&gt;=$D$115),1,0),
IF(AND(F39=E$5,F$6&gt;=$D$115),1,0),
IF(AND(G39=E$5,F$6&gt;=$D$115),1,0),
IF(E39&amp;H39=I$5,1,0),
IF(F39=E$5,2,0),
IF(G39=E$5,1,0),
IF(OR(E39&amp;F39&amp;G39=E$5&amp;F$5&amp;G$5,E39&amp;F39&amp;G39=E$5&amp;G$5&amp;F$5,E39&amp;F39&amp;G39=F$5&amp;E$5&amp;G$5,E39&amp;F39&amp;G39=F$5&amp;G$5&amp;E$5,E39&amp;F39&amp;G39=G$5&amp;E$5&amp;F$5,E39&amp;F39&amp;G39=G$5&amp;F$5&amp;E$5),2,0),IF(AND(E39=E$5,F$6&gt;=$D$129),1,0),IF(AND(F39=E$5,F$6&gt;=$D$129),1,0),IF(AND(G39=E$5,F$6&gt;=$D$129),1,0),IF(E39&amp;H39=H$5,4,0),IF(AND(E39=E$5,F$6&lt;=$D$104),-0.5,0),IF(AND(F39=E$5,F$6&lt;=$D$104),-0.5,0),IF(AND(G39=E$5,F$6&lt;=$D$104),-0.5,0))</f>
        <v/>
      </c>
      <c r="J39" s="416" t="n"/>
      <c r="K39" s="418" t="n"/>
      <c r="L39" s="418" t="n"/>
      <c r="M39" s="418" t="n"/>
      <c r="N39" s="602">
        <f>SUM(IF(J39=J$5,4,0),IF(J39&amp;K39=J$5&amp;K$5,1,0),
IF(AND(J39=J$5,K$6&gt;=$D$115),1,0),
IF(AND(K39=J$5,K$6&gt;=$D$115),1,0),
IF(AND(L39=J$5,K$6&gt;=$D$115),1,0),
IF(J39&amp;M39=N$5,1,0),
IF(K39=J$5,2,0),
IF(L39=J$5,1,0),
IF(OR(J39&amp;K39&amp;L39=J$5&amp;K$5&amp;L$5,J39&amp;K39&amp;L39=J$5&amp;L$5&amp;K$5,J39&amp;K39&amp;L39=K$5&amp;J$5&amp;L$5,J39&amp;K39&amp;L39=K$5&amp;L$5&amp;J$5,J39&amp;K39&amp;L39=L$5&amp;J$5&amp;K$5,J39&amp;K39&amp;L39=L$5&amp;K$5&amp;J$5),2,0),IF(AND(J39=J$5,K$6&gt;=$D$129),1,0),IF(AND(K39=J$5,K$6&gt;=$D$129),1,0),IF(AND(L39=J$5,K$6&gt;=$D$129),1,0),IF(J39&amp;M39=M$5,4,0),IF(AND(J39=J$5,K$6&lt;=$D$104),-0.5,0),IF(AND(K39=J$5,K$6&lt;=$D$104),-0.5,0),IF(AND(L39=J$5,K$6&lt;=$D$104),-0.5,0))</f>
        <v/>
      </c>
      <c r="O39" s="416" t="n"/>
      <c r="P39" s="418" t="n"/>
      <c r="Q39" s="418" t="n"/>
      <c r="R39" s="418" t="n"/>
      <c r="S39" s="602">
        <f>SUM(IF(O39=O$5,4,0),IF(O39&amp;P39=O$5&amp;P$5,1,0),
IF(AND(O39=O$5,P$6&gt;=$D$115),1,0),
IF(AND(P39=O$5,P$6&gt;=$D$115),1,0),
IF(AND(Q39=O$5,P$6&gt;=$D$115),1,0),
IF(O39&amp;R39=S$5,1,0),
IF(P39=O$5,2,0),
IF(Q39=O$5,1,0),
IF(OR(O39&amp;P39&amp;Q39=O$5&amp;P$5&amp;Q$5,O39&amp;P39&amp;Q39=O$5&amp;Q$5&amp;P$5,O39&amp;P39&amp;Q39=P$5&amp;O$5&amp;Q$5,O39&amp;P39&amp;Q39=P$5&amp;Q$5&amp;O$5,O39&amp;P39&amp;Q39=Q$5&amp;O$5&amp;P$5,O39&amp;P39&amp;Q39=Q$5&amp;P$5&amp;O$5),2,0),IF(AND(O39=O$5,P$6&gt;=$D$129),1,0),IF(AND(P39=O$5,P$6&gt;=$D$129),1,0),IF(AND(Q39=O$5,P$6&gt;=$D$129),1,0),IF(O39&amp;R39=R$5,4,0),IF(AND(O39=O$5,P$6&lt;=$D$104),-0.5,0),IF(AND(P39=O$5,P$6&lt;=$D$104),-0.5,0),IF(AND(Q39=O$5,P$6&lt;=$D$104),-0.5,0))</f>
        <v/>
      </c>
      <c r="T39" s="416" t="n"/>
      <c r="U39" s="418" t="n"/>
      <c r="V39" s="418" t="n"/>
      <c r="W39" s="418" t="n"/>
      <c r="X39" s="602">
        <f>SUM(IF(T39=T$5,4,0),IF(T39&amp;U39=T$5&amp;U$5,1,0),
IF(AND(T39=T$5,U$6&gt;=$D$115),1,0),
IF(AND(U39=T$5,U$6&gt;=$D$115),1,0),
IF(AND(V39=T$5,U$6&gt;=$D$115),1,0),
IF(T39&amp;W39=X$5,1,0),
IF(U39=T$5,2,0),
IF(V39=T$5,1,0),
IF(OR(T39&amp;U39&amp;V39=T$5&amp;U$5&amp;V$5,T39&amp;U39&amp;V39=T$5&amp;V$5&amp;U$5,T39&amp;U39&amp;V39=U$5&amp;T$5&amp;V$5,T39&amp;U39&amp;V39=U$5&amp;V$5&amp;T$5,T39&amp;U39&amp;V39=V$5&amp;T$5&amp;U$5,T39&amp;U39&amp;V39=V$5&amp;U$5&amp;T$5),2,0),IF(AND(T39=T$5,U$6&gt;=$D$129),1,0),IF(AND(U39=T$5,U$6&gt;=$D$129),1,0),IF(AND(V39=T$5,U$6&gt;=$D$129),1,0),IF(T39&amp;W39=W$5,4,0),IF(AND(T39=T$5,U$6&lt;=$D$104),-0.5,0),IF(AND(U39=T$5,U$6&lt;=$D$104),-0.5,0),IF(AND(V39=T$5,U$6&lt;=$D$104),-0.5,0))</f>
        <v/>
      </c>
      <c r="Y39" s="416" t="n"/>
      <c r="Z39" s="418" t="n"/>
      <c r="AA39" s="418" t="n"/>
      <c r="AB39" s="418" t="n"/>
      <c r="AC39" s="602">
        <f>SUM(IF(Y39=Y$5,4,0),IF(Y39&amp;Z39=Y$5&amp;Z$5,1,0),
IF(AND(Y39=Y$5,Z$6&gt;=$D$115),1,0),
IF(AND(Z39=Y$5,Z$6&gt;=$D$115),1,0),
IF(AND(AA39=Y$5,Z$6&gt;=$D$115),1,0),
IF(Y39&amp;AB39=AC$5,1,0),
IF(Z39=Y$5,2,0),
IF(AA39=Y$5,1,0),
IF(OR(Y39&amp;Z39&amp;AA39=Y$5&amp;Z$5&amp;AA$5,Y39&amp;Z39&amp;AA39=Y$5&amp;AA$5&amp;Z$5,Y39&amp;Z39&amp;AA39=Z$5&amp;Y$5&amp;AA$5,Y39&amp;Z39&amp;AA39=Z$5&amp;AA$5&amp;Y$5,Y39&amp;Z39&amp;AA39=AA$5&amp;Y$5&amp;Z$5,Y39&amp;Z39&amp;AA39=AA$5&amp;Z$5&amp;Y$5),2,0),IF(AND(Y39=Y$5,Z$6&gt;=$D$129),1,0),IF(AND(Z39=Y$5,Z$6&gt;=$D$129),1,0),IF(AND(AA39=Y$5,Z$6&gt;=$D$129),1,0),IF(Y39&amp;AB39=AB$5,4,0),IF(AND(Y39=Y$5,Z$6&lt;=$D$104),-0.5,0),IF(AND(Z39=Y$5,Z$6&lt;=$D$104),-0.5,0),IF(AND(AA39=Y$5,Z$6&lt;=$D$104),-0.5,0))</f>
        <v/>
      </c>
      <c r="AD39" s="416" t="n"/>
      <c r="AE39" s="418" t="n"/>
      <c r="AF39" s="418" t="n"/>
      <c r="AG39" s="418" t="n"/>
      <c r="AH39" s="602">
        <f>SUM(IF(AD39=AD$5,4,0),IF(AD39&amp;AE39=AD$5&amp;AE$5,1,0),
IF(AND(AD39=AD$5,AE$6&gt;=$D$115),1,0),
IF(AND(AE39=AD$5,AE$6&gt;=$D$115),1,0),
IF(AND(AF39=AD$5,AE$6&gt;=$D$115),1,0),
IF(AD39&amp;AG39=AH$5,1,0),
IF(AE39=AD$5,2,0),
IF(AF39=AD$5,1,0),
IF(OR(AD39&amp;AE39&amp;AF39=AD$5&amp;AE$5&amp;AF$5,AD39&amp;AE39&amp;AF39=AD$5&amp;AF$5&amp;AE$5,AD39&amp;AE39&amp;AF39=AE$5&amp;AD$5&amp;AF$5,AD39&amp;AE39&amp;AF39=AE$5&amp;AF$5&amp;AD$5,AD39&amp;AE39&amp;AF39=AF$5&amp;AD$5&amp;AE$5,AD39&amp;AE39&amp;AF39=AF$5&amp;AE$5&amp;AD$5),2,0),IF(AND(AD39=AD$5,AE$6&gt;=$D$129),1,0),IF(AND(AE39=AD$5,AE$6&gt;=$D$129),1,0),IF(AND(AF39=AD$5,AE$6&gt;=$D$129),1,0),IF(AD39&amp;AG39=AG$5,4,0),IF(AND(AD39=AD$5,AE$6&lt;=$D$104),-0.5,0),IF(AND(AE39=AD$5,AE$6&lt;=$D$104),-0.5,0),IF(AND(AF39=AD$5,AE$6&lt;=$D$104),-0.5,0))</f>
        <v/>
      </c>
      <c r="AI39" s="416" t="n"/>
      <c r="AJ39" s="418" t="n"/>
      <c r="AK39" s="418" t="n"/>
      <c r="AL39" s="418" t="n"/>
      <c r="AM39" s="602">
        <f>SUM(IF(AI39=AI$5,4,0),IF(AI39&amp;AJ39=AI$5&amp;AJ$5,1,0),
IF(AND(AI39=AI$5,AJ$6&gt;=$D$115),1,0),
IF(AND(AJ39=AI$5,AJ$6&gt;=$D$115),1,0),
IF(AND(AK39=AI$5,AJ$6&gt;=$D$115),1,0),
IF(AI39&amp;AL39=AM$5,1,0),
IF(AJ39=AI$5,2,0),
IF(AK39=AI$5,1,0),
IF(OR(AI39&amp;AJ39&amp;AK39=AI$5&amp;AJ$5&amp;AK$5,AI39&amp;AJ39&amp;AK39=AI$5&amp;AK$5&amp;AJ$5,AI39&amp;AJ39&amp;AK39=AJ$5&amp;AI$5&amp;AK$5,AI39&amp;AJ39&amp;AK39=AJ$5&amp;AK$5&amp;AI$5,AI39&amp;AJ39&amp;AK39=AK$5&amp;AI$5&amp;AJ$5,AI39&amp;AJ39&amp;AK39=AK$5&amp;AJ$5&amp;AI$5),2,0),IF(AND(AI39=AI$5,AJ$6&gt;=$D$129),1,0),IF(AND(AJ39=AI$5,AJ$6&gt;=$D$129),1,0),IF(AND(AK39=AI$5,AJ$6&gt;=$D$129),1,0),IF(AI39&amp;AL39=AL$5,4,0),IF(AND(AI39=AI$5,AJ$6&lt;=$D$104),-0.5,0),IF(AND(AJ39=AI$5,AJ$6&lt;=$D$104),-0.5,0),IF(AND(AK39=AI$5,AJ$6&lt;=$D$104),-0.5,0))</f>
        <v/>
      </c>
      <c r="AN39" s="416" t="n"/>
      <c r="AO39" s="418" t="n"/>
      <c r="AP39" s="418" t="n"/>
      <c r="AQ39" s="418" t="n"/>
      <c r="AR39" s="602">
        <f>SUM(IF(AN39=AN$5,4,0),IF(AN39&amp;AO39=AN$5&amp;AO$5,1,0),
IF(AND(AN39=AN$5,AO$6&gt;=$D$115),1,0),
IF(AND(AO39=AN$5,AO$6&gt;=$D$115),1,0),
IF(AND(AP39=AN$5,AO$6&gt;=$D$115),1,0),
IF(AN39&amp;AQ39=AR$5,1,0),
IF(AO39=AN$5,2,0),
IF(AP39=AN$5,1,0),
IF(OR(AN39&amp;AO39&amp;AP39=AN$5&amp;AO$5&amp;AP$5,AN39&amp;AO39&amp;AP39=AN$5&amp;AP$5&amp;AO$5,AN39&amp;AO39&amp;AP39=AO$5&amp;AN$5&amp;AP$5,AN39&amp;AO39&amp;AP39=AO$5&amp;AP$5&amp;AN$5,AN39&amp;AO39&amp;AP39=AP$5&amp;AN$5&amp;AO$5,AN39&amp;AO39&amp;AP39=AP$5&amp;AO$5&amp;AN$5),2,0),IF(AND(AN39=AN$5,AO$6&gt;=$D$129),1,0),IF(AND(AO39=AN$5,AO$6&gt;=$D$129),1,0),IF(AND(AP39=AN$5,AO$6&gt;=$D$129),1,0),IF(AN39&amp;AQ39=AQ$5,4,0),IF(AND(AN39=AN$5,AO$6&lt;=$D$104),-0.5,0),IF(AND(AO39=AN$5,AO$6&lt;=$D$104),-0.5,0),IF(AND(AP39=AN$5,AO$6&lt;=$D$104),-0.5,0))</f>
        <v/>
      </c>
      <c r="AS39" s="416" t="n"/>
      <c r="AT39" s="418" t="n"/>
      <c r="AU39" s="418" t="n"/>
      <c r="AV39" s="418" t="n"/>
      <c r="AW39" s="602">
        <f>SUM(IF(AS39=AS$5,4,0),IF(AS39&amp;AT39=AS$5&amp;AT$5,1,0),
IF(AND(AS39=AS$5,AT$6&gt;=$D$115),1,0),
IF(AND(AT39=AS$5,AT$6&gt;=$D$115),1,0),
IF(AND(AU39=AS$5,AT$6&gt;=$D$115),1,0),
IF(AS39&amp;AV39=AW$5,1,0),
IF(AT39=AS$5,2,0),
IF(AU39=AS$5,1,0),
IF(OR(AS39&amp;AT39&amp;AU39=AS$5&amp;AT$5&amp;AU$5,AS39&amp;AT39&amp;AU39=AS$5&amp;AU$5&amp;AT$5,AS39&amp;AT39&amp;AU39=AT$5&amp;AS$5&amp;AU$5,AS39&amp;AT39&amp;AU39=AT$5&amp;AU$5&amp;AS$5,AS39&amp;AT39&amp;AU39=AU$5&amp;AS$5&amp;AT$5,AS39&amp;AT39&amp;AU39=AU$5&amp;AT$5&amp;AS$5),2,0),IF(AND(AS39=AS$5,AT$6&gt;=$D$129),1,0),IF(AND(AT39=AS$5,AT$6&gt;=$D$129),1,0),IF(AND(AU39=AS$5,AT$6&gt;=$D$129),1,0),IF(AS39&amp;AV39=AV$5,4,0),IF(AND(AS39=AS$5,AT$6&lt;=$D$104),-0.5,0),IF(AND(AT39=AS$5,AT$6&lt;=$D$104),-0.5,0),IF(AND(AU39=AS$5,AT$6&lt;=$D$104),-0.5,0))</f>
        <v/>
      </c>
      <c r="AX39" s="416" t="n"/>
      <c r="AY39" s="418" t="n"/>
      <c r="AZ39" s="418" t="n"/>
      <c r="BA39" s="418" t="n"/>
      <c r="BB39" s="602">
        <f>SUM(IF(AX39=AX$5,4,0),IF(AX39&amp;AY39=AX$5&amp;AY$5,1,0),
IF(AND(AX39=AX$5,AY$6&gt;=$D$115),1,0),
IF(AND(AY39=AX$5,AY$6&gt;=$D$115),1,0),
IF(AND(AZ39=AX$5,AY$6&gt;=$D$115),1,0),
IF(AX39&amp;BA39=BB$5,1,0),
IF(AY39=AX$5,2,0),
IF(AZ39=AX$5,1,0),
IF(OR(AX39&amp;AY39&amp;AZ39=AX$5&amp;AY$5&amp;AZ$5,AX39&amp;AY39&amp;AZ39=AX$5&amp;AZ$5&amp;AY$5,AX39&amp;AY39&amp;AZ39=AY$5&amp;AX$5&amp;AZ$5,AX39&amp;AY39&amp;AZ39=AY$5&amp;AZ$5&amp;AX$5,AX39&amp;AY39&amp;AZ39=AZ$5&amp;AX$5&amp;AY$5,AX39&amp;AY39&amp;AZ39=AZ$5&amp;AY$5&amp;AX$5),2,0),IF(AND(AX39=AX$5,AY$6&gt;=$D$129),1,0),IF(AND(AY39=AX$5,AY$6&gt;=$D$129),1,0),IF(AND(AZ39=AX$5,AY$6&gt;=$D$129),1,0),IF(AX39&amp;BA39=BA$5,4,0),IF(AND(AX39=AX$5,AY$6&lt;=$D$104),-0.5,0),IF(AND(AY39=AX$5,AY$6&lt;=$D$104),-0.5,0),IF(AND(AZ39=AX$5,AY$6&lt;=$D$104),-0.5,0))</f>
        <v/>
      </c>
      <c r="BC39" s="416" t="n"/>
      <c r="BD39" s="418" t="n"/>
      <c r="BE39" s="418" t="n"/>
      <c r="BF39" s="418" t="n"/>
      <c r="BG39" s="602">
        <f>SUM(IF(BC39=BC$5,4,0),IF(BC39&amp;BD39=BC$5&amp;BD$5,1,0),
IF(AND(BC39=BC$5,BD$6&gt;=$D$115),1,0),
IF(AND(BD39=BC$5,BD$6&gt;=$D$115),1,0),
IF(AND(BE39=BC$5,BD$6&gt;=$D$115),1,0),
IF(BC39&amp;BF39=BG$5,1,0),
IF(BD39=BC$5,2,0),
IF(BE39=BC$5,1,0),
IF(OR(BC39&amp;BD39&amp;BE39=BC$5&amp;BD$5&amp;BE$5,BC39&amp;BD39&amp;BE39=BC$5&amp;BE$5&amp;BD$5,BC39&amp;BD39&amp;BE39=BD$5&amp;BC$5&amp;BE$5,BC39&amp;BD39&amp;BE39=BD$5&amp;BE$5&amp;BC$5,BC39&amp;BD39&amp;BE39=BE$5&amp;BC$5&amp;BD$5,BC39&amp;BD39&amp;BE39=BE$5&amp;BD$5&amp;BC$5),2,0),IF(AND(BC39=BC$5,BD$6&gt;=$D$129),1,0),IF(AND(BD39=BC$5,BD$6&gt;=$D$129),1,0),IF(AND(BE39=BC$5,BD$6&gt;=$D$129),1,0),IF(BC39&amp;BF39=BF$5,4,0),IF(AND(BC39=BC$5,BD$6&lt;=$D$104),-0.5,0),IF(AND(BD39=BC$5,BD$6&lt;=$D$104),-0.5,0),IF(AND(BE39=BC$5,BD$6&lt;=$D$104),-0.5,0))</f>
        <v/>
      </c>
      <c r="BH39" s="416" t="n"/>
      <c r="BI39" s="418" t="n"/>
      <c r="BJ39" s="418" t="n"/>
      <c r="BK39" s="418" t="n"/>
      <c r="BL39" s="602">
        <f>SUM(IF(BH39=BH$5,4,0),IF(BH39&amp;BI39=BH$5&amp;BI$5,1,0),
IF(AND(BH39=BH$5,BI$6&gt;=$D$115),1,0),
IF(AND(BI39=BH$5,BI$6&gt;=$D$115),1,0),
IF(AND(BJ39=BH$5,BI$6&gt;=$D$115),1,0),
IF(BH39&amp;BK39=BL$5,1,0),
IF(BI39=BH$5,2,0),
IF(BJ39=BH$5,1,0),
IF(OR(BH39&amp;BI39&amp;BJ39=BH$5&amp;BI$5&amp;BJ$5,BH39&amp;BI39&amp;BJ39=BH$5&amp;BJ$5&amp;BI$5,BH39&amp;BI39&amp;BJ39=BI$5&amp;BH$5&amp;BJ$5,BH39&amp;BI39&amp;BJ39=BI$5&amp;BJ$5&amp;BH$5,BH39&amp;BI39&amp;BJ39=BJ$5&amp;BH$5&amp;BI$5,BH39&amp;BI39&amp;BJ39=BJ$5&amp;BI$5&amp;BH$5),2,0),IF(AND(BH39=BH$5,BI$6&gt;=$D$129),1,0),IF(AND(BI39=BH$5,BI$6&gt;=$D$129),1,0),IF(AND(BJ39=BH$5,BI$6&gt;=$D$129),1,0),IF(BH39&amp;BK39=BK$5,4,0),IF(AND(BH39=BH$5,BI$6&lt;=$D$104),-0.5,0),IF(AND(BI39=BH$5,BI$6&lt;=$D$104),-0.5,0),IF(AND(BJ39=BH$5,BI$6&lt;=$D$104),-0.5,0))</f>
        <v/>
      </c>
      <c r="BM39" s="416" t="n"/>
      <c r="BN39" s="418" t="n"/>
      <c r="BO39" s="418" t="n"/>
      <c r="BP39" s="418" t="n"/>
      <c r="BQ39" s="602">
        <f>SUM(IF(BM39=BM$5,4,0),IF(BM39&amp;BN39=BM$5&amp;BN$5,1,0),
IF(AND(BM39=BM$5,BN$6&gt;=$D$115),1,0),
IF(AND(BN39=BM$5,BN$6&gt;=$D$115),1,0),
IF(AND(BO39=BM$5,BN$6&gt;=$D$115),1,0),
IF(BM39&amp;BP39=BQ$5,1,0),
IF(BN39=BM$5,2,0),
IF(BO39=BM$5,1,0),
IF(OR(BM39&amp;BN39&amp;BO39=BM$5&amp;BN$5&amp;BO$5,BM39&amp;BN39&amp;BO39=BM$5&amp;BO$5&amp;BN$5,BM39&amp;BN39&amp;BO39=BN$5&amp;BM$5&amp;BO$5,BM39&amp;BN39&amp;BO39=BN$5&amp;BO$5&amp;BM$5,BM39&amp;BN39&amp;BO39=BO$5&amp;BM$5&amp;BN$5,BM39&amp;BN39&amp;BO39=BO$5&amp;BN$5&amp;BM$5),2,0),IF(AND(BM39=BM$5,BN$6&gt;=$D$129),1,0),IF(AND(BN39=BM$5,BN$6&gt;=$D$129),1,0),IF(AND(BO39=BM$5,BN$6&gt;=$D$129),1,0),IF(BM39&amp;BP39=BP$5,4,0),IF(AND(BM39=BM$5,BN$6&lt;=$D$104),-0.5,0),IF(AND(BN39=BM$5,BN$6&lt;=$D$104),-0.5,0),IF(AND(BO39=BM$5,BN$6&lt;=$D$104),-0.5,0))</f>
        <v/>
      </c>
      <c r="BR39" s="416" t="n"/>
      <c r="BS39" s="418" t="n"/>
      <c r="BT39" s="418" t="n"/>
      <c r="BU39" s="418" t="n"/>
      <c r="BV39" s="602">
        <f>SUM(IF(BR39=BR$5,4,0),IF(BR39&amp;BS39=BR$5&amp;BS$5,1,0),
IF(AND(BR39=BR$5,BS$6&gt;=$D$115),1,0),
IF(AND(BS39=BR$5,BS$6&gt;=$D$115),1,0),
IF(AND(BT39=BR$5,BS$6&gt;=$D$115),1,0),
IF(BR39&amp;BU39=BV$5,1,0),
IF(BS39=BR$5,2,0),
IF(BT39=BR$5,1,0),
IF(OR(BR39&amp;BS39&amp;BT39=BR$5&amp;BS$5&amp;BT$5,BR39&amp;BS39&amp;BT39=BR$5&amp;BT$5&amp;BS$5,BR39&amp;BS39&amp;BT39=BS$5&amp;BR$5&amp;BT$5,BR39&amp;BS39&amp;BT39=BS$5&amp;BT$5&amp;BR$5,BR39&amp;BS39&amp;BT39=BT$5&amp;BR$5&amp;BS$5,BR39&amp;BS39&amp;BT39=BT$5&amp;BS$5&amp;BR$5),2,0),IF(AND(BR39=BR$5,BS$6&gt;=$D$129),1,0),IF(AND(BS39=BR$5,BS$6&gt;=$D$129),1,0),IF(AND(BT39=BR$5,BS$6&gt;=$D$129),1,0),IF(BR39&amp;BU39=BU$5,4,0),IF(AND(BR39=BR$5,BS$6&lt;=$D$104),-0.5,0),IF(AND(BS39=BR$5,BS$6&lt;=$D$104),-0.5,0),IF(AND(BT39=BR$5,BS$6&lt;=$D$104),-0.5,0))</f>
        <v/>
      </c>
      <c r="BW39" s="416" t="n"/>
      <c r="BX39" s="418" t="n"/>
      <c r="BY39" s="418" t="n"/>
      <c r="BZ39" s="418" t="n"/>
      <c r="CA39" s="602">
        <f>SUM(IF(BW39=BW$5,4,0),IF(BW39&amp;BX39=BW$5&amp;BX$5,1,0),
IF(AND(BW39=BW$5,BX$6&gt;=$D$115),1,0),
IF(AND(BX39=BW$5,BX$6&gt;=$D$115),1,0),
IF(AND(BY39=BW$5,BX$6&gt;=$D$115),1,0),
IF(BW39&amp;BZ39=CA$5,1,0),
IF(BX39=BW$5,2,0),
IF(BY39=BW$5,1,0),
IF(OR(BW39&amp;BX39&amp;BY39=BW$5&amp;BX$5&amp;BY$5,BW39&amp;BX39&amp;BY39=BW$5&amp;BY$5&amp;BX$5,BW39&amp;BX39&amp;BY39=BX$5&amp;BW$5&amp;BY$5,BW39&amp;BX39&amp;BY39=BX$5&amp;BY$5&amp;BW$5,BW39&amp;BX39&amp;BY39=BY$5&amp;BW$5&amp;BX$5,BW39&amp;BX39&amp;BY39=BY$5&amp;BX$5&amp;BW$5),2,0),IF(AND(BW39=BW$5,BX$6&gt;=$D$129),1,0),IF(AND(BX39=BW$5,BX$6&gt;=$D$129),1,0),IF(AND(BY39=BW$5,BX$6&gt;=$D$129),1,0),IF(BW39&amp;BZ39=BZ$5,4,0),IF(AND(BW39=BW$5,BX$6&lt;=$D$104),-0.5,0),IF(AND(BX39=BW$5,BX$6&lt;=$D$104),-0.5,0),IF(AND(BY39=BW$5,BX$6&lt;=$D$104),-0.5,0))</f>
        <v/>
      </c>
      <c r="CB39" s="416" t="n"/>
      <c r="CC39" s="418" t="n"/>
      <c r="CD39" s="418" t="n"/>
      <c r="CE39" s="418" t="n"/>
      <c r="CF39" s="602">
        <f>SUM(IF(CB39=CB$5,4,0),IF(CB39&amp;CC39=CB$5&amp;CC$5,1,0),
IF(AND(CB39=CB$5,CC$6&gt;=$D$115),1,0),
IF(AND(CC39=CB$5,CC$6&gt;=$D$115),1,0),
IF(AND(CD39=CB$5,CC$6&gt;=$D$115),1,0),
IF(CB39&amp;CE39=CF$5,1,0),
IF(CC39=CB$5,2,0),
IF(CD39=CB$5,1,0),
IF(OR(CB39&amp;CC39&amp;CD39=CB$5&amp;CC$5&amp;CD$5,CB39&amp;CC39&amp;CD39=CB$5&amp;CD$5&amp;CC$5,CB39&amp;CC39&amp;CD39=CC$5&amp;CB$5&amp;CD$5,CB39&amp;CC39&amp;CD39=CC$5&amp;CD$5&amp;CB$5,CB39&amp;CC39&amp;CD39=CD$5&amp;CB$5&amp;CC$5,CB39&amp;CC39&amp;CD39=CD$5&amp;CC$5&amp;CB$5),2,0),IF(AND(CB39=CB$5,CC$6&gt;=$D$129),1,0),IF(AND(CC39=CB$5,CC$6&gt;=$D$129),1,0),IF(AND(CD39=CB$5,CC$6&gt;=$D$129),1,0),IF(CB39&amp;CE39=CE$5,4,0),IF(AND(CB39=CB$5,CC$6&lt;=$D$104),-0.5,0),IF(AND(CC39=CB$5,CC$6&lt;=$D$104),-0.5,0),IF(AND(CD39=CB$5,CC$6&lt;=$D$104),-0.5,0))</f>
        <v/>
      </c>
      <c r="CG39" s="164">
        <f>IF(SEMANA29[[#This Row],[1]]="",0,$B$4)</f>
        <v/>
      </c>
      <c r="CH39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39" s="166">
        <f>IF(SEMANA29[[#This Row],[Columna14]]=0,0,(CH39/CG39))</f>
        <v/>
      </c>
      <c r="CJ39" s="165">
        <f>IF(SEMANA29[[#This Row],[1]]="",0,$B$4)</f>
        <v/>
      </c>
      <c r="CK39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39" s="166">
        <f>IF(SEMANA29[[#This Row],[Columna14]]=0,0,(CK39/CJ39))</f>
        <v/>
      </c>
      <c r="CM39" s="164">
        <f>IF(SEMANA29[[#This Row],[1]]="",0,$B$4)</f>
        <v/>
      </c>
      <c r="CN39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39" s="166">
        <f>IF(SEMANA29[[#This Row],[Columna14]]=0,0,(CN39/CM39))</f>
        <v/>
      </c>
      <c r="CP39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39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Row],[Columna25]],$AX$5,BA39,"SF")+COUNTIFS(SEMANA29[[#This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39" s="166">
        <f>IFERROR(IF(SEMANA29[[#This Row],[Columna14]]=0,0,(CQ39/CP39)),0)</f>
        <v/>
      </c>
      <c r="CS39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39" s="95">
        <f>_xlfn.XLOOKUP(SEMANA29[[#This Row],[COD]],SEMANA2[COD],SEMANA2[Columna33])</f>
        <v/>
      </c>
      <c r="CU39" s="604">
        <f>SUM(CS39,CT39)</f>
        <v/>
      </c>
      <c r="CV39" s="450">
        <f>IF(SEMANA29[[#This Row],[TIPO]]="PREMIO",$O$3,"0,00")</f>
        <v/>
      </c>
      <c r="CW39" s="576" t="n"/>
      <c r="CY39" s="392">
        <f>IF(CZ39="","",$CZ$25)</f>
        <v/>
      </c>
      <c r="CZ39" s="392" t="n"/>
      <c r="DA39" s="392">
        <f t="array" ref="DA39">IF(CZ39="", "", IF((INDEX(E$8:CE$57, MATCH(CZ39, C$8:C$57, 0), ($CZ$25-1)*5 + 1) &amp; "") = (INDEX(E$5:CE$5, 1, ($CZ$25-1)*5 + 1) &amp; ""), 1, IF((INDEX(E$8:CE$57, MATCH(CZ39, C$8:C$57, 0), ($CZ$25-1)*5 + 2) &amp; "") = (INDEX(E$5:CE$5, 1, ($CZ$25-1)*5 + 1) &amp; ""), 2, IF((INDEX(E$8:CE$57, MATCH(CZ39, C$8:C$57, 0), ($CZ$25-1)*5 + 3) &amp; "") = (INDEX(E$5:CE$5, 1, ($CZ$25-1)*5 + 1) &amp; ""), 3, ""))))</f>
        <v/>
      </c>
      <c r="DB39" s="605">
        <f>SEMANA29[[#This Row],[COD]]</f>
        <v/>
      </c>
      <c r="DC39" s="395">
        <f t="array" ref="DC39">IFERROR(IF(AND(INDEX($E$8:$CE$57, MATCH($C39, $C$8:$C$57, 0), (COLUMNS($DC39:DC39)-1)*5 + 1) = INDEX($E$5:$CE$5, 1, (COLUMNS($DC39:DC39)-1)*5 + 1), INDEX($E$8:$CE$57, MATCH($C39, $C$8:$C$57, 0), (COLUMNS($DC39:DC39)-1)*5 + 4) = "F"), INDEX($CZ$8:$CZ$23, COLUMNS($DC39:DC39)), "0"), "")</f>
        <v/>
      </c>
      <c r="DD39" s="395">
        <f t="array" ref="DD39">IFERROR(IF(AND(INDEX($E$8:$CE$57, MATCH($C39, $C$8:$C$57, 0), (COLUMNS($DC39:DD39)-1)*5 + 1) = INDEX($E$5:$CE$5, 1, (COLUMNS($DC39:DD39)-1)*5 + 1), INDEX($E$8:$CE$57, MATCH($C39, $C$8:$C$57, 0), (COLUMNS($DC39:DD39)-1)*5 + 4) = "F"), INDEX($CZ$8:$CZ$23, COLUMNS($DC39:DD39)), "0"), "")</f>
        <v/>
      </c>
      <c r="DE39" s="395">
        <f t="array" ref="DE39">IFERROR(IF(AND(INDEX($E$8:$CE$57, MATCH($C39, $C$8:$C$57, 0), (COLUMNS($DC39:DE39)-1)*5 + 1) = INDEX($E$5:$CE$5, 1, (COLUMNS($DC39:DE39)-1)*5 + 1), INDEX($E$8:$CE$57, MATCH($C39, $C$8:$C$57, 0), (COLUMNS($DC39:DE39)-1)*5 + 4) = "F"), INDEX($CZ$8:$CZ$23, COLUMNS($DC39:DE39)), "0"), "")</f>
        <v/>
      </c>
      <c r="DF39" s="395">
        <f t="array" ref="DF39">IFERROR(IF(AND(INDEX($E$8:$CE$57, MATCH($C39, $C$8:$C$57, 0), (COLUMNS($DC39:DF39)-1)*5 + 1) = INDEX($E$5:$CE$5, 1, (COLUMNS($DC39:DF39)-1)*5 + 1), INDEX($E$8:$CE$57, MATCH($C39, $C$8:$C$57, 0), (COLUMNS($DC39:DF39)-1)*5 + 4) = "F"), INDEX($CZ$8:$CZ$23, COLUMNS($DC39:DF39)), "0"), "")</f>
        <v/>
      </c>
      <c r="DG39" s="395">
        <f t="array" ref="DG39">IFERROR(IF(AND(INDEX($E$8:$CE$57, MATCH($C39, $C$8:$C$57, 0), (COLUMNS($DC39:DG39)-1)*5 + 1) = INDEX($E$5:$CE$5, 1, (COLUMNS($DC39:DG39)-1)*5 + 1), INDEX($E$8:$CE$57, MATCH($C39, $C$8:$C$57, 0), (COLUMNS($DC39:DG39)-1)*5 + 4) = "F"), INDEX($CZ$8:$CZ$23, COLUMNS($DC39:DG39)), "0"), "")</f>
        <v/>
      </c>
      <c r="DH39" s="395">
        <f t="array" ref="DH39">IFERROR(IF(AND(INDEX($E$8:$CE$57, MATCH($C39, $C$8:$C$57, 0), (COLUMNS($DC39:DH39)-1)*5 + 1) = INDEX($E$5:$CE$5, 1, (COLUMNS($DC39:DH39)-1)*5 + 1), INDEX($E$8:$CE$57, MATCH($C39, $C$8:$C$57, 0), (COLUMNS($DC39:DH39)-1)*5 + 4) = "F"), INDEX($CZ$8:$CZ$23, COLUMNS($DC39:DH39)), "0"), "")</f>
        <v/>
      </c>
      <c r="DI39" s="395">
        <f t="array" ref="DI39">IFERROR(IF(AND(INDEX($E$8:$CE$57, MATCH($C39, $C$8:$C$57, 0), (COLUMNS($DC39:DI39)-1)*5 + 1) = INDEX($E$5:$CE$5, 1, (COLUMNS($DC39:DI39)-1)*5 + 1), INDEX($E$8:$CE$57, MATCH($C39, $C$8:$C$57, 0), (COLUMNS($DC39:DI39)-1)*5 + 4) = "F"), INDEX($CZ$8:$CZ$23, COLUMNS($DC39:DI39)), "0"), "")</f>
        <v/>
      </c>
      <c r="DJ39" s="395">
        <f t="array" ref="DJ39">IFERROR(IF(AND(INDEX($E$8:$CE$57, MATCH($C39, $C$8:$C$57, 0), (COLUMNS($DC39:DJ39)-1)*5 + 1) = INDEX($E$5:$CE$5, 1, (COLUMNS($DC39:DJ39)-1)*5 + 1), INDEX($E$8:$CE$57, MATCH($C39, $C$8:$C$57, 0), (COLUMNS($DC39:DJ39)-1)*5 + 4) = "F"), INDEX($CZ$8:$CZ$23, COLUMNS($DC39:DJ39)), "0"), "")</f>
        <v/>
      </c>
      <c r="DK39" s="395">
        <f t="array" ref="DK39">IFERROR(IF(AND(INDEX($E$8:$CE$57, MATCH($C39, $C$8:$C$57, 0), (COLUMNS($DC39:DK39)-1)*5 + 1) = INDEX($E$5:$CE$5, 1, (COLUMNS($DC39:DK39)-1)*5 + 1), INDEX($E$8:$CE$57, MATCH($C39, $C$8:$C$57, 0), (COLUMNS($DC39:DK39)-1)*5 + 4) = "F"), INDEX($CZ$8:$CZ$23, COLUMNS($DC39:DK39)), "0"), "")</f>
        <v/>
      </c>
      <c r="DL39" s="395">
        <f t="array" ref="DL39">IFERROR(IF(AND(INDEX($E$8:$CE$57, MATCH($C39, $C$8:$C$57, 0), (COLUMNS($DC39:DL39)-1)*5 + 1) = INDEX($E$5:$CE$5, 1, (COLUMNS($DC39:DL39)-1)*5 + 1), INDEX($E$8:$CE$57, MATCH($C39, $C$8:$C$57, 0), (COLUMNS($DC39:DL39)-1)*5 + 4) = "F"), INDEX($CZ$8:$CZ$23, COLUMNS($DC39:DL39)), "0"), "")</f>
        <v/>
      </c>
      <c r="DM39" s="395">
        <f t="array" ref="DM39">IFERROR(IF(AND(INDEX($E$8:$CE$57, MATCH($C39, $C$8:$C$57, 0), (COLUMNS($DC39:DM39)-1)*5 + 1) = INDEX($E$5:$CE$5, 1, (COLUMNS($DC39:DM39)-1)*5 + 1), INDEX($E$8:$CE$57, MATCH($C39, $C$8:$C$57, 0), (COLUMNS($DC39:DM39)-1)*5 + 4) = "F"), INDEX($CZ$8:$CZ$23, COLUMNS($DC39:DM39)), "0"), "")</f>
        <v/>
      </c>
      <c r="DN39" s="395">
        <f t="array" ref="DN39">IFERROR(IF(AND(INDEX($E$8:$CE$57, MATCH($C39, $C$8:$C$57, 0), (COLUMNS($DC39:DN39)-1)*5 + 1) = INDEX($E$5:$CE$5, 1, (COLUMNS($DC39:DN39)-1)*5 + 1), INDEX($E$8:$CE$57, MATCH($C39, $C$8:$C$57, 0), (COLUMNS($DC39:DN39)-1)*5 + 4) = "F"), INDEX($CZ$8:$CZ$23, COLUMNS($DC39:DN39)), "0"), "")</f>
        <v/>
      </c>
      <c r="DO39" s="395">
        <f t="array" ref="DO39">IFERROR(IF(AND(INDEX($E$8:$CE$57, MATCH($C39, $C$8:$C$57, 0), (COLUMNS($DC39:DO39)-1)*5 + 1) = INDEX($E$5:$CE$5, 1, (COLUMNS($DC39:DO39)-1)*5 + 1), INDEX($E$8:$CE$57, MATCH($C39, $C$8:$C$57, 0), (COLUMNS($DC39:DO39)-1)*5 + 4) = "F"), INDEX($CZ$8:$CZ$23, COLUMNS($DC39:DO39)), "0"), "")</f>
        <v/>
      </c>
      <c r="DP39" s="395">
        <f t="array" ref="DP39">IFERROR(IF(AND(INDEX($E$8:$CE$57, MATCH($C39, $C$8:$C$57, 0), (COLUMNS($DC39:DP39)-1)*5 + 1) = INDEX($E$5:$CE$5, 1, (COLUMNS($DC39:DP39)-1)*5 + 1), INDEX($E$8:$CE$57, MATCH($C39, $C$8:$C$57, 0), (COLUMNS($DC39:DP39)-1)*5 + 4) = "F"), INDEX($CZ$8:$CZ$23, COLUMNS($DC39:DP39)), "0"), "")</f>
        <v/>
      </c>
      <c r="DQ39" s="395">
        <f t="array" ref="DQ39">IFERROR(IF(AND(INDEX($E$8:$CE$57, MATCH($C39, $C$8:$C$57, 0), (COLUMNS($DC39:DQ39)-1)*5 + 1) = INDEX($E$5:$CE$5, 1, (COLUMNS($DC39:DQ39)-1)*5 + 1), INDEX($E$8:$CE$57, MATCH($C39, $C$8:$C$57, 0), (COLUMNS($DC39:DQ39)-1)*5 + 4) = "F"), INDEX($CZ$8:$CZ$23, COLUMNS($DC39:DQ39)), "0"), "")</f>
        <v/>
      </c>
      <c r="DR39" s="395">
        <f t="array" ref="DR39">IFERROR(IF(AND(INDEX($E$8:$CE$57, MATCH($C39, $C$8:$C$57, 0), (COLUMNS($DC39:DR39)-1)*5 + 1) = INDEX($E$5:$CE$5, 1, (COLUMNS($DC39:DR39)-1)*5 + 1), INDEX($E$8:$CE$57, MATCH($C39, $C$8:$C$57, 0), (COLUMNS($DC39:DR39)-1)*5 + 4) = "F"), INDEX($CZ$8:$CZ$23, COLUMNS($DC39:DR39)), "0"), "")</f>
        <v/>
      </c>
      <c r="DT39" s="605">
        <f>SEMANA29[[#This Row],[COD]]</f>
        <v/>
      </c>
      <c r="DU39" s="395">
        <f t="array" ref="DU39">IFERROR(IF(AND(INDEX($E$8:$CE$57, MATCH($C39, $C$8:$C$57, 0), (COLUMNS($DU39:DU39)-1)*5 + 1) = INDEX($E$5:$CE$5, 1, (COLUMNS($DU39:DU39)-1)*5 + 1), INDEX($E$8:$CE$57, MATCH($C39, $C$8:$C$57, 0), (COLUMNS($DU39:DU39)-1)*5 + 4) = "SF"), INDEX($CZ$8:$CZ$23, COLUMNS($DU39:DU39)), "0"), "")</f>
        <v/>
      </c>
      <c r="DV39" s="395">
        <f t="array" ref="DV39">IFERROR(IF(AND(INDEX($E$8:$CE$57, MATCH($C39, $C$8:$C$57, 0), (COLUMNS($DU39:DV39)-1)*5 + 1) = INDEX($E$5:$CE$5, 1, (COLUMNS($DU39:DV39)-1)*5 + 1), INDEX($E$8:$CE$57, MATCH($C39, $C$8:$C$57, 0), (COLUMNS($DU39:DV39)-1)*5 + 4) = "SF"), INDEX($CZ$8:$CZ$23, COLUMNS($DU39:DV39)), "0"), "")</f>
        <v/>
      </c>
      <c r="DW39" s="395">
        <f t="array" ref="DW39">IFERROR(IF(AND(INDEX($E$8:$CE$57, MATCH($C39, $C$8:$C$57, 0), (COLUMNS($DU39:DW39)-1)*5 + 1) = INDEX($E$5:$CE$5, 1, (COLUMNS($DU39:DW39)-1)*5 + 1), INDEX($E$8:$CE$57, MATCH($C39, $C$8:$C$57, 0), (COLUMNS($DU39:DW39)-1)*5 + 4) = "SF"), INDEX($CZ$8:$CZ$23, COLUMNS($DU39:DW39)), "0"), "")</f>
        <v/>
      </c>
      <c r="DX39" s="395">
        <f t="array" ref="DX39">IFERROR(IF(AND(INDEX($E$8:$CE$57, MATCH($C39, $C$8:$C$57, 0), (COLUMNS($DU39:DX39)-1)*5 + 1) = INDEX($E$5:$CE$5, 1, (COLUMNS($DU39:DX39)-1)*5 + 1), INDEX($E$8:$CE$57, MATCH($C39, $C$8:$C$57, 0), (COLUMNS($DU39:DX39)-1)*5 + 4) = "SF"), INDEX($CZ$8:$CZ$23, COLUMNS($DU39:DX39)), "0"), "")</f>
        <v/>
      </c>
      <c r="DY39" s="395">
        <f t="array" ref="DY39">IFERROR(IF(AND(INDEX($E$8:$CE$57, MATCH($C39, $C$8:$C$57, 0), (COLUMNS($DU39:DY39)-1)*5 + 1) = INDEX($E$5:$CE$5, 1, (COLUMNS($DU39:DY39)-1)*5 + 1), INDEX($E$8:$CE$57, MATCH($C39, $C$8:$C$57, 0), (COLUMNS($DU39:DY39)-1)*5 + 4) = "SF"), INDEX($CZ$8:$CZ$23, COLUMNS($DU39:DY39)), "0"), "")</f>
        <v/>
      </c>
      <c r="DZ39" s="395">
        <f t="array" ref="DZ39">IFERROR(IF(AND(INDEX($E$8:$CE$57, MATCH($C39, $C$8:$C$57, 0), (COLUMNS($DU39:DZ39)-1)*5 + 1) = INDEX($E$5:$CE$5, 1, (COLUMNS($DU39:DZ39)-1)*5 + 1), INDEX($E$8:$CE$57, MATCH($C39, $C$8:$C$57, 0), (COLUMNS($DU39:DZ39)-1)*5 + 4) = "SF"), INDEX($CZ$8:$CZ$23, COLUMNS($DU39:DZ39)), "0"), "")</f>
        <v/>
      </c>
      <c r="EA39" s="395">
        <f t="array" ref="EA39">IFERROR(IF(AND(INDEX($E$8:$CE$57, MATCH($C39, $C$8:$C$57, 0), (COLUMNS($DU39:EA39)-1)*5 + 1) = INDEX($E$5:$CE$5, 1, (COLUMNS($DU39:EA39)-1)*5 + 1), INDEX($E$8:$CE$57, MATCH($C39, $C$8:$C$57, 0), (COLUMNS($DU39:EA39)-1)*5 + 4) = "SF"), INDEX($CZ$8:$CZ$23, COLUMNS($DU39:EA39)), "0"), "")</f>
        <v/>
      </c>
      <c r="EB39" s="395">
        <f t="array" ref="EB39">IFERROR(IF(AND(INDEX($E$8:$CE$57, MATCH($C39, $C$8:$C$57, 0), (COLUMNS($DU39:EB39)-1)*5 + 1) = INDEX($E$5:$CE$5, 1, (COLUMNS($DU39:EB39)-1)*5 + 1), INDEX($E$8:$CE$57, MATCH($C39, $C$8:$C$57, 0), (COLUMNS($DU39:EB39)-1)*5 + 4) = "SF"), INDEX($CZ$8:$CZ$23, COLUMNS($DU39:EB39)), "0"), "")</f>
        <v/>
      </c>
      <c r="EC39" s="395">
        <f t="array" ref="EC39">IFERROR(IF(AND(INDEX($E$8:$CE$57, MATCH($C39, $C$8:$C$57, 0), (COLUMNS($DU39:EC39)-1)*5 + 1) = INDEX($E$5:$CE$5, 1, (COLUMNS($DU39:EC39)-1)*5 + 1), INDEX($E$8:$CE$57, MATCH($C39, $C$8:$C$57, 0), (COLUMNS($DU39:EC39)-1)*5 + 4) = "SF"), INDEX($CZ$8:$CZ$23, COLUMNS($DU39:EC39)), "0"), "")</f>
        <v/>
      </c>
      <c r="ED39" s="395">
        <f t="array" ref="ED39">IFERROR(IF(AND(INDEX($E$8:$CE$57, MATCH($C39, $C$8:$C$57, 0), (COLUMNS($DU39:ED39)-1)*5 + 1) = INDEX($E$5:$CE$5, 1, (COLUMNS($DU39:ED39)-1)*5 + 1), INDEX($E$8:$CE$57, MATCH($C39, $C$8:$C$57, 0), (COLUMNS($DU39:ED39)-1)*5 + 4) = "SF"), INDEX($CZ$8:$CZ$23, COLUMNS($DU39:ED39)), "0"), "")</f>
        <v/>
      </c>
      <c r="EE39" s="395">
        <f t="array" ref="EE39">IFERROR(IF(AND(INDEX($E$8:$CE$57, MATCH($C39, $C$8:$C$57, 0), (COLUMNS($DU39:EE39)-1)*5 + 1) = INDEX($E$5:$CE$5, 1, (COLUMNS($DU39:EE39)-1)*5 + 1), INDEX($E$8:$CE$57, MATCH($C39, $C$8:$C$57, 0), (COLUMNS($DU39:EE39)-1)*5 + 4) = "SF"), INDEX($CZ$8:$CZ$23, COLUMNS($DU39:EE39)), "0"), "")</f>
        <v/>
      </c>
      <c r="EF39" s="395">
        <f t="array" ref="EF39">IFERROR(IF(AND(INDEX($E$8:$CE$57, MATCH($C39, $C$8:$C$57, 0), (COLUMNS($DU39:EF39)-1)*5 + 1) = INDEX($E$5:$CE$5, 1, (COLUMNS($DU39:EF39)-1)*5 + 1), INDEX($E$8:$CE$57, MATCH($C39, $C$8:$C$57, 0), (COLUMNS($DU39:EF39)-1)*5 + 4) = "SF"), INDEX($CZ$8:$CZ$23, COLUMNS($DU39:EF39)), "0"), "")</f>
        <v/>
      </c>
      <c r="EG39" s="395">
        <f t="array" ref="EG39">IFERROR(IF(AND(INDEX($E$8:$CE$57, MATCH($C39, $C$8:$C$57, 0), (COLUMNS($DU39:EG39)-1)*5 + 1) = INDEX($E$5:$CE$5, 1, (COLUMNS($DU39:EG39)-1)*5 + 1), INDEX($E$8:$CE$57, MATCH($C39, $C$8:$C$57, 0), (COLUMNS($DU39:EG39)-1)*5 + 4) = "SF"), INDEX($CZ$8:$CZ$23, COLUMNS($DU39:EG39)), "0"), "")</f>
        <v/>
      </c>
      <c r="EH39" s="395">
        <f t="array" ref="EH39">IFERROR(IF(AND(INDEX($E$8:$CE$57, MATCH($C39, $C$8:$C$57, 0), (COLUMNS($DU39:EH39)-1)*5 + 1) = INDEX($E$5:$CE$5, 1, (COLUMNS($DU39:EH39)-1)*5 + 1), INDEX($E$8:$CE$57, MATCH($C39, $C$8:$C$57, 0), (COLUMNS($DU39:EH39)-1)*5 + 4) = "SF"), INDEX($CZ$8:$CZ$23, COLUMNS($DU39:EH39)), "0"), "")</f>
        <v/>
      </c>
      <c r="EI39" s="395">
        <f t="array" ref="EI39">IFERROR(IF(AND(INDEX($E$8:$CE$57, MATCH($C39, $C$8:$C$57, 0), (COLUMNS($DU39:EI39)-1)*5 + 1) = INDEX($E$5:$CE$5, 1, (COLUMNS($DU39:EI39)-1)*5 + 1), INDEX($E$8:$CE$57, MATCH($C39, $C$8:$C$57, 0), (COLUMNS($DU39:EI39)-1)*5 + 4) = "SF"), INDEX($CZ$8:$CZ$23, COLUMNS($DU39:EI39)), "0"), "")</f>
        <v/>
      </c>
      <c r="EJ39" s="395">
        <f t="array" ref="EJ39">IFERROR(IF(AND(INDEX($E$8:$CE$57, MATCH($C39, $C$8:$C$57, 0), (COLUMNS($DU39:EJ39)-1)*5 + 1) = INDEX($E$5:$CE$5, 1, (COLUMNS($DU39:EJ39)-1)*5 + 1), INDEX($E$8:$CE$57, MATCH($C39, $C$8:$C$57, 0), (COLUMNS($DU39:EJ39)-1)*5 + 4) = "SF"), INDEX($CZ$8:$CZ$23, COLUMNS($DU39:EJ39)), "0"), "")</f>
        <v/>
      </c>
    </row>
    <row r="40" ht="20.1" customHeight="1" s="568">
      <c r="A40" s="576" t="n"/>
      <c r="B40" s="449">
        <f>IF(SEMANA29[[#This Row],[COD]]&lt;&gt;"",B39+1,"")</f>
        <v/>
      </c>
      <c r="C40" s="622" t="inlineStr">
        <is>
          <t>COD 33</t>
        </is>
      </c>
      <c r="D40" s="415">
        <f t="array" ref="D40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0" s="416" t="n"/>
      <c r="F40" s="418" t="n"/>
      <c r="G40" s="418" t="n"/>
      <c r="H40" s="418" t="n"/>
      <c r="I40" s="602">
        <f>SUM(IF(E40=E$5,4,0),IF(E40&amp;F40=E$5&amp;F$5,1,0),
IF(AND(E40=E$5,F$6&gt;=$D$115),1,0),
IF(AND(F40=E$5,F$6&gt;=$D$115),1,0),
IF(AND(G40=E$5,F$6&gt;=$D$115),1,0),
IF(E40&amp;H40=I$5,1,0),
IF(F40=E$5,2,0),
IF(G40=E$5,1,0),
IF(OR(E40&amp;F40&amp;G40=E$5&amp;F$5&amp;G$5,E40&amp;F40&amp;G40=E$5&amp;G$5&amp;F$5,E40&amp;F40&amp;G40=F$5&amp;E$5&amp;G$5,E40&amp;F40&amp;G40=F$5&amp;G$5&amp;E$5,E40&amp;F40&amp;G40=G$5&amp;E$5&amp;F$5,E40&amp;F40&amp;G40=G$5&amp;F$5&amp;E$5),2,0),IF(AND(E40=E$5,F$6&gt;=$D$129),1,0),IF(AND(F40=E$5,F$6&gt;=$D$129),1,0),IF(AND(G40=E$5,F$6&gt;=$D$129),1,0),IF(E40&amp;H40=H$5,4,0),IF(AND(E40=E$5,F$6&lt;=$D$104),-0.5,0),IF(AND(F40=E$5,F$6&lt;=$D$104),-0.5,0),IF(AND(G40=E$5,F$6&lt;=$D$104),-0.5,0))</f>
        <v/>
      </c>
      <c r="J40" s="416" t="n"/>
      <c r="K40" s="418" t="n"/>
      <c r="L40" s="418" t="n"/>
      <c r="M40" s="418" t="n"/>
      <c r="N40" s="602">
        <f>SUM(IF(J40=J$5,4,0),IF(J40&amp;K40=J$5&amp;K$5,1,0),
IF(AND(J40=J$5,K$6&gt;=$D$115),1,0),
IF(AND(K40=J$5,K$6&gt;=$D$115),1,0),
IF(AND(L40=J$5,K$6&gt;=$D$115),1,0),
IF(J40&amp;M40=N$5,1,0),
IF(K40=J$5,2,0),
IF(L40=J$5,1,0),
IF(OR(J40&amp;K40&amp;L40=J$5&amp;K$5&amp;L$5,J40&amp;K40&amp;L40=J$5&amp;L$5&amp;K$5,J40&amp;K40&amp;L40=K$5&amp;J$5&amp;L$5,J40&amp;K40&amp;L40=K$5&amp;L$5&amp;J$5,J40&amp;K40&amp;L40=L$5&amp;J$5&amp;K$5,J40&amp;K40&amp;L40=L$5&amp;K$5&amp;J$5),2,0),IF(AND(J40=J$5,K$6&gt;=$D$129),1,0),IF(AND(K40=J$5,K$6&gt;=$D$129),1,0),IF(AND(L40=J$5,K$6&gt;=$D$129),1,0),IF(J40&amp;M40=M$5,4,0),IF(AND(J40=J$5,K$6&lt;=$D$104),-0.5,0),IF(AND(K40=J$5,K$6&lt;=$D$104),-0.5,0),IF(AND(L40=J$5,K$6&lt;=$D$104),-0.5,0))</f>
        <v/>
      </c>
      <c r="O40" s="416" t="n"/>
      <c r="P40" s="418" t="n"/>
      <c r="Q40" s="418" t="n"/>
      <c r="R40" s="418" t="n"/>
      <c r="S40" s="602">
        <f>SUM(IF(O40=O$5,4,0),IF(O40&amp;P40=O$5&amp;P$5,1,0),
IF(AND(O40=O$5,P$6&gt;=$D$115),1,0),
IF(AND(P40=O$5,P$6&gt;=$D$115),1,0),
IF(AND(Q40=O$5,P$6&gt;=$D$115),1,0),
IF(O40&amp;R40=S$5,1,0),
IF(P40=O$5,2,0),
IF(Q40=O$5,1,0),
IF(OR(O40&amp;P40&amp;Q40=O$5&amp;P$5&amp;Q$5,O40&amp;P40&amp;Q40=O$5&amp;Q$5&amp;P$5,O40&amp;P40&amp;Q40=P$5&amp;O$5&amp;Q$5,O40&amp;P40&amp;Q40=P$5&amp;Q$5&amp;O$5,O40&amp;P40&amp;Q40=Q$5&amp;O$5&amp;P$5,O40&amp;P40&amp;Q40=Q$5&amp;P$5&amp;O$5),2,0),IF(AND(O40=O$5,P$6&gt;=$D$129),1,0),IF(AND(P40=O$5,P$6&gt;=$D$129),1,0),IF(AND(Q40=O$5,P$6&gt;=$D$129),1,0),IF(O40&amp;R40=R$5,4,0),IF(AND(O40=O$5,P$6&lt;=$D$104),-0.5,0),IF(AND(P40=O$5,P$6&lt;=$D$104),-0.5,0),IF(AND(Q40=O$5,P$6&lt;=$D$104),-0.5,0))</f>
        <v/>
      </c>
      <c r="T40" s="416" t="n"/>
      <c r="U40" s="418" t="n"/>
      <c r="V40" s="418" t="n"/>
      <c r="W40" s="418" t="n"/>
      <c r="X40" s="602">
        <f>SUM(IF(T40=T$5,4,0),IF(T40&amp;U40=T$5&amp;U$5,1,0),
IF(AND(T40=T$5,U$6&gt;=$D$115),1,0),
IF(AND(U40=T$5,U$6&gt;=$D$115),1,0),
IF(AND(V40=T$5,U$6&gt;=$D$115),1,0),
IF(T40&amp;W40=X$5,1,0),
IF(U40=T$5,2,0),
IF(V40=T$5,1,0),
IF(OR(T40&amp;U40&amp;V40=T$5&amp;U$5&amp;V$5,T40&amp;U40&amp;V40=T$5&amp;V$5&amp;U$5,T40&amp;U40&amp;V40=U$5&amp;T$5&amp;V$5,T40&amp;U40&amp;V40=U$5&amp;V$5&amp;T$5,T40&amp;U40&amp;V40=V$5&amp;T$5&amp;U$5,T40&amp;U40&amp;V40=V$5&amp;U$5&amp;T$5),2,0),IF(AND(T40=T$5,U$6&gt;=$D$129),1,0),IF(AND(U40=T$5,U$6&gt;=$D$129),1,0),IF(AND(V40=T$5,U$6&gt;=$D$129),1,0),IF(T40&amp;W40=W$5,4,0),IF(AND(T40=T$5,U$6&lt;=$D$104),-0.5,0),IF(AND(U40=T$5,U$6&lt;=$D$104),-0.5,0),IF(AND(V40=T$5,U$6&lt;=$D$104),-0.5,0))</f>
        <v/>
      </c>
      <c r="Y40" s="416" t="n"/>
      <c r="Z40" s="418" t="n"/>
      <c r="AA40" s="418" t="n"/>
      <c r="AB40" s="418" t="n"/>
      <c r="AC40" s="602">
        <f>SUM(IF(Y40=Y$5,4,0),IF(Y40&amp;Z40=Y$5&amp;Z$5,1,0),
IF(AND(Y40=Y$5,Z$6&gt;=$D$115),1,0),
IF(AND(Z40=Y$5,Z$6&gt;=$D$115),1,0),
IF(AND(AA40=Y$5,Z$6&gt;=$D$115),1,0),
IF(Y40&amp;AB40=AC$5,1,0),
IF(Z40=Y$5,2,0),
IF(AA40=Y$5,1,0),
IF(OR(Y40&amp;Z40&amp;AA40=Y$5&amp;Z$5&amp;AA$5,Y40&amp;Z40&amp;AA40=Y$5&amp;AA$5&amp;Z$5,Y40&amp;Z40&amp;AA40=Z$5&amp;Y$5&amp;AA$5,Y40&amp;Z40&amp;AA40=Z$5&amp;AA$5&amp;Y$5,Y40&amp;Z40&amp;AA40=AA$5&amp;Y$5&amp;Z$5,Y40&amp;Z40&amp;AA40=AA$5&amp;Z$5&amp;Y$5),2,0),IF(AND(Y40=Y$5,Z$6&gt;=$D$129),1,0),IF(AND(Z40=Y$5,Z$6&gt;=$D$129),1,0),IF(AND(AA40=Y$5,Z$6&gt;=$D$129),1,0),IF(Y40&amp;AB40=AB$5,4,0),IF(AND(Y40=Y$5,Z$6&lt;=$D$104),-0.5,0),IF(AND(Z40=Y$5,Z$6&lt;=$D$104),-0.5,0),IF(AND(AA40=Y$5,Z$6&lt;=$D$104),-0.5,0))</f>
        <v/>
      </c>
      <c r="AD40" s="416" t="n"/>
      <c r="AE40" s="418" t="n"/>
      <c r="AF40" s="418" t="n"/>
      <c r="AG40" s="418" t="n"/>
      <c r="AH40" s="602">
        <f>SUM(IF(AD40=AD$5,4,0),IF(AD40&amp;AE40=AD$5&amp;AE$5,1,0),
IF(AND(AD40=AD$5,AE$6&gt;=$D$115),1,0),
IF(AND(AE40=AD$5,AE$6&gt;=$D$115),1,0),
IF(AND(AF40=AD$5,AE$6&gt;=$D$115),1,0),
IF(AD40&amp;AG40=AH$5,1,0),
IF(AE40=AD$5,2,0),
IF(AF40=AD$5,1,0),
IF(OR(AD40&amp;AE40&amp;AF40=AD$5&amp;AE$5&amp;AF$5,AD40&amp;AE40&amp;AF40=AD$5&amp;AF$5&amp;AE$5,AD40&amp;AE40&amp;AF40=AE$5&amp;AD$5&amp;AF$5,AD40&amp;AE40&amp;AF40=AE$5&amp;AF$5&amp;AD$5,AD40&amp;AE40&amp;AF40=AF$5&amp;AD$5&amp;AE$5,AD40&amp;AE40&amp;AF40=AF$5&amp;AE$5&amp;AD$5),2,0),IF(AND(AD40=AD$5,AE$6&gt;=$D$129),1,0),IF(AND(AE40=AD$5,AE$6&gt;=$D$129),1,0),IF(AND(AF40=AD$5,AE$6&gt;=$D$129),1,0),IF(AD40&amp;AG40=AG$5,4,0),IF(AND(AD40=AD$5,AE$6&lt;=$D$104),-0.5,0),IF(AND(AE40=AD$5,AE$6&lt;=$D$104),-0.5,0),IF(AND(AF40=AD$5,AE$6&lt;=$D$104),-0.5,0))</f>
        <v/>
      </c>
      <c r="AI40" s="416" t="n"/>
      <c r="AJ40" s="418" t="n"/>
      <c r="AK40" s="418" t="n"/>
      <c r="AL40" s="418" t="n"/>
      <c r="AM40" s="602">
        <f>SUM(IF(AI40=AI$5,4,0),IF(AI40&amp;AJ40=AI$5&amp;AJ$5,1,0),
IF(AND(AI40=AI$5,AJ$6&gt;=$D$115),1,0),
IF(AND(AJ40=AI$5,AJ$6&gt;=$D$115),1,0),
IF(AND(AK40=AI$5,AJ$6&gt;=$D$115),1,0),
IF(AI40&amp;AL40=AM$5,1,0),
IF(AJ40=AI$5,2,0),
IF(AK40=AI$5,1,0),
IF(OR(AI40&amp;AJ40&amp;AK40=AI$5&amp;AJ$5&amp;AK$5,AI40&amp;AJ40&amp;AK40=AI$5&amp;AK$5&amp;AJ$5,AI40&amp;AJ40&amp;AK40=AJ$5&amp;AI$5&amp;AK$5,AI40&amp;AJ40&amp;AK40=AJ$5&amp;AK$5&amp;AI$5,AI40&amp;AJ40&amp;AK40=AK$5&amp;AI$5&amp;AJ$5,AI40&amp;AJ40&amp;AK40=AK$5&amp;AJ$5&amp;AI$5),2,0),IF(AND(AI40=AI$5,AJ$6&gt;=$D$129),1,0),IF(AND(AJ40=AI$5,AJ$6&gt;=$D$129),1,0),IF(AND(AK40=AI$5,AJ$6&gt;=$D$129),1,0),IF(AI40&amp;AL40=AL$5,4,0),IF(AND(AI40=AI$5,AJ$6&lt;=$D$104),-0.5,0),IF(AND(AJ40=AI$5,AJ$6&lt;=$D$104),-0.5,0),IF(AND(AK40=AI$5,AJ$6&lt;=$D$104),-0.5,0))</f>
        <v/>
      </c>
      <c r="AN40" s="416" t="n"/>
      <c r="AO40" s="418" t="n"/>
      <c r="AP40" s="418" t="n"/>
      <c r="AQ40" s="418" t="n"/>
      <c r="AR40" s="602">
        <f>SUM(IF(AN40=AN$5,4,0),IF(AN40&amp;AO40=AN$5&amp;AO$5,1,0),
IF(AND(AN40=AN$5,AO$6&gt;=$D$115),1,0),
IF(AND(AO40=AN$5,AO$6&gt;=$D$115),1,0),
IF(AND(AP40=AN$5,AO$6&gt;=$D$115),1,0),
IF(AN40&amp;AQ40=AR$5,1,0),
IF(AO40=AN$5,2,0),
IF(AP40=AN$5,1,0),
IF(OR(AN40&amp;AO40&amp;AP40=AN$5&amp;AO$5&amp;AP$5,AN40&amp;AO40&amp;AP40=AN$5&amp;AP$5&amp;AO$5,AN40&amp;AO40&amp;AP40=AO$5&amp;AN$5&amp;AP$5,AN40&amp;AO40&amp;AP40=AO$5&amp;AP$5&amp;AN$5,AN40&amp;AO40&amp;AP40=AP$5&amp;AN$5&amp;AO$5,AN40&amp;AO40&amp;AP40=AP$5&amp;AO$5&amp;AN$5),2,0),IF(AND(AN40=AN$5,AO$6&gt;=$D$129),1,0),IF(AND(AO40=AN$5,AO$6&gt;=$D$129),1,0),IF(AND(AP40=AN$5,AO$6&gt;=$D$129),1,0),IF(AN40&amp;AQ40=AQ$5,4,0),IF(AND(AN40=AN$5,AO$6&lt;=$D$104),-0.5,0),IF(AND(AO40=AN$5,AO$6&lt;=$D$104),-0.5,0),IF(AND(AP40=AN$5,AO$6&lt;=$D$104),-0.5,0))</f>
        <v/>
      </c>
      <c r="AS40" s="416" t="n"/>
      <c r="AT40" s="418" t="n"/>
      <c r="AU40" s="418" t="n"/>
      <c r="AV40" s="418" t="n"/>
      <c r="AW40" s="602">
        <f>SUM(IF(AS40=AS$5,4,0),IF(AS40&amp;AT40=AS$5&amp;AT$5,1,0),
IF(AND(AS40=AS$5,AT$6&gt;=$D$115),1,0),
IF(AND(AT40=AS$5,AT$6&gt;=$D$115),1,0),
IF(AND(AU40=AS$5,AT$6&gt;=$D$115),1,0),
IF(AS40&amp;AV40=AW$5,1,0),
IF(AT40=AS$5,2,0),
IF(AU40=AS$5,1,0),
IF(OR(AS40&amp;AT40&amp;AU40=AS$5&amp;AT$5&amp;AU$5,AS40&amp;AT40&amp;AU40=AS$5&amp;AU$5&amp;AT$5,AS40&amp;AT40&amp;AU40=AT$5&amp;AS$5&amp;AU$5,AS40&amp;AT40&amp;AU40=AT$5&amp;AU$5&amp;AS$5,AS40&amp;AT40&amp;AU40=AU$5&amp;AS$5&amp;AT$5,AS40&amp;AT40&amp;AU40=AU$5&amp;AT$5&amp;AS$5),2,0),IF(AND(AS40=AS$5,AT$6&gt;=$D$129),1,0),IF(AND(AT40=AS$5,AT$6&gt;=$D$129),1,0),IF(AND(AU40=AS$5,AT$6&gt;=$D$129),1,0),IF(AS40&amp;AV40=AV$5,4,0),IF(AND(AS40=AS$5,AT$6&lt;=$D$104),-0.5,0),IF(AND(AT40=AS$5,AT$6&lt;=$D$104),-0.5,0),IF(AND(AU40=AS$5,AT$6&lt;=$D$104),-0.5,0))</f>
        <v/>
      </c>
      <c r="AX40" s="416" t="n"/>
      <c r="AY40" s="418" t="n"/>
      <c r="AZ40" s="418" t="n"/>
      <c r="BA40" s="418" t="n"/>
      <c r="BB40" s="602">
        <f>SUM(IF(AX40=AX$5,4,0),IF(AX40&amp;AY40=AX$5&amp;AY$5,1,0),
IF(AND(AX40=AX$5,AY$6&gt;=$D$115),1,0),
IF(AND(AY40=AX$5,AY$6&gt;=$D$115),1,0),
IF(AND(AZ40=AX$5,AY$6&gt;=$D$115),1,0),
IF(AX40&amp;BA40=BB$5,1,0),
IF(AY40=AX$5,2,0),
IF(AZ40=AX$5,1,0),
IF(OR(AX40&amp;AY40&amp;AZ40=AX$5&amp;AY$5&amp;AZ$5,AX40&amp;AY40&amp;AZ40=AX$5&amp;AZ$5&amp;AY$5,AX40&amp;AY40&amp;AZ40=AY$5&amp;AX$5&amp;AZ$5,AX40&amp;AY40&amp;AZ40=AY$5&amp;AZ$5&amp;AX$5,AX40&amp;AY40&amp;AZ40=AZ$5&amp;AX$5&amp;AY$5,AX40&amp;AY40&amp;AZ40=AZ$5&amp;AY$5&amp;AX$5),2,0),IF(AND(AX40=AX$5,AY$6&gt;=$D$129),1,0),IF(AND(AY40=AX$5,AY$6&gt;=$D$129),1,0),IF(AND(AZ40=AX$5,AY$6&gt;=$D$129),1,0),IF(AX40&amp;BA40=BA$5,4,0),IF(AND(AX40=AX$5,AY$6&lt;=$D$104),-0.5,0),IF(AND(AY40=AX$5,AY$6&lt;=$D$104),-0.5,0),IF(AND(AZ40=AX$5,AY$6&lt;=$D$104),-0.5,0))</f>
        <v/>
      </c>
      <c r="BC40" s="416" t="n"/>
      <c r="BD40" s="418" t="n"/>
      <c r="BE40" s="418" t="n"/>
      <c r="BF40" s="418" t="n"/>
      <c r="BG40" s="602">
        <f>SUM(IF(BC40=BC$5,4,0),IF(BC40&amp;BD40=BC$5&amp;BD$5,1,0),
IF(AND(BC40=BC$5,BD$6&gt;=$D$115),1,0),
IF(AND(BD40=BC$5,BD$6&gt;=$D$115),1,0),
IF(AND(BE40=BC$5,BD$6&gt;=$D$115),1,0),
IF(BC40&amp;BF40=BG$5,1,0),
IF(BD40=BC$5,2,0),
IF(BE40=BC$5,1,0),
IF(OR(BC40&amp;BD40&amp;BE40=BC$5&amp;BD$5&amp;BE$5,BC40&amp;BD40&amp;BE40=BC$5&amp;BE$5&amp;BD$5,BC40&amp;BD40&amp;BE40=BD$5&amp;BC$5&amp;BE$5,BC40&amp;BD40&amp;BE40=BD$5&amp;BE$5&amp;BC$5,BC40&amp;BD40&amp;BE40=BE$5&amp;BC$5&amp;BD$5,BC40&amp;BD40&amp;BE40=BE$5&amp;BD$5&amp;BC$5),2,0),IF(AND(BC40=BC$5,BD$6&gt;=$D$129),1,0),IF(AND(BD40=BC$5,BD$6&gt;=$D$129),1,0),IF(AND(BE40=BC$5,BD$6&gt;=$D$129),1,0),IF(BC40&amp;BF40=BF$5,4,0),IF(AND(BC40=BC$5,BD$6&lt;=$D$104),-0.5,0),IF(AND(BD40=BC$5,BD$6&lt;=$D$104),-0.5,0),IF(AND(BE40=BC$5,BD$6&lt;=$D$104),-0.5,0))</f>
        <v/>
      </c>
      <c r="BH40" s="416" t="n"/>
      <c r="BI40" s="418" t="n"/>
      <c r="BJ40" s="418" t="n"/>
      <c r="BK40" s="418" t="n"/>
      <c r="BL40" s="602">
        <f>SUM(IF(BH40=BH$5,4,0),IF(BH40&amp;BI40=BH$5&amp;BI$5,1,0),
IF(AND(BH40=BH$5,BI$6&gt;=$D$115),1,0),
IF(AND(BI40=BH$5,BI$6&gt;=$D$115),1,0),
IF(AND(BJ40=BH$5,BI$6&gt;=$D$115),1,0),
IF(BH40&amp;BK40=BL$5,1,0),
IF(BI40=BH$5,2,0),
IF(BJ40=BH$5,1,0),
IF(OR(BH40&amp;BI40&amp;BJ40=BH$5&amp;BI$5&amp;BJ$5,BH40&amp;BI40&amp;BJ40=BH$5&amp;BJ$5&amp;BI$5,BH40&amp;BI40&amp;BJ40=BI$5&amp;BH$5&amp;BJ$5,BH40&amp;BI40&amp;BJ40=BI$5&amp;BJ$5&amp;BH$5,BH40&amp;BI40&amp;BJ40=BJ$5&amp;BH$5&amp;BI$5,BH40&amp;BI40&amp;BJ40=BJ$5&amp;BI$5&amp;BH$5),2,0),IF(AND(BH40=BH$5,BI$6&gt;=$D$129),1,0),IF(AND(BI40=BH$5,BI$6&gt;=$D$129),1,0),IF(AND(BJ40=BH$5,BI$6&gt;=$D$129),1,0),IF(BH40&amp;BK40=BK$5,4,0),IF(AND(BH40=BH$5,BI$6&lt;=$D$104),-0.5,0),IF(AND(BI40=BH$5,BI$6&lt;=$D$104),-0.5,0),IF(AND(BJ40=BH$5,BI$6&lt;=$D$104),-0.5,0))</f>
        <v/>
      </c>
      <c r="BM40" s="416" t="n"/>
      <c r="BN40" s="418" t="n"/>
      <c r="BO40" s="418" t="n"/>
      <c r="BP40" s="418" t="n"/>
      <c r="BQ40" s="602">
        <f>SUM(IF(BM40=BM$5,4,0),IF(BM40&amp;BN40=BM$5&amp;BN$5,1,0),
IF(AND(BM40=BM$5,BN$6&gt;=$D$115),1,0),
IF(AND(BN40=BM$5,BN$6&gt;=$D$115),1,0),
IF(AND(BO40=BM$5,BN$6&gt;=$D$115),1,0),
IF(BM40&amp;BP40=BQ$5,1,0),
IF(BN40=BM$5,2,0),
IF(BO40=BM$5,1,0),
IF(OR(BM40&amp;BN40&amp;BO40=BM$5&amp;BN$5&amp;BO$5,BM40&amp;BN40&amp;BO40=BM$5&amp;BO$5&amp;BN$5,BM40&amp;BN40&amp;BO40=BN$5&amp;BM$5&amp;BO$5,BM40&amp;BN40&amp;BO40=BN$5&amp;BO$5&amp;BM$5,BM40&amp;BN40&amp;BO40=BO$5&amp;BM$5&amp;BN$5,BM40&amp;BN40&amp;BO40=BO$5&amp;BN$5&amp;BM$5),2,0),IF(AND(BM40=BM$5,BN$6&gt;=$D$129),1,0),IF(AND(BN40=BM$5,BN$6&gt;=$D$129),1,0),IF(AND(BO40=BM$5,BN$6&gt;=$D$129),1,0),IF(BM40&amp;BP40=BP$5,4,0),IF(AND(BM40=BM$5,BN$6&lt;=$D$104),-0.5,0),IF(AND(BN40=BM$5,BN$6&lt;=$D$104),-0.5,0),IF(AND(BO40=BM$5,BN$6&lt;=$D$104),-0.5,0))</f>
        <v/>
      </c>
      <c r="BR40" s="416" t="n"/>
      <c r="BS40" s="418" t="n"/>
      <c r="BT40" s="418" t="n"/>
      <c r="BU40" s="418" t="n"/>
      <c r="BV40" s="602">
        <f>SUM(IF(BR40=BR$5,4,0),IF(BR40&amp;BS40=BR$5&amp;BS$5,1,0),
IF(AND(BR40=BR$5,BS$6&gt;=$D$115),1,0),
IF(AND(BS40=BR$5,BS$6&gt;=$D$115),1,0),
IF(AND(BT40=BR$5,BS$6&gt;=$D$115),1,0),
IF(BR40&amp;BU40=BV$5,1,0),
IF(BS40=BR$5,2,0),
IF(BT40=BR$5,1,0),
IF(OR(BR40&amp;BS40&amp;BT40=BR$5&amp;BS$5&amp;BT$5,BR40&amp;BS40&amp;BT40=BR$5&amp;BT$5&amp;BS$5,BR40&amp;BS40&amp;BT40=BS$5&amp;BR$5&amp;BT$5,BR40&amp;BS40&amp;BT40=BS$5&amp;BT$5&amp;BR$5,BR40&amp;BS40&amp;BT40=BT$5&amp;BR$5&amp;BS$5,BR40&amp;BS40&amp;BT40=BT$5&amp;BS$5&amp;BR$5),2,0),IF(AND(BR40=BR$5,BS$6&gt;=$D$129),1,0),IF(AND(BS40=BR$5,BS$6&gt;=$D$129),1,0),IF(AND(BT40=BR$5,BS$6&gt;=$D$129),1,0),IF(BR40&amp;BU40=BU$5,4,0),IF(AND(BR40=BR$5,BS$6&lt;=$D$104),-0.5,0),IF(AND(BS40=BR$5,BS$6&lt;=$D$104),-0.5,0),IF(AND(BT40=BR$5,BS$6&lt;=$D$104),-0.5,0))</f>
        <v/>
      </c>
      <c r="BW40" s="416" t="n"/>
      <c r="BX40" s="418" t="n"/>
      <c r="BY40" s="418" t="n"/>
      <c r="BZ40" s="418" t="n"/>
      <c r="CA40" s="602">
        <f>SUM(IF(BW40=BW$5,4,0),IF(BW40&amp;BX40=BW$5&amp;BX$5,1,0),
IF(AND(BW40=BW$5,BX$6&gt;=$D$115),1,0),
IF(AND(BX40=BW$5,BX$6&gt;=$D$115),1,0),
IF(AND(BY40=BW$5,BX$6&gt;=$D$115),1,0),
IF(BW40&amp;BZ40=CA$5,1,0),
IF(BX40=BW$5,2,0),
IF(BY40=BW$5,1,0),
IF(OR(BW40&amp;BX40&amp;BY40=BW$5&amp;BX$5&amp;BY$5,BW40&amp;BX40&amp;BY40=BW$5&amp;BY$5&amp;BX$5,BW40&amp;BX40&amp;BY40=BX$5&amp;BW$5&amp;BY$5,BW40&amp;BX40&amp;BY40=BX$5&amp;BY$5&amp;BW$5,BW40&amp;BX40&amp;BY40=BY$5&amp;BW$5&amp;BX$5,BW40&amp;BX40&amp;BY40=BY$5&amp;BX$5&amp;BW$5),2,0),IF(AND(BW40=BW$5,BX$6&gt;=$D$129),1,0),IF(AND(BX40=BW$5,BX$6&gt;=$D$129),1,0),IF(AND(BY40=BW$5,BX$6&gt;=$D$129),1,0),IF(BW40&amp;BZ40=BZ$5,4,0),IF(AND(BW40=BW$5,BX$6&lt;=$D$104),-0.5,0),IF(AND(BX40=BW$5,BX$6&lt;=$D$104),-0.5,0),IF(AND(BY40=BW$5,BX$6&lt;=$D$104),-0.5,0))</f>
        <v/>
      </c>
      <c r="CB40" s="416" t="n"/>
      <c r="CC40" s="418" t="n"/>
      <c r="CD40" s="418" t="n"/>
      <c r="CE40" s="418" t="n"/>
      <c r="CF40" s="602">
        <f>SUM(IF(CB40=CB$5,4,0),IF(CB40&amp;CC40=CB$5&amp;CC$5,1,0),
IF(AND(CB40=CB$5,CC$6&gt;=$D$115),1,0),
IF(AND(CC40=CB$5,CC$6&gt;=$D$115),1,0),
IF(AND(CD40=CB$5,CC$6&gt;=$D$115),1,0),
IF(CB40&amp;CE40=CF$5,1,0),
IF(CC40=CB$5,2,0),
IF(CD40=CB$5,1,0),
IF(OR(CB40&amp;CC40&amp;CD40=CB$5&amp;CC$5&amp;CD$5,CB40&amp;CC40&amp;CD40=CB$5&amp;CD$5&amp;CC$5,CB40&amp;CC40&amp;CD40=CC$5&amp;CB$5&amp;CD$5,CB40&amp;CC40&amp;CD40=CC$5&amp;CD$5&amp;CB$5,CB40&amp;CC40&amp;CD40=CD$5&amp;CB$5&amp;CC$5,CB40&amp;CC40&amp;CD40=CD$5&amp;CC$5&amp;CB$5),2,0),IF(AND(CB40=CB$5,CC$6&gt;=$D$129),1,0),IF(AND(CC40=CB$5,CC$6&gt;=$D$129),1,0),IF(AND(CD40=CB$5,CC$6&gt;=$D$129),1,0),IF(CB40&amp;CE40=CE$5,4,0),IF(AND(CB40=CB$5,CC$6&lt;=$D$104),-0.5,0),IF(AND(CC40=CB$5,CC$6&lt;=$D$104),-0.5,0),IF(AND(CD40=CB$5,CC$6&lt;=$D$104),-0.5,0))</f>
        <v/>
      </c>
      <c r="CG40" s="164">
        <f>IF(SEMANA29[[#This Row],[1]]="",0,$B$4)</f>
        <v/>
      </c>
      <c r="CH40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0" s="166">
        <f>IF(SEMANA29[[#This Row],[Columna14]]=0,0,(CH40/CG40))</f>
        <v/>
      </c>
      <c r="CJ40" s="165">
        <f>IF(SEMANA29[[#This Row],[1]]="",0,$B$4)</f>
        <v/>
      </c>
      <c r="CK40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0" s="166">
        <f>IF(SEMANA29[[#This Row],[Columna14]]=0,0,(CK40/CJ40))</f>
        <v/>
      </c>
      <c r="CM40" s="164">
        <f>IF(SEMANA29[[#This Row],[1]]="",0,$B$4)</f>
        <v/>
      </c>
      <c r="CN40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0" s="166">
        <f>IF(SEMANA29[[#This Row],[Columna14]]=0,0,(CN40/CM40))</f>
        <v/>
      </c>
      <c r="CP40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0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Row],[Columna25]],$AX$5,BA40,"SF")+COUNTIFS(SEMANA29[[#This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0" s="166">
        <f>IFERROR(IF(SEMANA29[[#This Row],[Columna14]]=0,0,(CQ40/CP40)),0)</f>
        <v/>
      </c>
      <c r="CS40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0" s="95">
        <f>_xlfn.XLOOKUP(SEMANA29[[#This Row],[COD]],SEMANA2[COD],SEMANA2[Columna33])</f>
        <v/>
      </c>
      <c r="CU40" s="604">
        <f>SUM(CS40,CT40)</f>
        <v/>
      </c>
      <c r="CV40" s="450">
        <f>IF(SEMANA29[[#This Row],[TIPO]]="PREMIO",$O$3,"0,00")</f>
        <v/>
      </c>
      <c r="CW40" s="576" t="n"/>
      <c r="CY40" s="392">
        <f>IF(CZ40="","",$CZ$25)</f>
        <v/>
      </c>
      <c r="CZ40" s="392" t="n"/>
      <c r="DA40" s="392">
        <f t="array" ref="DA40">IF(CZ40="", "", IF((INDEX(E$8:CE$57, MATCH(CZ40, C$8:C$57, 0), ($CZ$25-1)*5 + 1) &amp; "") = (INDEX(E$5:CE$5, 1, ($CZ$25-1)*5 + 1) &amp; ""), 1, IF((INDEX(E$8:CE$57, MATCH(CZ40, C$8:C$57, 0), ($CZ$25-1)*5 + 2) &amp; "") = (INDEX(E$5:CE$5, 1, ($CZ$25-1)*5 + 1) &amp; ""), 2, IF((INDEX(E$8:CE$57, MATCH(CZ40, C$8:C$57, 0), ($CZ$25-1)*5 + 3) &amp; "") = (INDEX(E$5:CE$5, 1, ($CZ$25-1)*5 + 1) &amp; ""), 3, ""))))</f>
        <v/>
      </c>
      <c r="DB40" s="605">
        <f>SEMANA29[[#This Row],[COD]]</f>
        <v/>
      </c>
      <c r="DC40" s="395">
        <f t="array" ref="DC40">IFERROR(IF(AND(INDEX($E$8:$CE$57, MATCH($C40, $C$8:$C$57, 0), (COLUMNS($DC40:DC40)-1)*5 + 1) = INDEX($E$5:$CE$5, 1, (COLUMNS($DC40:DC40)-1)*5 + 1), INDEX($E$8:$CE$57, MATCH($C40, $C$8:$C$57, 0), (COLUMNS($DC40:DC40)-1)*5 + 4) = "F"), INDEX($CZ$8:$CZ$23, COLUMNS($DC40:DC40)), "0"), "")</f>
        <v/>
      </c>
      <c r="DD40" s="395">
        <f t="array" ref="DD40">IFERROR(IF(AND(INDEX($E$8:$CE$57, MATCH($C40, $C$8:$C$57, 0), (COLUMNS($DC40:DD40)-1)*5 + 1) = INDEX($E$5:$CE$5, 1, (COLUMNS($DC40:DD40)-1)*5 + 1), INDEX($E$8:$CE$57, MATCH($C40, $C$8:$C$57, 0), (COLUMNS($DC40:DD40)-1)*5 + 4) = "F"), INDEX($CZ$8:$CZ$23, COLUMNS($DC40:DD40)), "0"), "")</f>
        <v/>
      </c>
      <c r="DE40" s="395">
        <f t="array" ref="DE40">IFERROR(IF(AND(INDEX($E$8:$CE$57, MATCH($C40, $C$8:$C$57, 0), (COLUMNS($DC40:DE40)-1)*5 + 1) = INDEX($E$5:$CE$5, 1, (COLUMNS($DC40:DE40)-1)*5 + 1), INDEX($E$8:$CE$57, MATCH($C40, $C$8:$C$57, 0), (COLUMNS($DC40:DE40)-1)*5 + 4) = "F"), INDEX($CZ$8:$CZ$23, COLUMNS($DC40:DE40)), "0"), "")</f>
        <v/>
      </c>
      <c r="DF40" s="395">
        <f t="array" ref="DF40">IFERROR(IF(AND(INDEX($E$8:$CE$57, MATCH($C40, $C$8:$C$57, 0), (COLUMNS($DC40:DF40)-1)*5 + 1) = INDEX($E$5:$CE$5, 1, (COLUMNS($DC40:DF40)-1)*5 + 1), INDEX($E$8:$CE$57, MATCH($C40, $C$8:$C$57, 0), (COLUMNS($DC40:DF40)-1)*5 + 4) = "F"), INDEX($CZ$8:$CZ$23, COLUMNS($DC40:DF40)), "0"), "")</f>
        <v/>
      </c>
      <c r="DG40" s="395">
        <f t="array" ref="DG40">IFERROR(IF(AND(INDEX($E$8:$CE$57, MATCH($C40, $C$8:$C$57, 0), (COLUMNS($DC40:DG40)-1)*5 + 1) = INDEX($E$5:$CE$5, 1, (COLUMNS($DC40:DG40)-1)*5 + 1), INDEX($E$8:$CE$57, MATCH($C40, $C$8:$C$57, 0), (COLUMNS($DC40:DG40)-1)*5 + 4) = "F"), INDEX($CZ$8:$CZ$23, COLUMNS($DC40:DG40)), "0"), "")</f>
        <v/>
      </c>
      <c r="DH40" s="395">
        <f t="array" ref="DH40">IFERROR(IF(AND(INDEX($E$8:$CE$57, MATCH($C40, $C$8:$C$57, 0), (COLUMNS($DC40:DH40)-1)*5 + 1) = INDEX($E$5:$CE$5, 1, (COLUMNS($DC40:DH40)-1)*5 + 1), INDEX($E$8:$CE$57, MATCH($C40, $C$8:$C$57, 0), (COLUMNS($DC40:DH40)-1)*5 + 4) = "F"), INDEX($CZ$8:$CZ$23, COLUMNS($DC40:DH40)), "0"), "")</f>
        <v/>
      </c>
      <c r="DI40" s="395">
        <f t="array" ref="DI40">IFERROR(IF(AND(INDEX($E$8:$CE$57, MATCH($C40, $C$8:$C$57, 0), (COLUMNS($DC40:DI40)-1)*5 + 1) = INDEX($E$5:$CE$5, 1, (COLUMNS($DC40:DI40)-1)*5 + 1), INDEX($E$8:$CE$57, MATCH($C40, $C$8:$C$57, 0), (COLUMNS($DC40:DI40)-1)*5 + 4) = "F"), INDEX($CZ$8:$CZ$23, COLUMNS($DC40:DI40)), "0"), "")</f>
        <v/>
      </c>
      <c r="DJ40" s="395">
        <f t="array" ref="DJ40">IFERROR(IF(AND(INDEX($E$8:$CE$57, MATCH($C40, $C$8:$C$57, 0), (COLUMNS($DC40:DJ40)-1)*5 + 1) = INDEX($E$5:$CE$5, 1, (COLUMNS($DC40:DJ40)-1)*5 + 1), INDEX($E$8:$CE$57, MATCH($C40, $C$8:$C$57, 0), (COLUMNS($DC40:DJ40)-1)*5 + 4) = "F"), INDEX($CZ$8:$CZ$23, COLUMNS($DC40:DJ40)), "0"), "")</f>
        <v/>
      </c>
      <c r="DK40" s="395">
        <f t="array" ref="DK40">IFERROR(IF(AND(INDEX($E$8:$CE$57, MATCH($C40, $C$8:$C$57, 0), (COLUMNS($DC40:DK40)-1)*5 + 1) = INDEX($E$5:$CE$5, 1, (COLUMNS($DC40:DK40)-1)*5 + 1), INDEX($E$8:$CE$57, MATCH($C40, $C$8:$C$57, 0), (COLUMNS($DC40:DK40)-1)*5 + 4) = "F"), INDEX($CZ$8:$CZ$23, COLUMNS($DC40:DK40)), "0"), "")</f>
        <v/>
      </c>
      <c r="DL40" s="395">
        <f t="array" ref="DL40">IFERROR(IF(AND(INDEX($E$8:$CE$57, MATCH($C40, $C$8:$C$57, 0), (COLUMNS($DC40:DL40)-1)*5 + 1) = INDEX($E$5:$CE$5, 1, (COLUMNS($DC40:DL40)-1)*5 + 1), INDEX($E$8:$CE$57, MATCH($C40, $C$8:$C$57, 0), (COLUMNS($DC40:DL40)-1)*5 + 4) = "F"), INDEX($CZ$8:$CZ$23, COLUMNS($DC40:DL40)), "0"), "")</f>
        <v/>
      </c>
      <c r="DM40" s="395">
        <f t="array" ref="DM40">IFERROR(IF(AND(INDEX($E$8:$CE$57, MATCH($C40, $C$8:$C$57, 0), (COLUMNS($DC40:DM40)-1)*5 + 1) = INDEX($E$5:$CE$5, 1, (COLUMNS($DC40:DM40)-1)*5 + 1), INDEX($E$8:$CE$57, MATCH($C40, $C$8:$C$57, 0), (COLUMNS($DC40:DM40)-1)*5 + 4) = "F"), INDEX($CZ$8:$CZ$23, COLUMNS($DC40:DM40)), "0"), "")</f>
        <v/>
      </c>
      <c r="DN40" s="395">
        <f t="array" ref="DN40">IFERROR(IF(AND(INDEX($E$8:$CE$57, MATCH($C40, $C$8:$C$57, 0), (COLUMNS($DC40:DN40)-1)*5 + 1) = INDEX($E$5:$CE$5, 1, (COLUMNS($DC40:DN40)-1)*5 + 1), INDEX($E$8:$CE$57, MATCH($C40, $C$8:$C$57, 0), (COLUMNS($DC40:DN40)-1)*5 + 4) = "F"), INDEX($CZ$8:$CZ$23, COLUMNS($DC40:DN40)), "0"), "")</f>
        <v/>
      </c>
      <c r="DO40" s="395">
        <f t="array" ref="DO40">IFERROR(IF(AND(INDEX($E$8:$CE$57, MATCH($C40, $C$8:$C$57, 0), (COLUMNS($DC40:DO40)-1)*5 + 1) = INDEX($E$5:$CE$5, 1, (COLUMNS($DC40:DO40)-1)*5 + 1), INDEX($E$8:$CE$57, MATCH($C40, $C$8:$C$57, 0), (COLUMNS($DC40:DO40)-1)*5 + 4) = "F"), INDEX($CZ$8:$CZ$23, COLUMNS($DC40:DO40)), "0"), "")</f>
        <v/>
      </c>
      <c r="DP40" s="395">
        <f t="array" ref="DP40">IFERROR(IF(AND(INDEX($E$8:$CE$57, MATCH($C40, $C$8:$C$57, 0), (COLUMNS($DC40:DP40)-1)*5 + 1) = INDEX($E$5:$CE$5, 1, (COLUMNS($DC40:DP40)-1)*5 + 1), INDEX($E$8:$CE$57, MATCH($C40, $C$8:$C$57, 0), (COLUMNS($DC40:DP40)-1)*5 + 4) = "F"), INDEX($CZ$8:$CZ$23, COLUMNS($DC40:DP40)), "0"), "")</f>
        <v/>
      </c>
      <c r="DQ40" s="395">
        <f t="array" ref="DQ40">IFERROR(IF(AND(INDEX($E$8:$CE$57, MATCH($C40, $C$8:$C$57, 0), (COLUMNS($DC40:DQ40)-1)*5 + 1) = INDEX($E$5:$CE$5, 1, (COLUMNS($DC40:DQ40)-1)*5 + 1), INDEX($E$8:$CE$57, MATCH($C40, $C$8:$C$57, 0), (COLUMNS($DC40:DQ40)-1)*5 + 4) = "F"), INDEX($CZ$8:$CZ$23, COLUMNS($DC40:DQ40)), "0"), "")</f>
        <v/>
      </c>
      <c r="DR40" s="395">
        <f t="array" ref="DR40">IFERROR(IF(AND(INDEX($E$8:$CE$57, MATCH($C40, $C$8:$C$57, 0), (COLUMNS($DC40:DR40)-1)*5 + 1) = INDEX($E$5:$CE$5, 1, (COLUMNS($DC40:DR40)-1)*5 + 1), INDEX($E$8:$CE$57, MATCH($C40, $C$8:$C$57, 0), (COLUMNS($DC40:DR40)-1)*5 + 4) = "F"), INDEX($CZ$8:$CZ$23, COLUMNS($DC40:DR40)), "0"), "")</f>
        <v/>
      </c>
      <c r="DT40" s="605">
        <f>SEMANA29[[#This Row],[COD]]</f>
        <v/>
      </c>
      <c r="DU40" s="395">
        <f t="array" ref="DU40">IFERROR(IF(AND(INDEX($E$8:$CE$57, MATCH($C40, $C$8:$C$57, 0), (COLUMNS($DU40:DU40)-1)*5 + 1) = INDEX($E$5:$CE$5, 1, (COLUMNS($DU40:DU40)-1)*5 + 1), INDEX($E$8:$CE$57, MATCH($C40, $C$8:$C$57, 0), (COLUMNS($DU40:DU40)-1)*5 + 4) = "SF"), INDEX($CZ$8:$CZ$23, COLUMNS($DU40:DU40)), "0"), "")</f>
        <v/>
      </c>
      <c r="DV40" s="395">
        <f t="array" ref="DV40">IFERROR(IF(AND(INDEX($E$8:$CE$57, MATCH($C40, $C$8:$C$57, 0), (COLUMNS($DU40:DV40)-1)*5 + 1) = INDEX($E$5:$CE$5, 1, (COLUMNS($DU40:DV40)-1)*5 + 1), INDEX($E$8:$CE$57, MATCH($C40, $C$8:$C$57, 0), (COLUMNS($DU40:DV40)-1)*5 + 4) = "SF"), INDEX($CZ$8:$CZ$23, COLUMNS($DU40:DV40)), "0"), "")</f>
        <v/>
      </c>
      <c r="DW40" s="395">
        <f t="array" ref="DW40">IFERROR(IF(AND(INDEX($E$8:$CE$57, MATCH($C40, $C$8:$C$57, 0), (COLUMNS($DU40:DW40)-1)*5 + 1) = INDEX($E$5:$CE$5, 1, (COLUMNS($DU40:DW40)-1)*5 + 1), INDEX($E$8:$CE$57, MATCH($C40, $C$8:$C$57, 0), (COLUMNS($DU40:DW40)-1)*5 + 4) = "SF"), INDEX($CZ$8:$CZ$23, COLUMNS($DU40:DW40)), "0"), "")</f>
        <v/>
      </c>
      <c r="DX40" s="395">
        <f t="array" ref="DX40">IFERROR(IF(AND(INDEX($E$8:$CE$57, MATCH($C40, $C$8:$C$57, 0), (COLUMNS($DU40:DX40)-1)*5 + 1) = INDEX($E$5:$CE$5, 1, (COLUMNS($DU40:DX40)-1)*5 + 1), INDEX($E$8:$CE$57, MATCH($C40, $C$8:$C$57, 0), (COLUMNS($DU40:DX40)-1)*5 + 4) = "SF"), INDEX($CZ$8:$CZ$23, COLUMNS($DU40:DX40)), "0"), "")</f>
        <v/>
      </c>
      <c r="DY40" s="395">
        <f t="array" ref="DY40">IFERROR(IF(AND(INDEX($E$8:$CE$57, MATCH($C40, $C$8:$C$57, 0), (COLUMNS($DU40:DY40)-1)*5 + 1) = INDEX($E$5:$CE$5, 1, (COLUMNS($DU40:DY40)-1)*5 + 1), INDEX($E$8:$CE$57, MATCH($C40, $C$8:$C$57, 0), (COLUMNS($DU40:DY40)-1)*5 + 4) = "SF"), INDEX($CZ$8:$CZ$23, COLUMNS($DU40:DY40)), "0"), "")</f>
        <v/>
      </c>
      <c r="DZ40" s="395">
        <f t="array" ref="DZ40">IFERROR(IF(AND(INDEX($E$8:$CE$57, MATCH($C40, $C$8:$C$57, 0), (COLUMNS($DU40:DZ40)-1)*5 + 1) = INDEX($E$5:$CE$5, 1, (COLUMNS($DU40:DZ40)-1)*5 + 1), INDEX($E$8:$CE$57, MATCH($C40, $C$8:$C$57, 0), (COLUMNS($DU40:DZ40)-1)*5 + 4) = "SF"), INDEX($CZ$8:$CZ$23, COLUMNS($DU40:DZ40)), "0"), "")</f>
        <v/>
      </c>
      <c r="EA40" s="395">
        <f t="array" ref="EA40">IFERROR(IF(AND(INDEX($E$8:$CE$57, MATCH($C40, $C$8:$C$57, 0), (COLUMNS($DU40:EA40)-1)*5 + 1) = INDEX($E$5:$CE$5, 1, (COLUMNS($DU40:EA40)-1)*5 + 1), INDEX($E$8:$CE$57, MATCH($C40, $C$8:$C$57, 0), (COLUMNS($DU40:EA40)-1)*5 + 4) = "SF"), INDEX($CZ$8:$CZ$23, COLUMNS($DU40:EA40)), "0"), "")</f>
        <v/>
      </c>
      <c r="EB40" s="395">
        <f t="array" ref="EB40">IFERROR(IF(AND(INDEX($E$8:$CE$57, MATCH($C40, $C$8:$C$57, 0), (COLUMNS($DU40:EB40)-1)*5 + 1) = INDEX($E$5:$CE$5, 1, (COLUMNS($DU40:EB40)-1)*5 + 1), INDEX($E$8:$CE$57, MATCH($C40, $C$8:$C$57, 0), (COLUMNS($DU40:EB40)-1)*5 + 4) = "SF"), INDEX($CZ$8:$CZ$23, COLUMNS($DU40:EB40)), "0"), "")</f>
        <v/>
      </c>
      <c r="EC40" s="395">
        <f t="array" ref="EC40">IFERROR(IF(AND(INDEX($E$8:$CE$57, MATCH($C40, $C$8:$C$57, 0), (COLUMNS($DU40:EC40)-1)*5 + 1) = INDEX($E$5:$CE$5, 1, (COLUMNS($DU40:EC40)-1)*5 + 1), INDEX($E$8:$CE$57, MATCH($C40, $C$8:$C$57, 0), (COLUMNS($DU40:EC40)-1)*5 + 4) = "SF"), INDEX($CZ$8:$CZ$23, COLUMNS($DU40:EC40)), "0"), "")</f>
        <v/>
      </c>
      <c r="ED40" s="395">
        <f t="array" ref="ED40">IFERROR(IF(AND(INDEX($E$8:$CE$57, MATCH($C40, $C$8:$C$57, 0), (COLUMNS($DU40:ED40)-1)*5 + 1) = INDEX($E$5:$CE$5, 1, (COLUMNS($DU40:ED40)-1)*5 + 1), INDEX($E$8:$CE$57, MATCH($C40, $C$8:$C$57, 0), (COLUMNS($DU40:ED40)-1)*5 + 4) = "SF"), INDEX($CZ$8:$CZ$23, COLUMNS($DU40:ED40)), "0"), "")</f>
        <v/>
      </c>
      <c r="EE40" s="395">
        <f t="array" ref="EE40">IFERROR(IF(AND(INDEX($E$8:$CE$57, MATCH($C40, $C$8:$C$57, 0), (COLUMNS($DU40:EE40)-1)*5 + 1) = INDEX($E$5:$CE$5, 1, (COLUMNS($DU40:EE40)-1)*5 + 1), INDEX($E$8:$CE$57, MATCH($C40, $C$8:$C$57, 0), (COLUMNS($DU40:EE40)-1)*5 + 4) = "SF"), INDEX($CZ$8:$CZ$23, COLUMNS($DU40:EE40)), "0"), "")</f>
        <v/>
      </c>
      <c r="EF40" s="395">
        <f t="array" ref="EF40">IFERROR(IF(AND(INDEX($E$8:$CE$57, MATCH($C40, $C$8:$C$57, 0), (COLUMNS($DU40:EF40)-1)*5 + 1) = INDEX($E$5:$CE$5, 1, (COLUMNS($DU40:EF40)-1)*5 + 1), INDEX($E$8:$CE$57, MATCH($C40, $C$8:$C$57, 0), (COLUMNS($DU40:EF40)-1)*5 + 4) = "SF"), INDEX($CZ$8:$CZ$23, COLUMNS($DU40:EF40)), "0"), "")</f>
        <v/>
      </c>
      <c r="EG40" s="395">
        <f t="array" ref="EG40">IFERROR(IF(AND(INDEX($E$8:$CE$57, MATCH($C40, $C$8:$C$57, 0), (COLUMNS($DU40:EG40)-1)*5 + 1) = INDEX($E$5:$CE$5, 1, (COLUMNS($DU40:EG40)-1)*5 + 1), INDEX($E$8:$CE$57, MATCH($C40, $C$8:$C$57, 0), (COLUMNS($DU40:EG40)-1)*5 + 4) = "SF"), INDEX($CZ$8:$CZ$23, COLUMNS($DU40:EG40)), "0"), "")</f>
        <v/>
      </c>
      <c r="EH40" s="395">
        <f t="array" ref="EH40">IFERROR(IF(AND(INDEX($E$8:$CE$57, MATCH($C40, $C$8:$C$57, 0), (COLUMNS($DU40:EH40)-1)*5 + 1) = INDEX($E$5:$CE$5, 1, (COLUMNS($DU40:EH40)-1)*5 + 1), INDEX($E$8:$CE$57, MATCH($C40, $C$8:$C$57, 0), (COLUMNS($DU40:EH40)-1)*5 + 4) = "SF"), INDEX($CZ$8:$CZ$23, COLUMNS($DU40:EH40)), "0"), "")</f>
        <v/>
      </c>
      <c r="EI40" s="395">
        <f t="array" ref="EI40">IFERROR(IF(AND(INDEX($E$8:$CE$57, MATCH($C40, $C$8:$C$57, 0), (COLUMNS($DU40:EI40)-1)*5 + 1) = INDEX($E$5:$CE$5, 1, (COLUMNS($DU40:EI40)-1)*5 + 1), INDEX($E$8:$CE$57, MATCH($C40, $C$8:$C$57, 0), (COLUMNS($DU40:EI40)-1)*5 + 4) = "SF"), INDEX($CZ$8:$CZ$23, COLUMNS($DU40:EI40)), "0"), "")</f>
        <v/>
      </c>
      <c r="EJ40" s="395">
        <f t="array" ref="EJ40">IFERROR(IF(AND(INDEX($E$8:$CE$57, MATCH($C40, $C$8:$C$57, 0), (COLUMNS($DU40:EJ40)-1)*5 + 1) = INDEX($E$5:$CE$5, 1, (COLUMNS($DU40:EJ40)-1)*5 + 1), INDEX($E$8:$CE$57, MATCH($C40, $C$8:$C$57, 0), (COLUMNS($DU40:EJ40)-1)*5 + 4) = "SF"), INDEX($CZ$8:$CZ$23, COLUMNS($DU40:EJ40)), "0"), "")</f>
        <v/>
      </c>
    </row>
    <row r="41" ht="20.1" customHeight="1" s="568">
      <c r="A41" s="576" t="n"/>
      <c r="B41" s="449">
        <f>IF(SEMANA29[[#This Row],[COD]]&lt;&gt;"",B40+1,"")</f>
        <v/>
      </c>
      <c r="C41" s="622" t="inlineStr">
        <is>
          <t>COD 34</t>
        </is>
      </c>
      <c r="D41" s="415">
        <f t="array" ref="D41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1" s="416" t="n"/>
      <c r="F41" s="423" t="n"/>
      <c r="G41" s="423" t="n"/>
      <c r="H41" s="423" t="n"/>
      <c r="I41" s="602">
        <f>SUM(IF(E41=E$5,4,0),IF(E41&amp;F41=E$5&amp;F$5,1,0),
IF(AND(E41=E$5,F$6&gt;=$D$115),1,0),
IF(AND(F41=E$5,F$6&gt;=$D$115),1,0),
IF(AND(G41=E$5,F$6&gt;=$D$115),1,0),
IF(E41&amp;H41=I$5,1,0),
IF(F41=E$5,2,0),
IF(G41=E$5,1,0),
IF(OR(E41&amp;F41&amp;G41=E$5&amp;F$5&amp;G$5,E41&amp;F41&amp;G41=E$5&amp;G$5&amp;F$5,E41&amp;F41&amp;G41=F$5&amp;E$5&amp;G$5,E41&amp;F41&amp;G41=F$5&amp;G$5&amp;E$5,E41&amp;F41&amp;G41=G$5&amp;E$5&amp;F$5,E41&amp;F41&amp;G41=G$5&amp;F$5&amp;E$5),2,0),IF(AND(E41=E$5,F$6&gt;=$D$129),1,0),IF(AND(F41=E$5,F$6&gt;=$D$129),1,0),IF(AND(G41=E$5,F$6&gt;=$D$129),1,0),IF(E41&amp;H41=H$5,4,0),IF(AND(E41=E$5,F$6&lt;=$D$104),-0.5,0),IF(AND(F41=E$5,F$6&lt;=$D$104),-0.5,0),IF(AND(G41=E$5,F$6&lt;=$D$104),-0.5,0))</f>
        <v/>
      </c>
      <c r="J41" s="416" t="n"/>
      <c r="K41" s="423" t="n"/>
      <c r="L41" s="423" t="n"/>
      <c r="M41" s="423" t="n"/>
      <c r="N41" s="602">
        <f>SUM(IF(J41=J$5,4,0),IF(J41&amp;K41=J$5&amp;K$5,1,0),
IF(AND(J41=J$5,K$6&gt;=$D$115),1,0),
IF(AND(K41=J$5,K$6&gt;=$D$115),1,0),
IF(AND(L41=J$5,K$6&gt;=$D$115),1,0),
IF(J41&amp;M41=N$5,1,0),
IF(K41=J$5,2,0),
IF(L41=J$5,1,0),
IF(OR(J41&amp;K41&amp;L41=J$5&amp;K$5&amp;L$5,J41&amp;K41&amp;L41=J$5&amp;L$5&amp;K$5,J41&amp;K41&amp;L41=K$5&amp;J$5&amp;L$5,J41&amp;K41&amp;L41=K$5&amp;L$5&amp;J$5,J41&amp;K41&amp;L41=L$5&amp;J$5&amp;K$5,J41&amp;K41&amp;L41=L$5&amp;K$5&amp;J$5),2,0),IF(AND(J41=J$5,K$6&gt;=$D$129),1,0),IF(AND(K41=J$5,K$6&gt;=$D$129),1,0),IF(AND(L41=J$5,K$6&gt;=$D$129),1,0),IF(J41&amp;M41=M$5,4,0),IF(AND(J41=J$5,K$6&lt;=$D$104),-0.5,0),IF(AND(K41=J$5,K$6&lt;=$D$104),-0.5,0),IF(AND(L41=J$5,K$6&lt;=$D$104),-0.5,0))</f>
        <v/>
      </c>
      <c r="O41" s="416" t="n"/>
      <c r="P41" s="423" t="n"/>
      <c r="Q41" s="423" t="n"/>
      <c r="R41" s="423" t="n"/>
      <c r="S41" s="602">
        <f>SUM(IF(O41=O$5,4,0),IF(O41&amp;P41=O$5&amp;P$5,1,0),
IF(AND(O41=O$5,P$6&gt;=$D$115),1,0),
IF(AND(P41=O$5,P$6&gt;=$D$115),1,0),
IF(AND(Q41=O$5,P$6&gt;=$D$115),1,0),
IF(O41&amp;R41=S$5,1,0),
IF(P41=O$5,2,0),
IF(Q41=O$5,1,0),
IF(OR(O41&amp;P41&amp;Q41=O$5&amp;P$5&amp;Q$5,O41&amp;P41&amp;Q41=O$5&amp;Q$5&amp;P$5,O41&amp;P41&amp;Q41=P$5&amp;O$5&amp;Q$5,O41&amp;P41&amp;Q41=P$5&amp;Q$5&amp;O$5,O41&amp;P41&amp;Q41=Q$5&amp;O$5&amp;P$5,O41&amp;P41&amp;Q41=Q$5&amp;P$5&amp;O$5),2,0),IF(AND(O41=O$5,P$6&gt;=$D$129),1,0),IF(AND(P41=O$5,P$6&gt;=$D$129),1,0),IF(AND(Q41=O$5,P$6&gt;=$D$129),1,0),IF(O41&amp;R41=R$5,4,0),IF(AND(O41=O$5,P$6&lt;=$D$104),-0.5,0),IF(AND(P41=O$5,P$6&lt;=$D$104),-0.5,0),IF(AND(Q41=O$5,P$6&lt;=$D$104),-0.5,0))</f>
        <v/>
      </c>
      <c r="T41" s="416" t="n"/>
      <c r="U41" s="423" t="n"/>
      <c r="V41" s="423" t="n"/>
      <c r="W41" s="423" t="n"/>
      <c r="X41" s="602">
        <f>SUM(IF(T41=T$5,4,0),IF(T41&amp;U41=T$5&amp;U$5,1,0),
IF(AND(T41=T$5,U$6&gt;=$D$115),1,0),
IF(AND(U41=T$5,U$6&gt;=$D$115),1,0),
IF(AND(V41=T$5,U$6&gt;=$D$115),1,0),
IF(T41&amp;W41=X$5,1,0),
IF(U41=T$5,2,0),
IF(V41=T$5,1,0),
IF(OR(T41&amp;U41&amp;V41=T$5&amp;U$5&amp;V$5,T41&amp;U41&amp;V41=T$5&amp;V$5&amp;U$5,T41&amp;U41&amp;V41=U$5&amp;T$5&amp;V$5,T41&amp;U41&amp;V41=U$5&amp;V$5&amp;T$5,T41&amp;U41&amp;V41=V$5&amp;T$5&amp;U$5,T41&amp;U41&amp;V41=V$5&amp;U$5&amp;T$5),2,0),IF(AND(T41=T$5,U$6&gt;=$D$129),1,0),IF(AND(U41=T$5,U$6&gt;=$D$129),1,0),IF(AND(V41=T$5,U$6&gt;=$D$129),1,0),IF(T41&amp;W41=W$5,4,0),IF(AND(T41=T$5,U$6&lt;=$D$104),-0.5,0),IF(AND(U41=T$5,U$6&lt;=$D$104),-0.5,0),IF(AND(V41=T$5,U$6&lt;=$D$104),-0.5,0))</f>
        <v/>
      </c>
      <c r="Y41" s="416" t="n"/>
      <c r="Z41" s="423" t="n"/>
      <c r="AA41" s="423" t="n"/>
      <c r="AB41" s="423" t="n"/>
      <c r="AC41" s="602">
        <f>SUM(IF(Y41=Y$5,4,0),IF(Y41&amp;Z41=Y$5&amp;Z$5,1,0),
IF(AND(Y41=Y$5,Z$6&gt;=$D$115),1,0),
IF(AND(Z41=Y$5,Z$6&gt;=$D$115),1,0),
IF(AND(AA41=Y$5,Z$6&gt;=$D$115),1,0),
IF(Y41&amp;AB41=AC$5,1,0),
IF(Z41=Y$5,2,0),
IF(AA41=Y$5,1,0),
IF(OR(Y41&amp;Z41&amp;AA41=Y$5&amp;Z$5&amp;AA$5,Y41&amp;Z41&amp;AA41=Y$5&amp;AA$5&amp;Z$5,Y41&amp;Z41&amp;AA41=Z$5&amp;Y$5&amp;AA$5,Y41&amp;Z41&amp;AA41=Z$5&amp;AA$5&amp;Y$5,Y41&amp;Z41&amp;AA41=AA$5&amp;Y$5&amp;Z$5,Y41&amp;Z41&amp;AA41=AA$5&amp;Z$5&amp;Y$5),2,0),IF(AND(Y41=Y$5,Z$6&gt;=$D$129),1,0),IF(AND(Z41=Y$5,Z$6&gt;=$D$129),1,0),IF(AND(AA41=Y$5,Z$6&gt;=$D$129),1,0),IF(Y41&amp;AB41=AB$5,4,0),IF(AND(Y41=Y$5,Z$6&lt;=$D$104),-0.5,0),IF(AND(Z41=Y$5,Z$6&lt;=$D$104),-0.5,0),IF(AND(AA41=Y$5,Z$6&lt;=$D$104),-0.5,0))</f>
        <v/>
      </c>
      <c r="AD41" s="416" t="n"/>
      <c r="AE41" s="423" t="n"/>
      <c r="AF41" s="423" t="n"/>
      <c r="AG41" s="423" t="n"/>
      <c r="AH41" s="602">
        <f>SUM(IF(AD41=AD$5,4,0),IF(AD41&amp;AE41=AD$5&amp;AE$5,1,0),
IF(AND(AD41=AD$5,AE$6&gt;=$D$115),1,0),
IF(AND(AE41=AD$5,AE$6&gt;=$D$115),1,0),
IF(AND(AF41=AD$5,AE$6&gt;=$D$115),1,0),
IF(AD41&amp;AG41=AH$5,1,0),
IF(AE41=AD$5,2,0),
IF(AF41=AD$5,1,0),
IF(OR(AD41&amp;AE41&amp;AF41=AD$5&amp;AE$5&amp;AF$5,AD41&amp;AE41&amp;AF41=AD$5&amp;AF$5&amp;AE$5,AD41&amp;AE41&amp;AF41=AE$5&amp;AD$5&amp;AF$5,AD41&amp;AE41&amp;AF41=AE$5&amp;AF$5&amp;AD$5,AD41&amp;AE41&amp;AF41=AF$5&amp;AD$5&amp;AE$5,AD41&amp;AE41&amp;AF41=AF$5&amp;AE$5&amp;AD$5),2,0),IF(AND(AD41=AD$5,AE$6&gt;=$D$129),1,0),IF(AND(AE41=AD$5,AE$6&gt;=$D$129),1,0),IF(AND(AF41=AD$5,AE$6&gt;=$D$129),1,0),IF(AD41&amp;AG41=AG$5,4,0),IF(AND(AD41=AD$5,AE$6&lt;=$D$104),-0.5,0),IF(AND(AE41=AD$5,AE$6&lt;=$D$104),-0.5,0),IF(AND(AF41=AD$5,AE$6&lt;=$D$104),-0.5,0))</f>
        <v/>
      </c>
      <c r="AI41" s="416" t="n"/>
      <c r="AJ41" s="423" t="n"/>
      <c r="AK41" s="423" t="n"/>
      <c r="AL41" s="423" t="n"/>
      <c r="AM41" s="602">
        <f>SUM(IF(AI41=AI$5,4,0),IF(AI41&amp;AJ41=AI$5&amp;AJ$5,1,0),
IF(AND(AI41=AI$5,AJ$6&gt;=$D$115),1,0),
IF(AND(AJ41=AI$5,AJ$6&gt;=$D$115),1,0),
IF(AND(AK41=AI$5,AJ$6&gt;=$D$115),1,0),
IF(AI41&amp;AL41=AM$5,1,0),
IF(AJ41=AI$5,2,0),
IF(AK41=AI$5,1,0),
IF(OR(AI41&amp;AJ41&amp;AK41=AI$5&amp;AJ$5&amp;AK$5,AI41&amp;AJ41&amp;AK41=AI$5&amp;AK$5&amp;AJ$5,AI41&amp;AJ41&amp;AK41=AJ$5&amp;AI$5&amp;AK$5,AI41&amp;AJ41&amp;AK41=AJ$5&amp;AK$5&amp;AI$5,AI41&amp;AJ41&amp;AK41=AK$5&amp;AI$5&amp;AJ$5,AI41&amp;AJ41&amp;AK41=AK$5&amp;AJ$5&amp;AI$5),2,0),IF(AND(AI41=AI$5,AJ$6&gt;=$D$129),1,0),IF(AND(AJ41=AI$5,AJ$6&gt;=$D$129),1,0),IF(AND(AK41=AI$5,AJ$6&gt;=$D$129),1,0),IF(AI41&amp;AL41=AL$5,4,0),IF(AND(AI41=AI$5,AJ$6&lt;=$D$104),-0.5,0),IF(AND(AJ41=AI$5,AJ$6&lt;=$D$104),-0.5,0),IF(AND(AK41=AI$5,AJ$6&lt;=$D$104),-0.5,0))</f>
        <v/>
      </c>
      <c r="AN41" s="416" t="n"/>
      <c r="AO41" s="423" t="n"/>
      <c r="AP41" s="423" t="n"/>
      <c r="AQ41" s="423" t="n"/>
      <c r="AR41" s="602">
        <f>SUM(IF(AN41=AN$5,4,0),IF(AN41&amp;AO41=AN$5&amp;AO$5,1,0),
IF(AND(AN41=AN$5,AO$6&gt;=$D$115),1,0),
IF(AND(AO41=AN$5,AO$6&gt;=$D$115),1,0),
IF(AND(AP41=AN$5,AO$6&gt;=$D$115),1,0),
IF(AN41&amp;AQ41=AR$5,1,0),
IF(AO41=AN$5,2,0),
IF(AP41=AN$5,1,0),
IF(OR(AN41&amp;AO41&amp;AP41=AN$5&amp;AO$5&amp;AP$5,AN41&amp;AO41&amp;AP41=AN$5&amp;AP$5&amp;AO$5,AN41&amp;AO41&amp;AP41=AO$5&amp;AN$5&amp;AP$5,AN41&amp;AO41&amp;AP41=AO$5&amp;AP$5&amp;AN$5,AN41&amp;AO41&amp;AP41=AP$5&amp;AN$5&amp;AO$5,AN41&amp;AO41&amp;AP41=AP$5&amp;AO$5&amp;AN$5),2,0),IF(AND(AN41=AN$5,AO$6&gt;=$D$129),1,0),IF(AND(AO41=AN$5,AO$6&gt;=$D$129),1,0),IF(AND(AP41=AN$5,AO$6&gt;=$D$129),1,0),IF(AN41&amp;AQ41=AQ$5,4,0),IF(AND(AN41=AN$5,AO$6&lt;=$D$104),-0.5,0),IF(AND(AO41=AN$5,AO$6&lt;=$D$104),-0.5,0),IF(AND(AP41=AN$5,AO$6&lt;=$D$104),-0.5,0))</f>
        <v/>
      </c>
      <c r="AS41" s="416" t="n"/>
      <c r="AT41" s="423" t="n"/>
      <c r="AU41" s="423" t="n"/>
      <c r="AV41" s="423" t="n"/>
      <c r="AW41" s="602">
        <f>SUM(IF(AS41=AS$5,4,0),IF(AS41&amp;AT41=AS$5&amp;AT$5,1,0),
IF(AND(AS41=AS$5,AT$6&gt;=$D$115),1,0),
IF(AND(AT41=AS$5,AT$6&gt;=$D$115),1,0),
IF(AND(AU41=AS$5,AT$6&gt;=$D$115),1,0),
IF(AS41&amp;AV41=AW$5,1,0),
IF(AT41=AS$5,2,0),
IF(AU41=AS$5,1,0),
IF(OR(AS41&amp;AT41&amp;AU41=AS$5&amp;AT$5&amp;AU$5,AS41&amp;AT41&amp;AU41=AS$5&amp;AU$5&amp;AT$5,AS41&amp;AT41&amp;AU41=AT$5&amp;AS$5&amp;AU$5,AS41&amp;AT41&amp;AU41=AT$5&amp;AU$5&amp;AS$5,AS41&amp;AT41&amp;AU41=AU$5&amp;AS$5&amp;AT$5,AS41&amp;AT41&amp;AU41=AU$5&amp;AT$5&amp;AS$5),2,0),IF(AND(AS41=AS$5,AT$6&gt;=$D$129),1,0),IF(AND(AT41=AS$5,AT$6&gt;=$D$129),1,0),IF(AND(AU41=AS$5,AT$6&gt;=$D$129),1,0),IF(AS41&amp;AV41=AV$5,4,0),IF(AND(AS41=AS$5,AT$6&lt;=$D$104),-0.5,0),IF(AND(AT41=AS$5,AT$6&lt;=$D$104),-0.5,0),IF(AND(AU41=AS$5,AT$6&lt;=$D$104),-0.5,0))</f>
        <v/>
      </c>
      <c r="AX41" s="416" t="n"/>
      <c r="AY41" s="423" t="n"/>
      <c r="AZ41" s="423" t="n"/>
      <c r="BA41" s="423" t="n"/>
      <c r="BB41" s="602">
        <f>SUM(IF(AX41=AX$5,4,0),IF(AX41&amp;AY41=AX$5&amp;AY$5,1,0),
IF(AND(AX41=AX$5,AY$6&gt;=$D$115),1,0),
IF(AND(AY41=AX$5,AY$6&gt;=$D$115),1,0),
IF(AND(AZ41=AX$5,AY$6&gt;=$D$115),1,0),
IF(AX41&amp;BA41=BB$5,1,0),
IF(AY41=AX$5,2,0),
IF(AZ41=AX$5,1,0),
IF(OR(AX41&amp;AY41&amp;AZ41=AX$5&amp;AY$5&amp;AZ$5,AX41&amp;AY41&amp;AZ41=AX$5&amp;AZ$5&amp;AY$5,AX41&amp;AY41&amp;AZ41=AY$5&amp;AX$5&amp;AZ$5,AX41&amp;AY41&amp;AZ41=AY$5&amp;AZ$5&amp;AX$5,AX41&amp;AY41&amp;AZ41=AZ$5&amp;AX$5&amp;AY$5,AX41&amp;AY41&amp;AZ41=AZ$5&amp;AY$5&amp;AX$5),2,0),IF(AND(AX41=AX$5,AY$6&gt;=$D$129),1,0),IF(AND(AY41=AX$5,AY$6&gt;=$D$129),1,0),IF(AND(AZ41=AX$5,AY$6&gt;=$D$129),1,0),IF(AX41&amp;BA41=BA$5,4,0),IF(AND(AX41=AX$5,AY$6&lt;=$D$104),-0.5,0),IF(AND(AY41=AX$5,AY$6&lt;=$D$104),-0.5,0),IF(AND(AZ41=AX$5,AY$6&lt;=$D$104),-0.5,0))</f>
        <v/>
      </c>
      <c r="BC41" s="416" t="n"/>
      <c r="BD41" s="423" t="n"/>
      <c r="BE41" s="423" t="n"/>
      <c r="BF41" s="423" t="n"/>
      <c r="BG41" s="602">
        <f>SUM(IF(BC41=BC$5,4,0),IF(BC41&amp;BD41=BC$5&amp;BD$5,1,0),
IF(AND(BC41=BC$5,BD$6&gt;=$D$115),1,0),
IF(AND(BD41=BC$5,BD$6&gt;=$D$115),1,0),
IF(AND(BE41=BC$5,BD$6&gt;=$D$115),1,0),
IF(BC41&amp;BF41=BG$5,1,0),
IF(BD41=BC$5,2,0),
IF(BE41=BC$5,1,0),
IF(OR(BC41&amp;BD41&amp;BE41=BC$5&amp;BD$5&amp;BE$5,BC41&amp;BD41&amp;BE41=BC$5&amp;BE$5&amp;BD$5,BC41&amp;BD41&amp;BE41=BD$5&amp;BC$5&amp;BE$5,BC41&amp;BD41&amp;BE41=BD$5&amp;BE$5&amp;BC$5,BC41&amp;BD41&amp;BE41=BE$5&amp;BC$5&amp;BD$5,BC41&amp;BD41&amp;BE41=BE$5&amp;BD$5&amp;BC$5),2,0),IF(AND(BC41=BC$5,BD$6&gt;=$D$129),1,0),IF(AND(BD41=BC$5,BD$6&gt;=$D$129),1,0),IF(AND(BE41=BC$5,BD$6&gt;=$D$129),1,0),IF(BC41&amp;BF41=BF$5,4,0),IF(AND(BC41=BC$5,BD$6&lt;=$D$104),-0.5,0),IF(AND(BD41=BC$5,BD$6&lt;=$D$104),-0.5,0),IF(AND(BE41=BC$5,BD$6&lt;=$D$104),-0.5,0))</f>
        <v/>
      </c>
      <c r="BH41" s="416" t="n"/>
      <c r="BI41" s="423" t="n"/>
      <c r="BJ41" s="423" t="n"/>
      <c r="BK41" s="423" t="n"/>
      <c r="BL41" s="602">
        <f>SUM(IF(BH41=BH$5,4,0),IF(BH41&amp;BI41=BH$5&amp;BI$5,1,0),
IF(AND(BH41=BH$5,BI$6&gt;=$D$115),1,0),
IF(AND(BI41=BH$5,BI$6&gt;=$D$115),1,0),
IF(AND(BJ41=BH$5,BI$6&gt;=$D$115),1,0),
IF(BH41&amp;BK41=BL$5,1,0),
IF(BI41=BH$5,2,0),
IF(BJ41=BH$5,1,0),
IF(OR(BH41&amp;BI41&amp;BJ41=BH$5&amp;BI$5&amp;BJ$5,BH41&amp;BI41&amp;BJ41=BH$5&amp;BJ$5&amp;BI$5,BH41&amp;BI41&amp;BJ41=BI$5&amp;BH$5&amp;BJ$5,BH41&amp;BI41&amp;BJ41=BI$5&amp;BJ$5&amp;BH$5,BH41&amp;BI41&amp;BJ41=BJ$5&amp;BH$5&amp;BI$5,BH41&amp;BI41&amp;BJ41=BJ$5&amp;BI$5&amp;BH$5),2,0),IF(AND(BH41=BH$5,BI$6&gt;=$D$129),1,0),IF(AND(BI41=BH$5,BI$6&gt;=$D$129),1,0),IF(AND(BJ41=BH$5,BI$6&gt;=$D$129),1,0),IF(BH41&amp;BK41=BK$5,4,0),IF(AND(BH41=BH$5,BI$6&lt;=$D$104),-0.5,0),IF(AND(BI41=BH$5,BI$6&lt;=$D$104),-0.5,0),IF(AND(BJ41=BH$5,BI$6&lt;=$D$104),-0.5,0))</f>
        <v/>
      </c>
      <c r="BM41" s="416" t="n"/>
      <c r="BN41" s="423" t="n"/>
      <c r="BO41" s="423" t="n"/>
      <c r="BP41" s="423" t="n"/>
      <c r="BQ41" s="602">
        <f>SUM(IF(BM41=BM$5,4,0),IF(BM41&amp;BN41=BM$5&amp;BN$5,1,0),
IF(AND(BM41=BM$5,BN$6&gt;=$D$115),1,0),
IF(AND(BN41=BM$5,BN$6&gt;=$D$115),1,0),
IF(AND(BO41=BM$5,BN$6&gt;=$D$115),1,0),
IF(BM41&amp;BP41=BQ$5,1,0),
IF(BN41=BM$5,2,0),
IF(BO41=BM$5,1,0),
IF(OR(BM41&amp;BN41&amp;BO41=BM$5&amp;BN$5&amp;BO$5,BM41&amp;BN41&amp;BO41=BM$5&amp;BO$5&amp;BN$5,BM41&amp;BN41&amp;BO41=BN$5&amp;BM$5&amp;BO$5,BM41&amp;BN41&amp;BO41=BN$5&amp;BO$5&amp;BM$5,BM41&amp;BN41&amp;BO41=BO$5&amp;BM$5&amp;BN$5,BM41&amp;BN41&amp;BO41=BO$5&amp;BN$5&amp;BM$5),2,0),IF(AND(BM41=BM$5,BN$6&gt;=$D$129),1,0),IF(AND(BN41=BM$5,BN$6&gt;=$D$129),1,0),IF(AND(BO41=BM$5,BN$6&gt;=$D$129),1,0),IF(BM41&amp;BP41=BP$5,4,0),IF(AND(BM41=BM$5,BN$6&lt;=$D$104),-0.5,0),IF(AND(BN41=BM$5,BN$6&lt;=$D$104),-0.5,0),IF(AND(BO41=BM$5,BN$6&lt;=$D$104),-0.5,0))</f>
        <v/>
      </c>
      <c r="BR41" s="416" t="n"/>
      <c r="BS41" s="423" t="n"/>
      <c r="BT41" s="423" t="n"/>
      <c r="BU41" s="423" t="n"/>
      <c r="BV41" s="602">
        <f>SUM(IF(BR41=BR$5,4,0),IF(BR41&amp;BS41=BR$5&amp;BS$5,1,0),
IF(AND(BR41=BR$5,BS$6&gt;=$D$115),1,0),
IF(AND(BS41=BR$5,BS$6&gt;=$D$115),1,0),
IF(AND(BT41=BR$5,BS$6&gt;=$D$115),1,0),
IF(BR41&amp;BU41=BV$5,1,0),
IF(BS41=BR$5,2,0),
IF(BT41=BR$5,1,0),
IF(OR(BR41&amp;BS41&amp;BT41=BR$5&amp;BS$5&amp;BT$5,BR41&amp;BS41&amp;BT41=BR$5&amp;BT$5&amp;BS$5,BR41&amp;BS41&amp;BT41=BS$5&amp;BR$5&amp;BT$5,BR41&amp;BS41&amp;BT41=BS$5&amp;BT$5&amp;BR$5,BR41&amp;BS41&amp;BT41=BT$5&amp;BR$5&amp;BS$5,BR41&amp;BS41&amp;BT41=BT$5&amp;BS$5&amp;BR$5),2,0),IF(AND(BR41=BR$5,BS$6&gt;=$D$129),1,0),IF(AND(BS41=BR$5,BS$6&gt;=$D$129),1,0),IF(AND(BT41=BR$5,BS$6&gt;=$D$129),1,0),IF(BR41&amp;BU41=BU$5,4,0),IF(AND(BR41=BR$5,BS$6&lt;=$D$104),-0.5,0),IF(AND(BS41=BR$5,BS$6&lt;=$D$104),-0.5,0),IF(AND(BT41=BR$5,BS$6&lt;=$D$104),-0.5,0))</f>
        <v/>
      </c>
      <c r="BW41" s="416" t="n"/>
      <c r="BX41" s="423" t="n"/>
      <c r="BY41" s="423" t="n"/>
      <c r="BZ41" s="423" t="n"/>
      <c r="CA41" s="602">
        <f>SUM(IF(BW41=BW$5,4,0),IF(BW41&amp;BX41=BW$5&amp;BX$5,1,0),
IF(AND(BW41=BW$5,BX$6&gt;=$D$115),1,0),
IF(AND(BX41=BW$5,BX$6&gt;=$D$115),1,0),
IF(AND(BY41=BW$5,BX$6&gt;=$D$115),1,0),
IF(BW41&amp;BZ41=CA$5,1,0),
IF(BX41=BW$5,2,0),
IF(BY41=BW$5,1,0),
IF(OR(BW41&amp;BX41&amp;BY41=BW$5&amp;BX$5&amp;BY$5,BW41&amp;BX41&amp;BY41=BW$5&amp;BY$5&amp;BX$5,BW41&amp;BX41&amp;BY41=BX$5&amp;BW$5&amp;BY$5,BW41&amp;BX41&amp;BY41=BX$5&amp;BY$5&amp;BW$5,BW41&amp;BX41&amp;BY41=BY$5&amp;BW$5&amp;BX$5,BW41&amp;BX41&amp;BY41=BY$5&amp;BX$5&amp;BW$5),2,0),IF(AND(BW41=BW$5,BX$6&gt;=$D$129),1,0),IF(AND(BX41=BW$5,BX$6&gt;=$D$129),1,0),IF(AND(BY41=BW$5,BX$6&gt;=$D$129),1,0),IF(BW41&amp;BZ41=BZ$5,4,0),IF(AND(BW41=BW$5,BX$6&lt;=$D$104),-0.5,0),IF(AND(BX41=BW$5,BX$6&lt;=$D$104),-0.5,0),IF(AND(BY41=BW$5,BX$6&lt;=$D$104),-0.5,0))</f>
        <v/>
      </c>
      <c r="CB41" s="416" t="n"/>
      <c r="CC41" s="423" t="n"/>
      <c r="CD41" s="423" t="n"/>
      <c r="CE41" s="423" t="n"/>
      <c r="CF41" s="602">
        <f>SUM(IF(CB41=CB$5,4,0),IF(CB41&amp;CC41=CB$5&amp;CC$5,1,0),
IF(AND(CB41=CB$5,CC$6&gt;=$D$115),1,0),
IF(AND(CC41=CB$5,CC$6&gt;=$D$115),1,0),
IF(AND(CD41=CB$5,CC$6&gt;=$D$115),1,0),
IF(CB41&amp;CE41=CF$5,1,0),
IF(CC41=CB$5,2,0),
IF(CD41=CB$5,1,0),
IF(OR(CB41&amp;CC41&amp;CD41=CB$5&amp;CC$5&amp;CD$5,CB41&amp;CC41&amp;CD41=CB$5&amp;CD$5&amp;CC$5,CB41&amp;CC41&amp;CD41=CC$5&amp;CB$5&amp;CD$5,CB41&amp;CC41&amp;CD41=CC$5&amp;CD$5&amp;CB$5,CB41&amp;CC41&amp;CD41=CD$5&amp;CB$5&amp;CC$5,CB41&amp;CC41&amp;CD41=CD$5&amp;CC$5&amp;CB$5),2,0),IF(AND(CB41=CB$5,CC$6&gt;=$D$129),1,0),IF(AND(CC41=CB$5,CC$6&gt;=$D$129),1,0),IF(AND(CD41=CB$5,CC$6&gt;=$D$129),1,0),IF(CB41&amp;CE41=CE$5,4,0),IF(AND(CB41=CB$5,CC$6&lt;=$D$104),-0.5,0),IF(AND(CC41=CB$5,CC$6&lt;=$D$104),-0.5,0),IF(AND(CD41=CB$5,CC$6&lt;=$D$104),-0.5,0))</f>
        <v/>
      </c>
      <c r="CG41" s="164">
        <f>IF(SEMANA29[[#This Row],[1]]="",0,$B$4)</f>
        <v/>
      </c>
      <c r="CH41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1" s="166">
        <f>IF(SEMANA29[[#This Row],[Columna14]]=0,0,(CH41/CG41))</f>
        <v/>
      </c>
      <c r="CJ41" s="165">
        <f>IF(SEMANA29[[#This Row],[1]]="",0,$B$4)</f>
        <v/>
      </c>
      <c r="CK41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1" s="166">
        <f>IF(SEMANA29[[#This Row],[Columna14]]=0,0,(CK41/CJ41))</f>
        <v/>
      </c>
      <c r="CM41" s="164">
        <f>IF(SEMANA29[[#This Row],[1]]="",0,$B$4)</f>
        <v/>
      </c>
      <c r="CN41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1" s="166">
        <f>IF(SEMANA29[[#This Row],[Columna14]]=0,0,(CN41/CM41))</f>
        <v/>
      </c>
      <c r="CP41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1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Row],[Columna25]],$AX$5,BA41,"SF")+COUNTIFS(SEMANA29[[#This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1" s="166">
        <f>IFERROR(IF(SEMANA29[[#This Row],[Columna14]]=0,0,(CQ41/CP41)),0)</f>
        <v/>
      </c>
      <c r="CS41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1" s="95">
        <f>_xlfn.XLOOKUP(SEMANA29[[#This Row],[COD]],SEMANA2[COD],SEMANA2[Columna33])</f>
        <v/>
      </c>
      <c r="CU41" s="604">
        <f>SUM(CS41,CT41)</f>
        <v/>
      </c>
      <c r="CV41" s="450">
        <f>IF(SEMANA29[[#This Row],[TIPO]]="PREMIO",$O$3,"0,00")</f>
        <v/>
      </c>
      <c r="CW41" s="576" t="n"/>
      <c r="CY41" s="392">
        <f>IF(CZ41="","",$CZ$25)</f>
        <v/>
      </c>
      <c r="CZ41" s="392" t="n"/>
      <c r="DA41" s="392">
        <f t="array" ref="DA41">IF(CZ41="", "", IF((INDEX(E$8:CE$57, MATCH(CZ41, C$8:C$57, 0), ($CZ$25-1)*5 + 1) &amp; "") = (INDEX(E$5:CE$5, 1, ($CZ$25-1)*5 + 1) &amp; ""), 1, IF((INDEX(E$8:CE$57, MATCH(CZ41, C$8:C$57, 0), ($CZ$25-1)*5 + 2) &amp; "") = (INDEX(E$5:CE$5, 1, ($CZ$25-1)*5 + 1) &amp; ""), 2, IF((INDEX(E$8:CE$57, MATCH(CZ41, C$8:C$57, 0), ($CZ$25-1)*5 + 3) &amp; "") = (INDEX(E$5:CE$5, 1, ($CZ$25-1)*5 + 1) &amp; ""), 3, ""))))</f>
        <v/>
      </c>
      <c r="DB41" s="605">
        <f>SEMANA29[[#This Row],[COD]]</f>
        <v/>
      </c>
      <c r="DC41" s="395">
        <f t="array" ref="DC41">IFERROR(IF(AND(INDEX($E$8:$CE$57, MATCH($C41, $C$8:$C$57, 0), (COLUMNS($DC41:DC41)-1)*5 + 1) = INDEX($E$5:$CE$5, 1, (COLUMNS($DC41:DC41)-1)*5 + 1), INDEX($E$8:$CE$57, MATCH($C41, $C$8:$C$57, 0), (COLUMNS($DC41:DC41)-1)*5 + 4) = "F"), INDEX($CZ$8:$CZ$23, COLUMNS($DC41:DC41)), "0"), "")</f>
        <v/>
      </c>
      <c r="DD41" s="395">
        <f t="array" ref="DD41">IFERROR(IF(AND(INDEX($E$8:$CE$57, MATCH($C41, $C$8:$C$57, 0), (COLUMNS($DC41:DD41)-1)*5 + 1) = INDEX($E$5:$CE$5, 1, (COLUMNS($DC41:DD41)-1)*5 + 1), INDEX($E$8:$CE$57, MATCH($C41, $C$8:$C$57, 0), (COLUMNS($DC41:DD41)-1)*5 + 4) = "F"), INDEX($CZ$8:$CZ$23, COLUMNS($DC41:DD41)), "0"), "")</f>
        <v/>
      </c>
      <c r="DE41" s="395">
        <f t="array" ref="DE41">IFERROR(IF(AND(INDEX($E$8:$CE$57, MATCH($C41, $C$8:$C$57, 0), (COLUMNS($DC41:DE41)-1)*5 + 1) = INDEX($E$5:$CE$5, 1, (COLUMNS($DC41:DE41)-1)*5 + 1), INDEX($E$8:$CE$57, MATCH($C41, $C$8:$C$57, 0), (COLUMNS($DC41:DE41)-1)*5 + 4) = "F"), INDEX($CZ$8:$CZ$23, COLUMNS($DC41:DE41)), "0"), "")</f>
        <v/>
      </c>
      <c r="DF41" s="395">
        <f t="array" ref="DF41">IFERROR(IF(AND(INDEX($E$8:$CE$57, MATCH($C41, $C$8:$C$57, 0), (COLUMNS($DC41:DF41)-1)*5 + 1) = INDEX($E$5:$CE$5, 1, (COLUMNS($DC41:DF41)-1)*5 + 1), INDEX($E$8:$CE$57, MATCH($C41, $C$8:$C$57, 0), (COLUMNS($DC41:DF41)-1)*5 + 4) = "F"), INDEX($CZ$8:$CZ$23, COLUMNS($DC41:DF41)), "0"), "")</f>
        <v/>
      </c>
      <c r="DG41" s="395">
        <f t="array" ref="DG41">IFERROR(IF(AND(INDEX($E$8:$CE$57, MATCH($C41, $C$8:$C$57, 0), (COLUMNS($DC41:DG41)-1)*5 + 1) = INDEX($E$5:$CE$5, 1, (COLUMNS($DC41:DG41)-1)*5 + 1), INDEX($E$8:$CE$57, MATCH($C41, $C$8:$C$57, 0), (COLUMNS($DC41:DG41)-1)*5 + 4) = "F"), INDEX($CZ$8:$CZ$23, COLUMNS($DC41:DG41)), "0"), "")</f>
        <v/>
      </c>
      <c r="DH41" s="395">
        <f t="array" ref="DH41">IFERROR(IF(AND(INDEX($E$8:$CE$57, MATCH($C41, $C$8:$C$57, 0), (COLUMNS($DC41:DH41)-1)*5 + 1) = INDEX($E$5:$CE$5, 1, (COLUMNS($DC41:DH41)-1)*5 + 1), INDEX($E$8:$CE$57, MATCH($C41, $C$8:$C$57, 0), (COLUMNS($DC41:DH41)-1)*5 + 4) = "F"), INDEX($CZ$8:$CZ$23, COLUMNS($DC41:DH41)), "0"), "")</f>
        <v/>
      </c>
      <c r="DI41" s="395">
        <f t="array" ref="DI41">IFERROR(IF(AND(INDEX($E$8:$CE$57, MATCH($C41, $C$8:$C$57, 0), (COLUMNS($DC41:DI41)-1)*5 + 1) = INDEX($E$5:$CE$5, 1, (COLUMNS($DC41:DI41)-1)*5 + 1), INDEX($E$8:$CE$57, MATCH($C41, $C$8:$C$57, 0), (COLUMNS($DC41:DI41)-1)*5 + 4) = "F"), INDEX($CZ$8:$CZ$23, COLUMNS($DC41:DI41)), "0"), "")</f>
        <v/>
      </c>
      <c r="DJ41" s="395">
        <f t="array" ref="DJ41">IFERROR(IF(AND(INDEX($E$8:$CE$57, MATCH($C41, $C$8:$C$57, 0), (COLUMNS($DC41:DJ41)-1)*5 + 1) = INDEX($E$5:$CE$5, 1, (COLUMNS($DC41:DJ41)-1)*5 + 1), INDEX($E$8:$CE$57, MATCH($C41, $C$8:$C$57, 0), (COLUMNS($DC41:DJ41)-1)*5 + 4) = "F"), INDEX($CZ$8:$CZ$23, COLUMNS($DC41:DJ41)), "0"), "")</f>
        <v/>
      </c>
      <c r="DK41" s="395">
        <f t="array" ref="DK41">IFERROR(IF(AND(INDEX($E$8:$CE$57, MATCH($C41, $C$8:$C$57, 0), (COLUMNS($DC41:DK41)-1)*5 + 1) = INDEX($E$5:$CE$5, 1, (COLUMNS($DC41:DK41)-1)*5 + 1), INDEX($E$8:$CE$57, MATCH($C41, $C$8:$C$57, 0), (COLUMNS($DC41:DK41)-1)*5 + 4) = "F"), INDEX($CZ$8:$CZ$23, COLUMNS($DC41:DK41)), "0"), "")</f>
        <v/>
      </c>
      <c r="DL41" s="395">
        <f t="array" ref="DL41">IFERROR(IF(AND(INDEX($E$8:$CE$57, MATCH($C41, $C$8:$C$57, 0), (COLUMNS($DC41:DL41)-1)*5 + 1) = INDEX($E$5:$CE$5, 1, (COLUMNS($DC41:DL41)-1)*5 + 1), INDEX($E$8:$CE$57, MATCH($C41, $C$8:$C$57, 0), (COLUMNS($DC41:DL41)-1)*5 + 4) = "F"), INDEX($CZ$8:$CZ$23, COLUMNS($DC41:DL41)), "0"), "")</f>
        <v/>
      </c>
      <c r="DM41" s="395">
        <f t="array" ref="DM41">IFERROR(IF(AND(INDEX($E$8:$CE$57, MATCH($C41, $C$8:$C$57, 0), (COLUMNS($DC41:DM41)-1)*5 + 1) = INDEX($E$5:$CE$5, 1, (COLUMNS($DC41:DM41)-1)*5 + 1), INDEX($E$8:$CE$57, MATCH($C41, $C$8:$C$57, 0), (COLUMNS($DC41:DM41)-1)*5 + 4) = "F"), INDEX($CZ$8:$CZ$23, COLUMNS($DC41:DM41)), "0"), "")</f>
        <v/>
      </c>
      <c r="DN41" s="395">
        <f t="array" ref="DN41">IFERROR(IF(AND(INDEX($E$8:$CE$57, MATCH($C41, $C$8:$C$57, 0), (COLUMNS($DC41:DN41)-1)*5 + 1) = INDEX($E$5:$CE$5, 1, (COLUMNS($DC41:DN41)-1)*5 + 1), INDEX($E$8:$CE$57, MATCH($C41, $C$8:$C$57, 0), (COLUMNS($DC41:DN41)-1)*5 + 4) = "F"), INDEX($CZ$8:$CZ$23, COLUMNS($DC41:DN41)), "0"), "")</f>
        <v/>
      </c>
      <c r="DO41" s="395">
        <f t="array" ref="DO41">IFERROR(IF(AND(INDEX($E$8:$CE$57, MATCH($C41, $C$8:$C$57, 0), (COLUMNS($DC41:DO41)-1)*5 + 1) = INDEX($E$5:$CE$5, 1, (COLUMNS($DC41:DO41)-1)*5 + 1), INDEX($E$8:$CE$57, MATCH($C41, $C$8:$C$57, 0), (COLUMNS($DC41:DO41)-1)*5 + 4) = "F"), INDEX($CZ$8:$CZ$23, COLUMNS($DC41:DO41)), "0"), "")</f>
        <v/>
      </c>
      <c r="DP41" s="395">
        <f t="array" ref="DP41">IFERROR(IF(AND(INDEX($E$8:$CE$57, MATCH($C41, $C$8:$C$57, 0), (COLUMNS($DC41:DP41)-1)*5 + 1) = INDEX($E$5:$CE$5, 1, (COLUMNS($DC41:DP41)-1)*5 + 1), INDEX($E$8:$CE$57, MATCH($C41, $C$8:$C$57, 0), (COLUMNS($DC41:DP41)-1)*5 + 4) = "F"), INDEX($CZ$8:$CZ$23, COLUMNS($DC41:DP41)), "0"), "")</f>
        <v/>
      </c>
      <c r="DQ41" s="395">
        <f t="array" ref="DQ41">IFERROR(IF(AND(INDEX($E$8:$CE$57, MATCH($C41, $C$8:$C$57, 0), (COLUMNS($DC41:DQ41)-1)*5 + 1) = INDEX($E$5:$CE$5, 1, (COLUMNS($DC41:DQ41)-1)*5 + 1), INDEX($E$8:$CE$57, MATCH($C41, $C$8:$C$57, 0), (COLUMNS($DC41:DQ41)-1)*5 + 4) = "F"), INDEX($CZ$8:$CZ$23, COLUMNS($DC41:DQ41)), "0"), "")</f>
        <v/>
      </c>
      <c r="DR41" s="395">
        <f t="array" ref="DR41">IFERROR(IF(AND(INDEX($E$8:$CE$57, MATCH($C41, $C$8:$C$57, 0), (COLUMNS($DC41:DR41)-1)*5 + 1) = INDEX($E$5:$CE$5, 1, (COLUMNS($DC41:DR41)-1)*5 + 1), INDEX($E$8:$CE$57, MATCH($C41, $C$8:$C$57, 0), (COLUMNS($DC41:DR41)-1)*5 + 4) = "F"), INDEX($CZ$8:$CZ$23, COLUMNS($DC41:DR41)), "0"), "")</f>
        <v/>
      </c>
      <c r="DT41" s="605">
        <f>SEMANA29[[#This Row],[COD]]</f>
        <v/>
      </c>
      <c r="DU41" s="395">
        <f t="array" ref="DU41">IFERROR(IF(AND(INDEX($E$8:$CE$57, MATCH($C41, $C$8:$C$57, 0), (COLUMNS($DU41:DU41)-1)*5 + 1) = INDEX($E$5:$CE$5, 1, (COLUMNS($DU41:DU41)-1)*5 + 1), INDEX($E$8:$CE$57, MATCH($C41, $C$8:$C$57, 0), (COLUMNS($DU41:DU41)-1)*5 + 4) = "SF"), INDEX($CZ$8:$CZ$23, COLUMNS($DU41:DU41)), "0"), "")</f>
        <v/>
      </c>
      <c r="DV41" s="395">
        <f t="array" ref="DV41">IFERROR(IF(AND(INDEX($E$8:$CE$57, MATCH($C41, $C$8:$C$57, 0), (COLUMNS($DU41:DV41)-1)*5 + 1) = INDEX($E$5:$CE$5, 1, (COLUMNS($DU41:DV41)-1)*5 + 1), INDEX($E$8:$CE$57, MATCH($C41, $C$8:$C$57, 0), (COLUMNS($DU41:DV41)-1)*5 + 4) = "SF"), INDEX($CZ$8:$CZ$23, COLUMNS($DU41:DV41)), "0"), "")</f>
        <v/>
      </c>
      <c r="DW41" s="395">
        <f t="array" ref="DW41">IFERROR(IF(AND(INDEX($E$8:$CE$57, MATCH($C41, $C$8:$C$57, 0), (COLUMNS($DU41:DW41)-1)*5 + 1) = INDEX($E$5:$CE$5, 1, (COLUMNS($DU41:DW41)-1)*5 + 1), INDEX($E$8:$CE$57, MATCH($C41, $C$8:$C$57, 0), (COLUMNS($DU41:DW41)-1)*5 + 4) = "SF"), INDEX($CZ$8:$CZ$23, COLUMNS($DU41:DW41)), "0"), "")</f>
        <v/>
      </c>
      <c r="DX41" s="395">
        <f t="array" ref="DX41">IFERROR(IF(AND(INDEX($E$8:$CE$57, MATCH($C41, $C$8:$C$57, 0), (COLUMNS($DU41:DX41)-1)*5 + 1) = INDEX($E$5:$CE$5, 1, (COLUMNS($DU41:DX41)-1)*5 + 1), INDEX($E$8:$CE$57, MATCH($C41, $C$8:$C$57, 0), (COLUMNS($DU41:DX41)-1)*5 + 4) = "SF"), INDEX($CZ$8:$CZ$23, COLUMNS($DU41:DX41)), "0"), "")</f>
        <v/>
      </c>
      <c r="DY41" s="395">
        <f t="array" ref="DY41">IFERROR(IF(AND(INDEX($E$8:$CE$57, MATCH($C41, $C$8:$C$57, 0), (COLUMNS($DU41:DY41)-1)*5 + 1) = INDEX($E$5:$CE$5, 1, (COLUMNS($DU41:DY41)-1)*5 + 1), INDEX($E$8:$CE$57, MATCH($C41, $C$8:$C$57, 0), (COLUMNS($DU41:DY41)-1)*5 + 4) = "SF"), INDEX($CZ$8:$CZ$23, COLUMNS($DU41:DY41)), "0"), "")</f>
        <v/>
      </c>
      <c r="DZ41" s="395">
        <f t="array" ref="DZ41">IFERROR(IF(AND(INDEX($E$8:$CE$57, MATCH($C41, $C$8:$C$57, 0), (COLUMNS($DU41:DZ41)-1)*5 + 1) = INDEX($E$5:$CE$5, 1, (COLUMNS($DU41:DZ41)-1)*5 + 1), INDEX($E$8:$CE$57, MATCH($C41, $C$8:$C$57, 0), (COLUMNS($DU41:DZ41)-1)*5 + 4) = "SF"), INDEX($CZ$8:$CZ$23, COLUMNS($DU41:DZ41)), "0"), "")</f>
        <v/>
      </c>
      <c r="EA41" s="395">
        <f t="array" ref="EA41">IFERROR(IF(AND(INDEX($E$8:$CE$57, MATCH($C41, $C$8:$C$57, 0), (COLUMNS($DU41:EA41)-1)*5 + 1) = INDEX($E$5:$CE$5, 1, (COLUMNS($DU41:EA41)-1)*5 + 1), INDEX($E$8:$CE$57, MATCH($C41, $C$8:$C$57, 0), (COLUMNS($DU41:EA41)-1)*5 + 4) = "SF"), INDEX($CZ$8:$CZ$23, COLUMNS($DU41:EA41)), "0"), "")</f>
        <v/>
      </c>
      <c r="EB41" s="395">
        <f t="array" ref="EB41">IFERROR(IF(AND(INDEX($E$8:$CE$57, MATCH($C41, $C$8:$C$57, 0), (COLUMNS($DU41:EB41)-1)*5 + 1) = INDEX($E$5:$CE$5, 1, (COLUMNS($DU41:EB41)-1)*5 + 1), INDEX($E$8:$CE$57, MATCH($C41, $C$8:$C$57, 0), (COLUMNS($DU41:EB41)-1)*5 + 4) = "SF"), INDEX($CZ$8:$CZ$23, COLUMNS($DU41:EB41)), "0"), "")</f>
        <v/>
      </c>
      <c r="EC41" s="395">
        <f t="array" ref="EC41">IFERROR(IF(AND(INDEX($E$8:$CE$57, MATCH($C41, $C$8:$C$57, 0), (COLUMNS($DU41:EC41)-1)*5 + 1) = INDEX($E$5:$CE$5, 1, (COLUMNS($DU41:EC41)-1)*5 + 1), INDEX($E$8:$CE$57, MATCH($C41, $C$8:$C$57, 0), (COLUMNS($DU41:EC41)-1)*5 + 4) = "SF"), INDEX($CZ$8:$CZ$23, COLUMNS($DU41:EC41)), "0"), "")</f>
        <v/>
      </c>
      <c r="ED41" s="395">
        <f t="array" ref="ED41">IFERROR(IF(AND(INDEX($E$8:$CE$57, MATCH($C41, $C$8:$C$57, 0), (COLUMNS($DU41:ED41)-1)*5 + 1) = INDEX($E$5:$CE$5, 1, (COLUMNS($DU41:ED41)-1)*5 + 1), INDEX($E$8:$CE$57, MATCH($C41, $C$8:$C$57, 0), (COLUMNS($DU41:ED41)-1)*5 + 4) = "SF"), INDEX($CZ$8:$CZ$23, COLUMNS($DU41:ED41)), "0"), "")</f>
        <v/>
      </c>
      <c r="EE41" s="395">
        <f t="array" ref="EE41">IFERROR(IF(AND(INDEX($E$8:$CE$57, MATCH($C41, $C$8:$C$57, 0), (COLUMNS($DU41:EE41)-1)*5 + 1) = INDEX($E$5:$CE$5, 1, (COLUMNS($DU41:EE41)-1)*5 + 1), INDEX($E$8:$CE$57, MATCH($C41, $C$8:$C$57, 0), (COLUMNS($DU41:EE41)-1)*5 + 4) = "SF"), INDEX($CZ$8:$CZ$23, COLUMNS($DU41:EE41)), "0"), "")</f>
        <v/>
      </c>
      <c r="EF41" s="395">
        <f t="array" ref="EF41">IFERROR(IF(AND(INDEX($E$8:$CE$57, MATCH($C41, $C$8:$C$57, 0), (COLUMNS($DU41:EF41)-1)*5 + 1) = INDEX($E$5:$CE$5, 1, (COLUMNS($DU41:EF41)-1)*5 + 1), INDEX($E$8:$CE$57, MATCH($C41, $C$8:$C$57, 0), (COLUMNS($DU41:EF41)-1)*5 + 4) = "SF"), INDEX($CZ$8:$CZ$23, COLUMNS($DU41:EF41)), "0"), "")</f>
        <v/>
      </c>
      <c r="EG41" s="395">
        <f t="array" ref="EG41">IFERROR(IF(AND(INDEX($E$8:$CE$57, MATCH($C41, $C$8:$C$57, 0), (COLUMNS($DU41:EG41)-1)*5 + 1) = INDEX($E$5:$CE$5, 1, (COLUMNS($DU41:EG41)-1)*5 + 1), INDEX($E$8:$CE$57, MATCH($C41, $C$8:$C$57, 0), (COLUMNS($DU41:EG41)-1)*5 + 4) = "SF"), INDEX($CZ$8:$CZ$23, COLUMNS($DU41:EG41)), "0"), "")</f>
        <v/>
      </c>
      <c r="EH41" s="395">
        <f t="array" ref="EH41">IFERROR(IF(AND(INDEX($E$8:$CE$57, MATCH($C41, $C$8:$C$57, 0), (COLUMNS($DU41:EH41)-1)*5 + 1) = INDEX($E$5:$CE$5, 1, (COLUMNS($DU41:EH41)-1)*5 + 1), INDEX($E$8:$CE$57, MATCH($C41, $C$8:$C$57, 0), (COLUMNS($DU41:EH41)-1)*5 + 4) = "SF"), INDEX($CZ$8:$CZ$23, COLUMNS($DU41:EH41)), "0"), "")</f>
        <v/>
      </c>
      <c r="EI41" s="395">
        <f t="array" ref="EI41">IFERROR(IF(AND(INDEX($E$8:$CE$57, MATCH($C41, $C$8:$C$57, 0), (COLUMNS($DU41:EI41)-1)*5 + 1) = INDEX($E$5:$CE$5, 1, (COLUMNS($DU41:EI41)-1)*5 + 1), INDEX($E$8:$CE$57, MATCH($C41, $C$8:$C$57, 0), (COLUMNS($DU41:EI41)-1)*5 + 4) = "SF"), INDEX($CZ$8:$CZ$23, COLUMNS($DU41:EI41)), "0"), "")</f>
        <v/>
      </c>
      <c r="EJ41" s="395">
        <f t="array" ref="EJ41">IFERROR(IF(AND(INDEX($E$8:$CE$57, MATCH($C41, $C$8:$C$57, 0), (COLUMNS($DU41:EJ41)-1)*5 + 1) = INDEX($E$5:$CE$5, 1, (COLUMNS($DU41:EJ41)-1)*5 + 1), INDEX($E$8:$CE$57, MATCH($C41, $C$8:$C$57, 0), (COLUMNS($DU41:EJ41)-1)*5 + 4) = "SF"), INDEX($CZ$8:$CZ$23, COLUMNS($DU41:EJ41)), "0"), "")</f>
        <v/>
      </c>
    </row>
    <row r="42" ht="20.1" customHeight="1" s="568">
      <c r="A42" s="576" t="n"/>
      <c r="B42" s="449">
        <f>IF(SEMANA29[[#This Row],[COD]]&lt;&gt;"",B41+1,"")</f>
        <v/>
      </c>
      <c r="C42" s="622" t="inlineStr">
        <is>
          <t>COD 35</t>
        </is>
      </c>
      <c r="D42" s="415">
        <f t="array" ref="D42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2" s="416" t="n"/>
      <c r="F42" s="418" t="n"/>
      <c r="G42" s="418" t="n"/>
      <c r="H42" s="418" t="n"/>
      <c r="I42" s="602">
        <f>SUM(IF(E42=E$5,4,0),IF(E42&amp;F42=E$5&amp;F$5,1,0),
IF(AND(E42=E$5,F$6&gt;=$D$115),1,0),
IF(AND(F42=E$5,F$6&gt;=$D$115),1,0),
IF(AND(G42=E$5,F$6&gt;=$D$115),1,0),
IF(E42&amp;H42=I$5,1,0),
IF(F42=E$5,2,0),
IF(G42=E$5,1,0),
IF(OR(E42&amp;F42&amp;G42=E$5&amp;F$5&amp;G$5,E42&amp;F42&amp;G42=E$5&amp;G$5&amp;F$5,E42&amp;F42&amp;G42=F$5&amp;E$5&amp;G$5,E42&amp;F42&amp;G42=F$5&amp;G$5&amp;E$5,E42&amp;F42&amp;G42=G$5&amp;E$5&amp;F$5,E42&amp;F42&amp;G42=G$5&amp;F$5&amp;E$5),2,0),IF(AND(E42=E$5,F$6&gt;=$D$129),1,0),IF(AND(F42=E$5,F$6&gt;=$D$129),1,0),IF(AND(G42=E$5,F$6&gt;=$D$129),1,0),IF(E42&amp;H42=H$5,4,0),IF(AND(E42=E$5,F$6&lt;=$D$104),-0.5,0),IF(AND(F42=E$5,F$6&lt;=$D$104),-0.5,0),IF(AND(G42=E$5,F$6&lt;=$D$104),-0.5,0))</f>
        <v/>
      </c>
      <c r="J42" s="416" t="n"/>
      <c r="K42" s="418" t="n"/>
      <c r="L42" s="418" t="n"/>
      <c r="M42" s="418" t="n"/>
      <c r="N42" s="602">
        <f>SUM(IF(J42=J$5,4,0),IF(J42&amp;K42=J$5&amp;K$5,1,0),
IF(AND(J42=J$5,K$6&gt;=$D$115),1,0),
IF(AND(K42=J$5,K$6&gt;=$D$115),1,0),
IF(AND(L42=J$5,K$6&gt;=$D$115),1,0),
IF(J42&amp;M42=N$5,1,0),
IF(K42=J$5,2,0),
IF(L42=J$5,1,0),
IF(OR(J42&amp;K42&amp;L42=J$5&amp;K$5&amp;L$5,J42&amp;K42&amp;L42=J$5&amp;L$5&amp;K$5,J42&amp;K42&amp;L42=K$5&amp;J$5&amp;L$5,J42&amp;K42&amp;L42=K$5&amp;L$5&amp;J$5,J42&amp;K42&amp;L42=L$5&amp;J$5&amp;K$5,J42&amp;K42&amp;L42=L$5&amp;K$5&amp;J$5),2,0),IF(AND(J42=J$5,K$6&gt;=$D$129),1,0),IF(AND(K42=J$5,K$6&gt;=$D$129),1,0),IF(AND(L42=J$5,K$6&gt;=$D$129),1,0),IF(J42&amp;M42=M$5,4,0),IF(AND(J42=J$5,K$6&lt;=$D$104),-0.5,0),IF(AND(K42=J$5,K$6&lt;=$D$104),-0.5,0),IF(AND(L42=J$5,K$6&lt;=$D$104),-0.5,0))</f>
        <v/>
      </c>
      <c r="O42" s="416" t="n"/>
      <c r="P42" s="418" t="n"/>
      <c r="Q42" s="418" t="n"/>
      <c r="R42" s="418" t="n"/>
      <c r="S42" s="602">
        <f>SUM(IF(O42=O$5,4,0),IF(O42&amp;P42=O$5&amp;P$5,1,0),
IF(AND(O42=O$5,P$6&gt;=$D$115),1,0),
IF(AND(P42=O$5,P$6&gt;=$D$115),1,0),
IF(AND(Q42=O$5,P$6&gt;=$D$115),1,0),
IF(O42&amp;R42=S$5,1,0),
IF(P42=O$5,2,0),
IF(Q42=O$5,1,0),
IF(OR(O42&amp;P42&amp;Q42=O$5&amp;P$5&amp;Q$5,O42&amp;P42&amp;Q42=O$5&amp;Q$5&amp;P$5,O42&amp;P42&amp;Q42=P$5&amp;O$5&amp;Q$5,O42&amp;P42&amp;Q42=P$5&amp;Q$5&amp;O$5,O42&amp;P42&amp;Q42=Q$5&amp;O$5&amp;P$5,O42&amp;P42&amp;Q42=Q$5&amp;P$5&amp;O$5),2,0),IF(AND(O42=O$5,P$6&gt;=$D$129),1,0),IF(AND(P42=O$5,P$6&gt;=$D$129),1,0),IF(AND(Q42=O$5,P$6&gt;=$D$129),1,0),IF(O42&amp;R42=R$5,4,0),IF(AND(O42=O$5,P$6&lt;=$D$104),-0.5,0),IF(AND(P42=O$5,P$6&lt;=$D$104),-0.5,0),IF(AND(Q42=O$5,P$6&lt;=$D$104),-0.5,0))</f>
        <v/>
      </c>
      <c r="T42" s="416" t="n"/>
      <c r="U42" s="418" t="n"/>
      <c r="V42" s="418" t="n"/>
      <c r="W42" s="418" t="n"/>
      <c r="X42" s="602">
        <f>SUM(IF(T42=T$5,4,0),IF(T42&amp;U42=T$5&amp;U$5,1,0),
IF(AND(T42=T$5,U$6&gt;=$D$115),1,0),
IF(AND(U42=T$5,U$6&gt;=$D$115),1,0),
IF(AND(V42=T$5,U$6&gt;=$D$115),1,0),
IF(T42&amp;W42=X$5,1,0),
IF(U42=T$5,2,0),
IF(V42=T$5,1,0),
IF(OR(T42&amp;U42&amp;V42=T$5&amp;U$5&amp;V$5,T42&amp;U42&amp;V42=T$5&amp;V$5&amp;U$5,T42&amp;U42&amp;V42=U$5&amp;T$5&amp;V$5,T42&amp;U42&amp;V42=U$5&amp;V$5&amp;T$5,T42&amp;U42&amp;V42=V$5&amp;T$5&amp;U$5,T42&amp;U42&amp;V42=V$5&amp;U$5&amp;T$5),2,0),IF(AND(T42=T$5,U$6&gt;=$D$129),1,0),IF(AND(U42=T$5,U$6&gt;=$D$129),1,0),IF(AND(V42=T$5,U$6&gt;=$D$129),1,0),IF(T42&amp;W42=W$5,4,0),IF(AND(T42=T$5,U$6&lt;=$D$104),-0.5,0),IF(AND(U42=T$5,U$6&lt;=$D$104),-0.5,0),IF(AND(V42=T$5,U$6&lt;=$D$104),-0.5,0))</f>
        <v/>
      </c>
      <c r="Y42" s="416" t="n"/>
      <c r="Z42" s="418" t="n"/>
      <c r="AA42" s="418" t="n"/>
      <c r="AB42" s="418" t="n"/>
      <c r="AC42" s="602">
        <f>SUM(IF(Y42=Y$5,4,0),IF(Y42&amp;Z42=Y$5&amp;Z$5,1,0),
IF(AND(Y42=Y$5,Z$6&gt;=$D$115),1,0),
IF(AND(Z42=Y$5,Z$6&gt;=$D$115),1,0),
IF(AND(AA42=Y$5,Z$6&gt;=$D$115),1,0),
IF(Y42&amp;AB42=AC$5,1,0),
IF(Z42=Y$5,2,0),
IF(AA42=Y$5,1,0),
IF(OR(Y42&amp;Z42&amp;AA42=Y$5&amp;Z$5&amp;AA$5,Y42&amp;Z42&amp;AA42=Y$5&amp;AA$5&amp;Z$5,Y42&amp;Z42&amp;AA42=Z$5&amp;Y$5&amp;AA$5,Y42&amp;Z42&amp;AA42=Z$5&amp;AA$5&amp;Y$5,Y42&amp;Z42&amp;AA42=AA$5&amp;Y$5&amp;Z$5,Y42&amp;Z42&amp;AA42=AA$5&amp;Z$5&amp;Y$5),2,0),IF(AND(Y42=Y$5,Z$6&gt;=$D$129),1,0),IF(AND(Z42=Y$5,Z$6&gt;=$D$129),1,0),IF(AND(AA42=Y$5,Z$6&gt;=$D$129),1,0),IF(Y42&amp;AB42=AB$5,4,0),IF(AND(Y42=Y$5,Z$6&lt;=$D$104),-0.5,0),IF(AND(Z42=Y$5,Z$6&lt;=$D$104),-0.5,0),IF(AND(AA42=Y$5,Z$6&lt;=$D$104),-0.5,0))</f>
        <v/>
      </c>
      <c r="AD42" s="416" t="n"/>
      <c r="AE42" s="418" t="n"/>
      <c r="AF42" s="418" t="n"/>
      <c r="AG42" s="418" t="n"/>
      <c r="AH42" s="602">
        <f>SUM(IF(AD42=AD$5,4,0),IF(AD42&amp;AE42=AD$5&amp;AE$5,1,0),
IF(AND(AD42=AD$5,AE$6&gt;=$D$115),1,0),
IF(AND(AE42=AD$5,AE$6&gt;=$D$115),1,0),
IF(AND(AF42=AD$5,AE$6&gt;=$D$115),1,0),
IF(AD42&amp;AG42=AH$5,1,0),
IF(AE42=AD$5,2,0),
IF(AF42=AD$5,1,0),
IF(OR(AD42&amp;AE42&amp;AF42=AD$5&amp;AE$5&amp;AF$5,AD42&amp;AE42&amp;AF42=AD$5&amp;AF$5&amp;AE$5,AD42&amp;AE42&amp;AF42=AE$5&amp;AD$5&amp;AF$5,AD42&amp;AE42&amp;AF42=AE$5&amp;AF$5&amp;AD$5,AD42&amp;AE42&amp;AF42=AF$5&amp;AD$5&amp;AE$5,AD42&amp;AE42&amp;AF42=AF$5&amp;AE$5&amp;AD$5),2,0),IF(AND(AD42=AD$5,AE$6&gt;=$D$129),1,0),IF(AND(AE42=AD$5,AE$6&gt;=$D$129),1,0),IF(AND(AF42=AD$5,AE$6&gt;=$D$129),1,0),IF(AD42&amp;AG42=AG$5,4,0),IF(AND(AD42=AD$5,AE$6&lt;=$D$104),-0.5,0),IF(AND(AE42=AD$5,AE$6&lt;=$D$104),-0.5,0),IF(AND(AF42=AD$5,AE$6&lt;=$D$104),-0.5,0))</f>
        <v/>
      </c>
      <c r="AI42" s="416" t="n"/>
      <c r="AJ42" s="418" t="n"/>
      <c r="AK42" s="418" t="n"/>
      <c r="AL42" s="418" t="n"/>
      <c r="AM42" s="602">
        <f>SUM(IF(AI42=AI$5,4,0),IF(AI42&amp;AJ42=AI$5&amp;AJ$5,1,0),
IF(AND(AI42=AI$5,AJ$6&gt;=$D$115),1,0),
IF(AND(AJ42=AI$5,AJ$6&gt;=$D$115),1,0),
IF(AND(AK42=AI$5,AJ$6&gt;=$D$115),1,0),
IF(AI42&amp;AL42=AM$5,1,0),
IF(AJ42=AI$5,2,0),
IF(AK42=AI$5,1,0),
IF(OR(AI42&amp;AJ42&amp;AK42=AI$5&amp;AJ$5&amp;AK$5,AI42&amp;AJ42&amp;AK42=AI$5&amp;AK$5&amp;AJ$5,AI42&amp;AJ42&amp;AK42=AJ$5&amp;AI$5&amp;AK$5,AI42&amp;AJ42&amp;AK42=AJ$5&amp;AK$5&amp;AI$5,AI42&amp;AJ42&amp;AK42=AK$5&amp;AI$5&amp;AJ$5,AI42&amp;AJ42&amp;AK42=AK$5&amp;AJ$5&amp;AI$5),2,0),IF(AND(AI42=AI$5,AJ$6&gt;=$D$129),1,0),IF(AND(AJ42=AI$5,AJ$6&gt;=$D$129),1,0),IF(AND(AK42=AI$5,AJ$6&gt;=$D$129),1,0),IF(AI42&amp;AL42=AL$5,4,0),IF(AND(AI42=AI$5,AJ$6&lt;=$D$104),-0.5,0),IF(AND(AJ42=AI$5,AJ$6&lt;=$D$104),-0.5,0),IF(AND(AK42=AI$5,AJ$6&lt;=$D$104),-0.5,0))</f>
        <v/>
      </c>
      <c r="AN42" s="416" t="n"/>
      <c r="AO42" s="418" t="n"/>
      <c r="AP42" s="418" t="n"/>
      <c r="AQ42" s="418" t="n"/>
      <c r="AR42" s="602">
        <f>SUM(IF(AN42=AN$5,4,0),IF(AN42&amp;AO42=AN$5&amp;AO$5,1,0),
IF(AND(AN42=AN$5,AO$6&gt;=$D$115),1,0),
IF(AND(AO42=AN$5,AO$6&gt;=$D$115),1,0),
IF(AND(AP42=AN$5,AO$6&gt;=$D$115),1,0),
IF(AN42&amp;AQ42=AR$5,1,0),
IF(AO42=AN$5,2,0),
IF(AP42=AN$5,1,0),
IF(OR(AN42&amp;AO42&amp;AP42=AN$5&amp;AO$5&amp;AP$5,AN42&amp;AO42&amp;AP42=AN$5&amp;AP$5&amp;AO$5,AN42&amp;AO42&amp;AP42=AO$5&amp;AN$5&amp;AP$5,AN42&amp;AO42&amp;AP42=AO$5&amp;AP$5&amp;AN$5,AN42&amp;AO42&amp;AP42=AP$5&amp;AN$5&amp;AO$5,AN42&amp;AO42&amp;AP42=AP$5&amp;AO$5&amp;AN$5),2,0),IF(AND(AN42=AN$5,AO$6&gt;=$D$129),1,0),IF(AND(AO42=AN$5,AO$6&gt;=$D$129),1,0),IF(AND(AP42=AN$5,AO$6&gt;=$D$129),1,0),IF(AN42&amp;AQ42=AQ$5,4,0),IF(AND(AN42=AN$5,AO$6&lt;=$D$104),-0.5,0),IF(AND(AO42=AN$5,AO$6&lt;=$D$104),-0.5,0),IF(AND(AP42=AN$5,AO$6&lt;=$D$104),-0.5,0))</f>
        <v/>
      </c>
      <c r="AS42" s="416" t="n"/>
      <c r="AT42" s="418" t="n"/>
      <c r="AU42" s="418" t="n"/>
      <c r="AV42" s="418" t="n"/>
      <c r="AW42" s="602">
        <f>SUM(IF(AS42=AS$5,4,0),IF(AS42&amp;AT42=AS$5&amp;AT$5,1,0),
IF(AND(AS42=AS$5,AT$6&gt;=$D$115),1,0),
IF(AND(AT42=AS$5,AT$6&gt;=$D$115),1,0),
IF(AND(AU42=AS$5,AT$6&gt;=$D$115),1,0),
IF(AS42&amp;AV42=AW$5,1,0),
IF(AT42=AS$5,2,0),
IF(AU42=AS$5,1,0),
IF(OR(AS42&amp;AT42&amp;AU42=AS$5&amp;AT$5&amp;AU$5,AS42&amp;AT42&amp;AU42=AS$5&amp;AU$5&amp;AT$5,AS42&amp;AT42&amp;AU42=AT$5&amp;AS$5&amp;AU$5,AS42&amp;AT42&amp;AU42=AT$5&amp;AU$5&amp;AS$5,AS42&amp;AT42&amp;AU42=AU$5&amp;AS$5&amp;AT$5,AS42&amp;AT42&amp;AU42=AU$5&amp;AT$5&amp;AS$5),2,0),IF(AND(AS42=AS$5,AT$6&gt;=$D$129),1,0),IF(AND(AT42=AS$5,AT$6&gt;=$D$129),1,0),IF(AND(AU42=AS$5,AT$6&gt;=$D$129),1,0),IF(AS42&amp;AV42=AV$5,4,0),IF(AND(AS42=AS$5,AT$6&lt;=$D$104),-0.5,0),IF(AND(AT42=AS$5,AT$6&lt;=$D$104),-0.5,0),IF(AND(AU42=AS$5,AT$6&lt;=$D$104),-0.5,0))</f>
        <v/>
      </c>
      <c r="AX42" s="416" t="n"/>
      <c r="AY42" s="418" t="n"/>
      <c r="AZ42" s="418" t="n"/>
      <c r="BA42" s="418" t="n"/>
      <c r="BB42" s="602">
        <f>SUM(IF(AX42=AX$5,4,0),IF(AX42&amp;AY42=AX$5&amp;AY$5,1,0),
IF(AND(AX42=AX$5,AY$6&gt;=$D$115),1,0),
IF(AND(AY42=AX$5,AY$6&gt;=$D$115),1,0),
IF(AND(AZ42=AX$5,AY$6&gt;=$D$115),1,0),
IF(AX42&amp;BA42=BB$5,1,0),
IF(AY42=AX$5,2,0),
IF(AZ42=AX$5,1,0),
IF(OR(AX42&amp;AY42&amp;AZ42=AX$5&amp;AY$5&amp;AZ$5,AX42&amp;AY42&amp;AZ42=AX$5&amp;AZ$5&amp;AY$5,AX42&amp;AY42&amp;AZ42=AY$5&amp;AX$5&amp;AZ$5,AX42&amp;AY42&amp;AZ42=AY$5&amp;AZ$5&amp;AX$5,AX42&amp;AY42&amp;AZ42=AZ$5&amp;AX$5&amp;AY$5,AX42&amp;AY42&amp;AZ42=AZ$5&amp;AY$5&amp;AX$5),2,0),IF(AND(AX42=AX$5,AY$6&gt;=$D$129),1,0),IF(AND(AY42=AX$5,AY$6&gt;=$D$129),1,0),IF(AND(AZ42=AX$5,AY$6&gt;=$D$129),1,0),IF(AX42&amp;BA42=BA$5,4,0),IF(AND(AX42=AX$5,AY$6&lt;=$D$104),-0.5,0),IF(AND(AY42=AX$5,AY$6&lt;=$D$104),-0.5,0),IF(AND(AZ42=AX$5,AY$6&lt;=$D$104),-0.5,0))</f>
        <v/>
      </c>
      <c r="BC42" s="416" t="n"/>
      <c r="BD42" s="418" t="n"/>
      <c r="BE42" s="418" t="n"/>
      <c r="BF42" s="418" t="n"/>
      <c r="BG42" s="602">
        <f>SUM(IF(BC42=BC$5,4,0),IF(BC42&amp;BD42=BC$5&amp;BD$5,1,0),
IF(AND(BC42=BC$5,BD$6&gt;=$D$115),1,0),
IF(AND(BD42=BC$5,BD$6&gt;=$D$115),1,0),
IF(AND(BE42=BC$5,BD$6&gt;=$D$115),1,0),
IF(BC42&amp;BF42=BG$5,1,0),
IF(BD42=BC$5,2,0),
IF(BE42=BC$5,1,0),
IF(OR(BC42&amp;BD42&amp;BE42=BC$5&amp;BD$5&amp;BE$5,BC42&amp;BD42&amp;BE42=BC$5&amp;BE$5&amp;BD$5,BC42&amp;BD42&amp;BE42=BD$5&amp;BC$5&amp;BE$5,BC42&amp;BD42&amp;BE42=BD$5&amp;BE$5&amp;BC$5,BC42&amp;BD42&amp;BE42=BE$5&amp;BC$5&amp;BD$5,BC42&amp;BD42&amp;BE42=BE$5&amp;BD$5&amp;BC$5),2,0),IF(AND(BC42=BC$5,BD$6&gt;=$D$129),1,0),IF(AND(BD42=BC$5,BD$6&gt;=$D$129),1,0),IF(AND(BE42=BC$5,BD$6&gt;=$D$129),1,0),IF(BC42&amp;BF42=BF$5,4,0),IF(AND(BC42=BC$5,BD$6&lt;=$D$104),-0.5,0),IF(AND(BD42=BC$5,BD$6&lt;=$D$104),-0.5,0),IF(AND(BE42=BC$5,BD$6&lt;=$D$104),-0.5,0))</f>
        <v/>
      </c>
      <c r="BH42" s="416" t="n"/>
      <c r="BI42" s="418" t="n"/>
      <c r="BJ42" s="418" t="n"/>
      <c r="BK42" s="418" t="n"/>
      <c r="BL42" s="602">
        <f>SUM(IF(BH42=BH$5,4,0),IF(BH42&amp;BI42=BH$5&amp;BI$5,1,0),
IF(AND(BH42=BH$5,BI$6&gt;=$D$115),1,0),
IF(AND(BI42=BH$5,BI$6&gt;=$D$115),1,0),
IF(AND(BJ42=BH$5,BI$6&gt;=$D$115),1,0),
IF(BH42&amp;BK42=BL$5,1,0),
IF(BI42=BH$5,2,0),
IF(BJ42=BH$5,1,0),
IF(OR(BH42&amp;BI42&amp;BJ42=BH$5&amp;BI$5&amp;BJ$5,BH42&amp;BI42&amp;BJ42=BH$5&amp;BJ$5&amp;BI$5,BH42&amp;BI42&amp;BJ42=BI$5&amp;BH$5&amp;BJ$5,BH42&amp;BI42&amp;BJ42=BI$5&amp;BJ$5&amp;BH$5,BH42&amp;BI42&amp;BJ42=BJ$5&amp;BH$5&amp;BI$5,BH42&amp;BI42&amp;BJ42=BJ$5&amp;BI$5&amp;BH$5),2,0),IF(AND(BH42=BH$5,BI$6&gt;=$D$129),1,0),IF(AND(BI42=BH$5,BI$6&gt;=$D$129),1,0),IF(AND(BJ42=BH$5,BI$6&gt;=$D$129),1,0),IF(BH42&amp;BK42=BK$5,4,0),IF(AND(BH42=BH$5,BI$6&lt;=$D$104),-0.5,0),IF(AND(BI42=BH$5,BI$6&lt;=$D$104),-0.5,0),IF(AND(BJ42=BH$5,BI$6&lt;=$D$104),-0.5,0))</f>
        <v/>
      </c>
      <c r="BM42" s="416" t="n"/>
      <c r="BN42" s="418" t="n"/>
      <c r="BO42" s="418" t="n"/>
      <c r="BP42" s="418" t="n"/>
      <c r="BQ42" s="602">
        <f>SUM(IF(BM42=BM$5,4,0),IF(BM42&amp;BN42=BM$5&amp;BN$5,1,0),
IF(AND(BM42=BM$5,BN$6&gt;=$D$115),1,0),
IF(AND(BN42=BM$5,BN$6&gt;=$D$115),1,0),
IF(AND(BO42=BM$5,BN$6&gt;=$D$115),1,0),
IF(BM42&amp;BP42=BQ$5,1,0),
IF(BN42=BM$5,2,0),
IF(BO42=BM$5,1,0),
IF(OR(BM42&amp;BN42&amp;BO42=BM$5&amp;BN$5&amp;BO$5,BM42&amp;BN42&amp;BO42=BM$5&amp;BO$5&amp;BN$5,BM42&amp;BN42&amp;BO42=BN$5&amp;BM$5&amp;BO$5,BM42&amp;BN42&amp;BO42=BN$5&amp;BO$5&amp;BM$5,BM42&amp;BN42&amp;BO42=BO$5&amp;BM$5&amp;BN$5,BM42&amp;BN42&amp;BO42=BO$5&amp;BN$5&amp;BM$5),2,0),IF(AND(BM42=BM$5,BN$6&gt;=$D$129),1,0),IF(AND(BN42=BM$5,BN$6&gt;=$D$129),1,0),IF(AND(BO42=BM$5,BN$6&gt;=$D$129),1,0),IF(BM42&amp;BP42=BP$5,4,0),IF(AND(BM42=BM$5,BN$6&lt;=$D$104),-0.5,0),IF(AND(BN42=BM$5,BN$6&lt;=$D$104),-0.5,0),IF(AND(BO42=BM$5,BN$6&lt;=$D$104),-0.5,0))</f>
        <v/>
      </c>
      <c r="BR42" s="416" t="n"/>
      <c r="BS42" s="418" t="n"/>
      <c r="BT42" s="418" t="n"/>
      <c r="BU42" s="418" t="n"/>
      <c r="BV42" s="602">
        <f>SUM(IF(BR42=BR$5,4,0),IF(BR42&amp;BS42=BR$5&amp;BS$5,1,0),
IF(AND(BR42=BR$5,BS$6&gt;=$D$115),1,0),
IF(AND(BS42=BR$5,BS$6&gt;=$D$115),1,0),
IF(AND(BT42=BR$5,BS$6&gt;=$D$115),1,0),
IF(BR42&amp;BU42=BV$5,1,0),
IF(BS42=BR$5,2,0),
IF(BT42=BR$5,1,0),
IF(OR(BR42&amp;BS42&amp;BT42=BR$5&amp;BS$5&amp;BT$5,BR42&amp;BS42&amp;BT42=BR$5&amp;BT$5&amp;BS$5,BR42&amp;BS42&amp;BT42=BS$5&amp;BR$5&amp;BT$5,BR42&amp;BS42&amp;BT42=BS$5&amp;BT$5&amp;BR$5,BR42&amp;BS42&amp;BT42=BT$5&amp;BR$5&amp;BS$5,BR42&amp;BS42&amp;BT42=BT$5&amp;BS$5&amp;BR$5),2,0),IF(AND(BR42=BR$5,BS$6&gt;=$D$129),1,0),IF(AND(BS42=BR$5,BS$6&gt;=$D$129),1,0),IF(AND(BT42=BR$5,BS$6&gt;=$D$129),1,0),IF(BR42&amp;BU42=BU$5,4,0),IF(AND(BR42=BR$5,BS$6&lt;=$D$104),-0.5,0),IF(AND(BS42=BR$5,BS$6&lt;=$D$104),-0.5,0),IF(AND(BT42=BR$5,BS$6&lt;=$D$104),-0.5,0))</f>
        <v/>
      </c>
      <c r="BW42" s="416" t="n"/>
      <c r="BX42" s="418" t="n"/>
      <c r="BY42" s="418" t="n"/>
      <c r="BZ42" s="418" t="n"/>
      <c r="CA42" s="602">
        <f>SUM(IF(BW42=BW$5,4,0),IF(BW42&amp;BX42=BW$5&amp;BX$5,1,0),
IF(AND(BW42=BW$5,BX$6&gt;=$D$115),1,0),
IF(AND(BX42=BW$5,BX$6&gt;=$D$115),1,0),
IF(AND(BY42=BW$5,BX$6&gt;=$D$115),1,0),
IF(BW42&amp;BZ42=CA$5,1,0),
IF(BX42=BW$5,2,0),
IF(BY42=BW$5,1,0),
IF(OR(BW42&amp;BX42&amp;BY42=BW$5&amp;BX$5&amp;BY$5,BW42&amp;BX42&amp;BY42=BW$5&amp;BY$5&amp;BX$5,BW42&amp;BX42&amp;BY42=BX$5&amp;BW$5&amp;BY$5,BW42&amp;BX42&amp;BY42=BX$5&amp;BY$5&amp;BW$5,BW42&amp;BX42&amp;BY42=BY$5&amp;BW$5&amp;BX$5,BW42&amp;BX42&amp;BY42=BY$5&amp;BX$5&amp;BW$5),2,0),IF(AND(BW42=BW$5,BX$6&gt;=$D$129),1,0),IF(AND(BX42=BW$5,BX$6&gt;=$D$129),1,0),IF(AND(BY42=BW$5,BX$6&gt;=$D$129),1,0),IF(BW42&amp;BZ42=BZ$5,4,0),IF(AND(BW42=BW$5,BX$6&lt;=$D$104),-0.5,0),IF(AND(BX42=BW$5,BX$6&lt;=$D$104),-0.5,0),IF(AND(BY42=BW$5,BX$6&lt;=$D$104),-0.5,0))</f>
        <v/>
      </c>
      <c r="CB42" s="416" t="n"/>
      <c r="CC42" s="418" t="n"/>
      <c r="CD42" s="418" t="n"/>
      <c r="CE42" s="418" t="n"/>
      <c r="CF42" s="602">
        <f>SUM(IF(CB42=CB$5,4,0),IF(CB42&amp;CC42=CB$5&amp;CC$5,1,0),
IF(AND(CB42=CB$5,CC$6&gt;=$D$115),1,0),
IF(AND(CC42=CB$5,CC$6&gt;=$D$115),1,0),
IF(AND(CD42=CB$5,CC$6&gt;=$D$115),1,0),
IF(CB42&amp;CE42=CF$5,1,0),
IF(CC42=CB$5,2,0),
IF(CD42=CB$5,1,0),
IF(OR(CB42&amp;CC42&amp;CD42=CB$5&amp;CC$5&amp;CD$5,CB42&amp;CC42&amp;CD42=CB$5&amp;CD$5&amp;CC$5,CB42&amp;CC42&amp;CD42=CC$5&amp;CB$5&amp;CD$5,CB42&amp;CC42&amp;CD42=CC$5&amp;CD$5&amp;CB$5,CB42&amp;CC42&amp;CD42=CD$5&amp;CB$5&amp;CC$5,CB42&amp;CC42&amp;CD42=CD$5&amp;CC$5&amp;CB$5),2,0),IF(AND(CB42=CB$5,CC$6&gt;=$D$129),1,0),IF(AND(CC42=CB$5,CC$6&gt;=$D$129),1,0),IF(AND(CD42=CB$5,CC$6&gt;=$D$129),1,0),IF(CB42&amp;CE42=CE$5,4,0),IF(AND(CB42=CB$5,CC$6&lt;=$D$104),-0.5,0),IF(AND(CC42=CB$5,CC$6&lt;=$D$104),-0.5,0),IF(AND(CD42=CB$5,CC$6&lt;=$D$104),-0.5,0))</f>
        <v/>
      </c>
      <c r="CG42" s="164">
        <f>IF(SEMANA29[[#This Row],[1]]="",0,$B$4)</f>
        <v/>
      </c>
      <c r="CH42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2" s="166">
        <f>IF(SEMANA29[[#This Row],[Columna14]]=0,0,(CH42/CG42))</f>
        <v/>
      </c>
      <c r="CJ42" s="165">
        <f>IF(SEMANA29[[#This Row],[1]]="",0,$B$4)</f>
        <v/>
      </c>
      <c r="CK42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2" s="166">
        <f>IF(SEMANA29[[#This Row],[Columna14]]=0,0,(CK42/CJ42))</f>
        <v/>
      </c>
      <c r="CM42" s="164">
        <f>IF(SEMANA29[[#This Row],[1]]="",0,$B$4)</f>
        <v/>
      </c>
      <c r="CN42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2" s="166">
        <f>IF(SEMANA29[[#This Row],[Columna14]]=0,0,(CN42/CM42))</f>
        <v/>
      </c>
      <c r="CP42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2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Row],[Columna25]],$AX$5,BA42,"SF")+COUNTIFS(SEMANA29[[#This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2" s="166">
        <f>IFERROR(IF(SEMANA29[[#This Row],[Columna14]]=0,0,(CQ42/CP42)),0)</f>
        <v/>
      </c>
      <c r="CS42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2" s="95">
        <f>_xlfn.XLOOKUP(SEMANA29[[#This Row],[COD]],SEMANA2[COD],SEMANA2[Columna33])</f>
        <v/>
      </c>
      <c r="CU42" s="604">
        <f>SUM(CS42,CT42)</f>
        <v/>
      </c>
      <c r="CV42" s="450">
        <f>IF(SEMANA29[[#This Row],[TIPO]]="PREMIO",$O$3,"0,00")</f>
        <v/>
      </c>
      <c r="CW42" s="576" t="n"/>
      <c r="CY42" s="392">
        <f>IF(CZ42="","",$CZ$25)</f>
        <v/>
      </c>
      <c r="CZ42" s="392" t="n"/>
      <c r="DA42" s="392">
        <f t="array" ref="DA42">IF(CZ42="", "", IF((INDEX(E$8:CE$57, MATCH(CZ42, C$8:C$57, 0), ($CZ$25-1)*5 + 1) &amp; "") = (INDEX(E$5:CE$5, 1, ($CZ$25-1)*5 + 1) &amp; ""), 1, IF((INDEX(E$8:CE$57, MATCH(CZ42, C$8:C$57, 0), ($CZ$25-1)*5 + 2) &amp; "") = (INDEX(E$5:CE$5, 1, ($CZ$25-1)*5 + 1) &amp; ""), 2, IF((INDEX(E$8:CE$57, MATCH(CZ42, C$8:C$57, 0), ($CZ$25-1)*5 + 3) &amp; "") = (INDEX(E$5:CE$5, 1, ($CZ$25-1)*5 + 1) &amp; ""), 3, ""))))</f>
        <v/>
      </c>
      <c r="DB42" s="605">
        <f>SEMANA29[[#This Row],[COD]]</f>
        <v/>
      </c>
      <c r="DC42" s="395">
        <f t="array" ref="DC42">IFERROR(IF(AND(INDEX($E$8:$CE$57, MATCH($C42, $C$8:$C$57, 0), (COLUMNS($DC42:DC42)-1)*5 + 1) = INDEX($E$5:$CE$5, 1, (COLUMNS($DC42:DC42)-1)*5 + 1), INDEX($E$8:$CE$57, MATCH($C42, $C$8:$C$57, 0), (COLUMNS($DC42:DC42)-1)*5 + 4) = "F"), INDEX($CZ$8:$CZ$23, COLUMNS($DC42:DC42)), "0"), "")</f>
        <v/>
      </c>
      <c r="DD42" s="395">
        <f t="array" ref="DD42">IFERROR(IF(AND(INDEX($E$8:$CE$57, MATCH($C42, $C$8:$C$57, 0), (COLUMNS($DC42:DD42)-1)*5 + 1) = INDEX($E$5:$CE$5, 1, (COLUMNS($DC42:DD42)-1)*5 + 1), INDEX($E$8:$CE$57, MATCH($C42, $C$8:$C$57, 0), (COLUMNS($DC42:DD42)-1)*5 + 4) = "F"), INDEX($CZ$8:$CZ$23, COLUMNS($DC42:DD42)), "0"), "")</f>
        <v/>
      </c>
      <c r="DE42" s="395">
        <f t="array" ref="DE42">IFERROR(IF(AND(INDEX($E$8:$CE$57, MATCH($C42, $C$8:$C$57, 0), (COLUMNS($DC42:DE42)-1)*5 + 1) = INDEX($E$5:$CE$5, 1, (COLUMNS($DC42:DE42)-1)*5 + 1), INDEX($E$8:$CE$57, MATCH($C42, $C$8:$C$57, 0), (COLUMNS($DC42:DE42)-1)*5 + 4) = "F"), INDEX($CZ$8:$CZ$23, COLUMNS($DC42:DE42)), "0"), "")</f>
        <v/>
      </c>
      <c r="DF42" s="395">
        <f t="array" ref="DF42">IFERROR(IF(AND(INDEX($E$8:$CE$57, MATCH($C42, $C$8:$C$57, 0), (COLUMNS($DC42:DF42)-1)*5 + 1) = INDEX($E$5:$CE$5, 1, (COLUMNS($DC42:DF42)-1)*5 + 1), INDEX($E$8:$CE$57, MATCH($C42, $C$8:$C$57, 0), (COLUMNS($DC42:DF42)-1)*5 + 4) = "F"), INDEX($CZ$8:$CZ$23, COLUMNS($DC42:DF42)), "0"), "")</f>
        <v/>
      </c>
      <c r="DG42" s="395">
        <f t="array" ref="DG42">IFERROR(IF(AND(INDEX($E$8:$CE$57, MATCH($C42, $C$8:$C$57, 0), (COLUMNS($DC42:DG42)-1)*5 + 1) = INDEX($E$5:$CE$5, 1, (COLUMNS($DC42:DG42)-1)*5 + 1), INDEX($E$8:$CE$57, MATCH($C42, $C$8:$C$57, 0), (COLUMNS($DC42:DG42)-1)*5 + 4) = "F"), INDEX($CZ$8:$CZ$23, COLUMNS($DC42:DG42)), "0"), "")</f>
        <v/>
      </c>
      <c r="DH42" s="395">
        <f t="array" ref="DH42">IFERROR(IF(AND(INDEX($E$8:$CE$57, MATCH($C42, $C$8:$C$57, 0), (COLUMNS($DC42:DH42)-1)*5 + 1) = INDEX($E$5:$CE$5, 1, (COLUMNS($DC42:DH42)-1)*5 + 1), INDEX($E$8:$CE$57, MATCH($C42, $C$8:$C$57, 0), (COLUMNS($DC42:DH42)-1)*5 + 4) = "F"), INDEX($CZ$8:$CZ$23, COLUMNS($DC42:DH42)), "0"), "")</f>
        <v/>
      </c>
      <c r="DI42" s="395">
        <f t="array" ref="DI42">IFERROR(IF(AND(INDEX($E$8:$CE$57, MATCH($C42, $C$8:$C$57, 0), (COLUMNS($DC42:DI42)-1)*5 + 1) = INDEX($E$5:$CE$5, 1, (COLUMNS($DC42:DI42)-1)*5 + 1), INDEX($E$8:$CE$57, MATCH($C42, $C$8:$C$57, 0), (COLUMNS($DC42:DI42)-1)*5 + 4) = "F"), INDEX($CZ$8:$CZ$23, COLUMNS($DC42:DI42)), "0"), "")</f>
        <v/>
      </c>
      <c r="DJ42" s="395">
        <f t="array" ref="DJ42">IFERROR(IF(AND(INDEX($E$8:$CE$57, MATCH($C42, $C$8:$C$57, 0), (COLUMNS($DC42:DJ42)-1)*5 + 1) = INDEX($E$5:$CE$5, 1, (COLUMNS($DC42:DJ42)-1)*5 + 1), INDEX($E$8:$CE$57, MATCH($C42, $C$8:$C$57, 0), (COLUMNS($DC42:DJ42)-1)*5 + 4) = "F"), INDEX($CZ$8:$CZ$23, COLUMNS($DC42:DJ42)), "0"), "")</f>
        <v/>
      </c>
      <c r="DK42" s="395">
        <f t="array" ref="DK42">IFERROR(IF(AND(INDEX($E$8:$CE$57, MATCH($C42, $C$8:$C$57, 0), (COLUMNS($DC42:DK42)-1)*5 + 1) = INDEX($E$5:$CE$5, 1, (COLUMNS($DC42:DK42)-1)*5 + 1), INDEX($E$8:$CE$57, MATCH($C42, $C$8:$C$57, 0), (COLUMNS($DC42:DK42)-1)*5 + 4) = "F"), INDEX($CZ$8:$CZ$23, COLUMNS($DC42:DK42)), "0"), "")</f>
        <v/>
      </c>
      <c r="DL42" s="395">
        <f t="array" ref="DL42">IFERROR(IF(AND(INDEX($E$8:$CE$57, MATCH($C42, $C$8:$C$57, 0), (COLUMNS($DC42:DL42)-1)*5 + 1) = INDEX($E$5:$CE$5, 1, (COLUMNS($DC42:DL42)-1)*5 + 1), INDEX($E$8:$CE$57, MATCH($C42, $C$8:$C$57, 0), (COLUMNS($DC42:DL42)-1)*5 + 4) = "F"), INDEX($CZ$8:$CZ$23, COLUMNS($DC42:DL42)), "0"), "")</f>
        <v/>
      </c>
      <c r="DM42" s="395">
        <f t="array" ref="DM42">IFERROR(IF(AND(INDEX($E$8:$CE$57, MATCH($C42, $C$8:$C$57, 0), (COLUMNS($DC42:DM42)-1)*5 + 1) = INDEX($E$5:$CE$5, 1, (COLUMNS($DC42:DM42)-1)*5 + 1), INDEX($E$8:$CE$57, MATCH($C42, $C$8:$C$57, 0), (COLUMNS($DC42:DM42)-1)*5 + 4) = "F"), INDEX($CZ$8:$CZ$23, COLUMNS($DC42:DM42)), "0"), "")</f>
        <v/>
      </c>
      <c r="DN42" s="395">
        <f t="array" ref="DN42">IFERROR(IF(AND(INDEX($E$8:$CE$57, MATCH($C42, $C$8:$C$57, 0), (COLUMNS($DC42:DN42)-1)*5 + 1) = INDEX($E$5:$CE$5, 1, (COLUMNS($DC42:DN42)-1)*5 + 1), INDEX($E$8:$CE$57, MATCH($C42, $C$8:$C$57, 0), (COLUMNS($DC42:DN42)-1)*5 + 4) = "F"), INDEX($CZ$8:$CZ$23, COLUMNS($DC42:DN42)), "0"), "")</f>
        <v/>
      </c>
      <c r="DO42" s="395">
        <f t="array" ref="DO42">IFERROR(IF(AND(INDEX($E$8:$CE$57, MATCH($C42, $C$8:$C$57, 0), (COLUMNS($DC42:DO42)-1)*5 + 1) = INDEX($E$5:$CE$5, 1, (COLUMNS($DC42:DO42)-1)*5 + 1), INDEX($E$8:$CE$57, MATCH($C42, $C$8:$C$57, 0), (COLUMNS($DC42:DO42)-1)*5 + 4) = "F"), INDEX($CZ$8:$CZ$23, COLUMNS($DC42:DO42)), "0"), "")</f>
        <v/>
      </c>
      <c r="DP42" s="395">
        <f t="array" ref="DP42">IFERROR(IF(AND(INDEX($E$8:$CE$57, MATCH($C42, $C$8:$C$57, 0), (COLUMNS($DC42:DP42)-1)*5 + 1) = INDEX($E$5:$CE$5, 1, (COLUMNS($DC42:DP42)-1)*5 + 1), INDEX($E$8:$CE$57, MATCH($C42, $C$8:$C$57, 0), (COLUMNS($DC42:DP42)-1)*5 + 4) = "F"), INDEX($CZ$8:$CZ$23, COLUMNS($DC42:DP42)), "0"), "")</f>
        <v/>
      </c>
      <c r="DQ42" s="395">
        <f t="array" ref="DQ42">IFERROR(IF(AND(INDEX($E$8:$CE$57, MATCH($C42, $C$8:$C$57, 0), (COLUMNS($DC42:DQ42)-1)*5 + 1) = INDEX($E$5:$CE$5, 1, (COLUMNS($DC42:DQ42)-1)*5 + 1), INDEX($E$8:$CE$57, MATCH($C42, $C$8:$C$57, 0), (COLUMNS($DC42:DQ42)-1)*5 + 4) = "F"), INDEX($CZ$8:$CZ$23, COLUMNS($DC42:DQ42)), "0"), "")</f>
        <v/>
      </c>
      <c r="DR42" s="395">
        <f t="array" ref="DR42">IFERROR(IF(AND(INDEX($E$8:$CE$57, MATCH($C42, $C$8:$C$57, 0), (COLUMNS($DC42:DR42)-1)*5 + 1) = INDEX($E$5:$CE$5, 1, (COLUMNS($DC42:DR42)-1)*5 + 1), INDEX($E$8:$CE$57, MATCH($C42, $C$8:$C$57, 0), (COLUMNS($DC42:DR42)-1)*5 + 4) = "F"), INDEX($CZ$8:$CZ$23, COLUMNS($DC42:DR42)), "0"), "")</f>
        <v/>
      </c>
      <c r="DT42" s="605">
        <f>SEMANA29[[#This Row],[COD]]</f>
        <v/>
      </c>
      <c r="DU42" s="395">
        <f t="array" ref="DU42">IFERROR(IF(AND(INDEX($E$8:$CE$57, MATCH($C42, $C$8:$C$57, 0), (COLUMNS($DU42:DU42)-1)*5 + 1) = INDEX($E$5:$CE$5, 1, (COLUMNS($DU42:DU42)-1)*5 + 1), INDEX($E$8:$CE$57, MATCH($C42, $C$8:$C$57, 0), (COLUMNS($DU42:DU42)-1)*5 + 4) = "SF"), INDEX($CZ$8:$CZ$23, COLUMNS($DU42:DU42)), "0"), "")</f>
        <v/>
      </c>
      <c r="DV42" s="395">
        <f t="array" ref="DV42">IFERROR(IF(AND(INDEX($E$8:$CE$57, MATCH($C42, $C$8:$C$57, 0), (COLUMNS($DU42:DV42)-1)*5 + 1) = INDEX($E$5:$CE$5, 1, (COLUMNS($DU42:DV42)-1)*5 + 1), INDEX($E$8:$CE$57, MATCH($C42, $C$8:$C$57, 0), (COLUMNS($DU42:DV42)-1)*5 + 4) = "SF"), INDEX($CZ$8:$CZ$23, COLUMNS($DU42:DV42)), "0"), "")</f>
        <v/>
      </c>
      <c r="DW42" s="395">
        <f t="array" ref="DW42">IFERROR(IF(AND(INDEX($E$8:$CE$57, MATCH($C42, $C$8:$C$57, 0), (COLUMNS($DU42:DW42)-1)*5 + 1) = INDEX($E$5:$CE$5, 1, (COLUMNS($DU42:DW42)-1)*5 + 1), INDEX($E$8:$CE$57, MATCH($C42, $C$8:$C$57, 0), (COLUMNS($DU42:DW42)-1)*5 + 4) = "SF"), INDEX($CZ$8:$CZ$23, COLUMNS($DU42:DW42)), "0"), "")</f>
        <v/>
      </c>
      <c r="DX42" s="395">
        <f t="array" ref="DX42">IFERROR(IF(AND(INDEX($E$8:$CE$57, MATCH($C42, $C$8:$C$57, 0), (COLUMNS($DU42:DX42)-1)*5 + 1) = INDEX($E$5:$CE$5, 1, (COLUMNS($DU42:DX42)-1)*5 + 1), INDEX($E$8:$CE$57, MATCH($C42, $C$8:$C$57, 0), (COLUMNS($DU42:DX42)-1)*5 + 4) = "SF"), INDEX($CZ$8:$CZ$23, COLUMNS($DU42:DX42)), "0"), "")</f>
        <v/>
      </c>
      <c r="DY42" s="395">
        <f t="array" ref="DY42">IFERROR(IF(AND(INDEX($E$8:$CE$57, MATCH($C42, $C$8:$C$57, 0), (COLUMNS($DU42:DY42)-1)*5 + 1) = INDEX($E$5:$CE$5, 1, (COLUMNS($DU42:DY42)-1)*5 + 1), INDEX($E$8:$CE$57, MATCH($C42, $C$8:$C$57, 0), (COLUMNS($DU42:DY42)-1)*5 + 4) = "SF"), INDEX($CZ$8:$CZ$23, COLUMNS($DU42:DY42)), "0"), "")</f>
        <v/>
      </c>
      <c r="DZ42" s="395">
        <f t="array" ref="DZ42">IFERROR(IF(AND(INDEX($E$8:$CE$57, MATCH($C42, $C$8:$C$57, 0), (COLUMNS($DU42:DZ42)-1)*5 + 1) = INDEX($E$5:$CE$5, 1, (COLUMNS($DU42:DZ42)-1)*5 + 1), INDEX($E$8:$CE$57, MATCH($C42, $C$8:$C$57, 0), (COLUMNS($DU42:DZ42)-1)*5 + 4) = "SF"), INDEX($CZ$8:$CZ$23, COLUMNS($DU42:DZ42)), "0"), "")</f>
        <v/>
      </c>
      <c r="EA42" s="395">
        <f t="array" ref="EA42">IFERROR(IF(AND(INDEX($E$8:$CE$57, MATCH($C42, $C$8:$C$57, 0), (COLUMNS($DU42:EA42)-1)*5 + 1) = INDEX($E$5:$CE$5, 1, (COLUMNS($DU42:EA42)-1)*5 + 1), INDEX($E$8:$CE$57, MATCH($C42, $C$8:$C$57, 0), (COLUMNS($DU42:EA42)-1)*5 + 4) = "SF"), INDEX($CZ$8:$CZ$23, COLUMNS($DU42:EA42)), "0"), "")</f>
        <v/>
      </c>
      <c r="EB42" s="395">
        <f t="array" ref="EB42">IFERROR(IF(AND(INDEX($E$8:$CE$57, MATCH($C42, $C$8:$C$57, 0), (COLUMNS($DU42:EB42)-1)*5 + 1) = INDEX($E$5:$CE$5, 1, (COLUMNS($DU42:EB42)-1)*5 + 1), INDEX($E$8:$CE$57, MATCH($C42, $C$8:$C$57, 0), (COLUMNS($DU42:EB42)-1)*5 + 4) = "SF"), INDEX($CZ$8:$CZ$23, COLUMNS($DU42:EB42)), "0"), "")</f>
        <v/>
      </c>
      <c r="EC42" s="395">
        <f t="array" ref="EC42">IFERROR(IF(AND(INDEX($E$8:$CE$57, MATCH($C42, $C$8:$C$57, 0), (COLUMNS($DU42:EC42)-1)*5 + 1) = INDEX($E$5:$CE$5, 1, (COLUMNS($DU42:EC42)-1)*5 + 1), INDEX($E$8:$CE$57, MATCH($C42, $C$8:$C$57, 0), (COLUMNS($DU42:EC42)-1)*5 + 4) = "SF"), INDEX($CZ$8:$CZ$23, COLUMNS($DU42:EC42)), "0"), "")</f>
        <v/>
      </c>
      <c r="ED42" s="395">
        <f t="array" ref="ED42">IFERROR(IF(AND(INDEX($E$8:$CE$57, MATCH($C42, $C$8:$C$57, 0), (COLUMNS($DU42:ED42)-1)*5 + 1) = INDEX($E$5:$CE$5, 1, (COLUMNS($DU42:ED42)-1)*5 + 1), INDEX($E$8:$CE$57, MATCH($C42, $C$8:$C$57, 0), (COLUMNS($DU42:ED42)-1)*5 + 4) = "SF"), INDEX($CZ$8:$CZ$23, COLUMNS($DU42:ED42)), "0"), "")</f>
        <v/>
      </c>
      <c r="EE42" s="395">
        <f t="array" ref="EE42">IFERROR(IF(AND(INDEX($E$8:$CE$57, MATCH($C42, $C$8:$C$57, 0), (COLUMNS($DU42:EE42)-1)*5 + 1) = INDEX($E$5:$CE$5, 1, (COLUMNS($DU42:EE42)-1)*5 + 1), INDEX($E$8:$CE$57, MATCH($C42, $C$8:$C$57, 0), (COLUMNS($DU42:EE42)-1)*5 + 4) = "SF"), INDEX($CZ$8:$CZ$23, COLUMNS($DU42:EE42)), "0"), "")</f>
        <v/>
      </c>
      <c r="EF42" s="395">
        <f t="array" ref="EF42">IFERROR(IF(AND(INDEX($E$8:$CE$57, MATCH($C42, $C$8:$C$57, 0), (COLUMNS($DU42:EF42)-1)*5 + 1) = INDEX($E$5:$CE$5, 1, (COLUMNS($DU42:EF42)-1)*5 + 1), INDEX($E$8:$CE$57, MATCH($C42, $C$8:$C$57, 0), (COLUMNS($DU42:EF42)-1)*5 + 4) = "SF"), INDEX($CZ$8:$CZ$23, COLUMNS($DU42:EF42)), "0"), "")</f>
        <v/>
      </c>
      <c r="EG42" s="395">
        <f t="array" ref="EG42">IFERROR(IF(AND(INDEX($E$8:$CE$57, MATCH($C42, $C$8:$C$57, 0), (COLUMNS($DU42:EG42)-1)*5 + 1) = INDEX($E$5:$CE$5, 1, (COLUMNS($DU42:EG42)-1)*5 + 1), INDEX($E$8:$CE$57, MATCH($C42, $C$8:$C$57, 0), (COLUMNS($DU42:EG42)-1)*5 + 4) = "SF"), INDEX($CZ$8:$CZ$23, COLUMNS($DU42:EG42)), "0"), "")</f>
        <v/>
      </c>
      <c r="EH42" s="395">
        <f t="array" ref="EH42">IFERROR(IF(AND(INDEX($E$8:$CE$57, MATCH($C42, $C$8:$C$57, 0), (COLUMNS($DU42:EH42)-1)*5 + 1) = INDEX($E$5:$CE$5, 1, (COLUMNS($DU42:EH42)-1)*5 + 1), INDEX($E$8:$CE$57, MATCH($C42, $C$8:$C$57, 0), (COLUMNS($DU42:EH42)-1)*5 + 4) = "SF"), INDEX($CZ$8:$CZ$23, COLUMNS($DU42:EH42)), "0"), "")</f>
        <v/>
      </c>
      <c r="EI42" s="395">
        <f t="array" ref="EI42">IFERROR(IF(AND(INDEX($E$8:$CE$57, MATCH($C42, $C$8:$C$57, 0), (COLUMNS($DU42:EI42)-1)*5 + 1) = INDEX($E$5:$CE$5, 1, (COLUMNS($DU42:EI42)-1)*5 + 1), INDEX($E$8:$CE$57, MATCH($C42, $C$8:$C$57, 0), (COLUMNS($DU42:EI42)-1)*5 + 4) = "SF"), INDEX($CZ$8:$CZ$23, COLUMNS($DU42:EI42)), "0"), "")</f>
        <v/>
      </c>
      <c r="EJ42" s="395">
        <f t="array" ref="EJ42">IFERROR(IF(AND(INDEX($E$8:$CE$57, MATCH($C42, $C$8:$C$57, 0), (COLUMNS($DU42:EJ42)-1)*5 + 1) = INDEX($E$5:$CE$5, 1, (COLUMNS($DU42:EJ42)-1)*5 + 1), INDEX($E$8:$CE$57, MATCH($C42, $C$8:$C$57, 0), (COLUMNS($DU42:EJ42)-1)*5 + 4) = "SF"), INDEX($CZ$8:$CZ$23, COLUMNS($DU42:EJ42)), "0"), "")</f>
        <v/>
      </c>
    </row>
    <row r="43" ht="20.1" customHeight="1" s="568">
      <c r="A43" s="576" t="n"/>
      <c r="B43" s="449">
        <f>IF(SEMANA29[[#This Row],[COD]]&lt;&gt;"",B42+1,"")</f>
        <v/>
      </c>
      <c r="C43" s="622" t="inlineStr">
        <is>
          <t>COD 36</t>
        </is>
      </c>
      <c r="D43" s="415">
        <f t="array" ref="D43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3" s="416" t="n"/>
      <c r="F43" s="418" t="n"/>
      <c r="G43" s="418" t="n"/>
      <c r="H43" s="418" t="n"/>
      <c r="I43" s="602">
        <f>SUM(IF(E43=E$5,4,0),IF(E43&amp;F43=E$5&amp;F$5,1,0),
IF(AND(E43=E$5,F$6&gt;=$D$115),1,0),
IF(AND(F43=E$5,F$6&gt;=$D$115),1,0),
IF(AND(G43=E$5,F$6&gt;=$D$115),1,0),
IF(E43&amp;H43=I$5,1,0),
IF(F43=E$5,2,0),
IF(G43=E$5,1,0),
IF(OR(E43&amp;F43&amp;G43=E$5&amp;F$5&amp;G$5,E43&amp;F43&amp;G43=E$5&amp;G$5&amp;F$5,E43&amp;F43&amp;G43=F$5&amp;E$5&amp;G$5,E43&amp;F43&amp;G43=F$5&amp;G$5&amp;E$5,E43&amp;F43&amp;G43=G$5&amp;E$5&amp;F$5,E43&amp;F43&amp;G43=G$5&amp;F$5&amp;E$5),2,0),IF(AND(E43=E$5,F$6&gt;=$D$129),1,0),IF(AND(F43=E$5,F$6&gt;=$D$129),1,0),IF(AND(G43=E$5,F$6&gt;=$D$129),1,0),IF(E43&amp;H43=H$5,4,0),IF(AND(E43=E$5,F$6&lt;=$D$104),-0.5,0),IF(AND(F43=E$5,F$6&lt;=$D$104),-0.5,0),IF(AND(G43=E$5,F$6&lt;=$D$104),-0.5,0))</f>
        <v/>
      </c>
      <c r="J43" s="416" t="n"/>
      <c r="K43" s="418" t="n"/>
      <c r="L43" s="418" t="n"/>
      <c r="M43" s="418" t="n"/>
      <c r="N43" s="602">
        <f>SUM(IF(J43=J$5,4,0),IF(J43&amp;K43=J$5&amp;K$5,1,0),
IF(AND(J43=J$5,K$6&gt;=$D$115),1,0),
IF(AND(K43=J$5,K$6&gt;=$D$115),1,0),
IF(AND(L43=J$5,K$6&gt;=$D$115),1,0),
IF(J43&amp;M43=N$5,1,0),
IF(K43=J$5,2,0),
IF(L43=J$5,1,0),
IF(OR(J43&amp;K43&amp;L43=J$5&amp;K$5&amp;L$5,J43&amp;K43&amp;L43=J$5&amp;L$5&amp;K$5,J43&amp;K43&amp;L43=K$5&amp;J$5&amp;L$5,J43&amp;K43&amp;L43=K$5&amp;L$5&amp;J$5,J43&amp;K43&amp;L43=L$5&amp;J$5&amp;K$5,J43&amp;K43&amp;L43=L$5&amp;K$5&amp;J$5),2,0),IF(AND(J43=J$5,K$6&gt;=$D$129),1,0),IF(AND(K43=J$5,K$6&gt;=$D$129),1,0),IF(AND(L43=J$5,K$6&gt;=$D$129),1,0),IF(J43&amp;M43=M$5,4,0),IF(AND(J43=J$5,K$6&lt;=$D$104),-0.5,0),IF(AND(K43=J$5,K$6&lt;=$D$104),-0.5,0),IF(AND(L43=J$5,K$6&lt;=$D$104),-0.5,0))</f>
        <v/>
      </c>
      <c r="O43" s="416" t="n"/>
      <c r="P43" s="418" t="n"/>
      <c r="Q43" s="418" t="n"/>
      <c r="R43" s="418" t="n"/>
      <c r="S43" s="602">
        <f>SUM(IF(O43=O$5,4,0),IF(O43&amp;P43=O$5&amp;P$5,1,0),
IF(AND(O43=O$5,P$6&gt;=$D$115),1,0),
IF(AND(P43=O$5,P$6&gt;=$D$115),1,0),
IF(AND(Q43=O$5,P$6&gt;=$D$115),1,0),
IF(O43&amp;R43=S$5,1,0),
IF(P43=O$5,2,0),
IF(Q43=O$5,1,0),
IF(OR(O43&amp;P43&amp;Q43=O$5&amp;P$5&amp;Q$5,O43&amp;P43&amp;Q43=O$5&amp;Q$5&amp;P$5,O43&amp;P43&amp;Q43=P$5&amp;O$5&amp;Q$5,O43&amp;P43&amp;Q43=P$5&amp;Q$5&amp;O$5,O43&amp;P43&amp;Q43=Q$5&amp;O$5&amp;P$5,O43&amp;P43&amp;Q43=Q$5&amp;P$5&amp;O$5),2,0),IF(AND(O43=O$5,P$6&gt;=$D$129),1,0),IF(AND(P43=O$5,P$6&gt;=$D$129),1,0),IF(AND(Q43=O$5,P$6&gt;=$D$129),1,0),IF(O43&amp;R43=R$5,4,0),IF(AND(O43=O$5,P$6&lt;=$D$104),-0.5,0),IF(AND(P43=O$5,P$6&lt;=$D$104),-0.5,0),IF(AND(Q43=O$5,P$6&lt;=$D$104),-0.5,0))</f>
        <v/>
      </c>
      <c r="T43" s="416" t="n"/>
      <c r="U43" s="418" t="n"/>
      <c r="V43" s="418" t="n"/>
      <c r="W43" s="418" t="n"/>
      <c r="X43" s="602">
        <f>SUM(IF(T43=T$5,4,0),IF(T43&amp;U43=T$5&amp;U$5,1,0),
IF(AND(T43=T$5,U$6&gt;=$D$115),1,0),
IF(AND(U43=T$5,U$6&gt;=$D$115),1,0),
IF(AND(V43=T$5,U$6&gt;=$D$115),1,0),
IF(T43&amp;W43=X$5,1,0),
IF(U43=T$5,2,0),
IF(V43=T$5,1,0),
IF(OR(T43&amp;U43&amp;V43=T$5&amp;U$5&amp;V$5,T43&amp;U43&amp;V43=T$5&amp;V$5&amp;U$5,T43&amp;U43&amp;V43=U$5&amp;T$5&amp;V$5,T43&amp;U43&amp;V43=U$5&amp;V$5&amp;T$5,T43&amp;U43&amp;V43=V$5&amp;T$5&amp;U$5,T43&amp;U43&amp;V43=V$5&amp;U$5&amp;T$5),2,0),IF(AND(T43=T$5,U$6&gt;=$D$129),1,0),IF(AND(U43=T$5,U$6&gt;=$D$129),1,0),IF(AND(V43=T$5,U$6&gt;=$D$129),1,0),IF(T43&amp;W43=W$5,4,0),IF(AND(T43=T$5,U$6&lt;=$D$104),-0.5,0),IF(AND(U43=T$5,U$6&lt;=$D$104),-0.5,0),IF(AND(V43=T$5,U$6&lt;=$D$104),-0.5,0))</f>
        <v/>
      </c>
      <c r="Y43" s="416" t="n"/>
      <c r="Z43" s="418" t="n"/>
      <c r="AA43" s="418" t="n"/>
      <c r="AB43" s="418" t="n"/>
      <c r="AC43" s="602">
        <f>SUM(IF(Y43=Y$5,4,0),IF(Y43&amp;Z43=Y$5&amp;Z$5,1,0),
IF(AND(Y43=Y$5,Z$6&gt;=$D$115),1,0),
IF(AND(Z43=Y$5,Z$6&gt;=$D$115),1,0),
IF(AND(AA43=Y$5,Z$6&gt;=$D$115),1,0),
IF(Y43&amp;AB43=AC$5,1,0),
IF(Z43=Y$5,2,0),
IF(AA43=Y$5,1,0),
IF(OR(Y43&amp;Z43&amp;AA43=Y$5&amp;Z$5&amp;AA$5,Y43&amp;Z43&amp;AA43=Y$5&amp;AA$5&amp;Z$5,Y43&amp;Z43&amp;AA43=Z$5&amp;Y$5&amp;AA$5,Y43&amp;Z43&amp;AA43=Z$5&amp;AA$5&amp;Y$5,Y43&amp;Z43&amp;AA43=AA$5&amp;Y$5&amp;Z$5,Y43&amp;Z43&amp;AA43=AA$5&amp;Z$5&amp;Y$5),2,0),IF(AND(Y43=Y$5,Z$6&gt;=$D$129),1,0),IF(AND(Z43=Y$5,Z$6&gt;=$D$129),1,0),IF(AND(AA43=Y$5,Z$6&gt;=$D$129),1,0),IF(Y43&amp;AB43=AB$5,4,0),IF(AND(Y43=Y$5,Z$6&lt;=$D$104),-0.5,0),IF(AND(Z43=Y$5,Z$6&lt;=$D$104),-0.5,0),IF(AND(AA43=Y$5,Z$6&lt;=$D$104),-0.5,0))</f>
        <v/>
      </c>
      <c r="AD43" s="416" t="n"/>
      <c r="AE43" s="418" t="n"/>
      <c r="AF43" s="418" t="n"/>
      <c r="AG43" s="418" t="n"/>
      <c r="AH43" s="602">
        <f>SUM(IF(AD43=AD$5,4,0),IF(AD43&amp;AE43=AD$5&amp;AE$5,1,0),
IF(AND(AD43=AD$5,AE$6&gt;=$D$115),1,0),
IF(AND(AE43=AD$5,AE$6&gt;=$D$115),1,0),
IF(AND(AF43=AD$5,AE$6&gt;=$D$115),1,0),
IF(AD43&amp;AG43=AH$5,1,0),
IF(AE43=AD$5,2,0),
IF(AF43=AD$5,1,0),
IF(OR(AD43&amp;AE43&amp;AF43=AD$5&amp;AE$5&amp;AF$5,AD43&amp;AE43&amp;AF43=AD$5&amp;AF$5&amp;AE$5,AD43&amp;AE43&amp;AF43=AE$5&amp;AD$5&amp;AF$5,AD43&amp;AE43&amp;AF43=AE$5&amp;AF$5&amp;AD$5,AD43&amp;AE43&amp;AF43=AF$5&amp;AD$5&amp;AE$5,AD43&amp;AE43&amp;AF43=AF$5&amp;AE$5&amp;AD$5),2,0),IF(AND(AD43=AD$5,AE$6&gt;=$D$129),1,0),IF(AND(AE43=AD$5,AE$6&gt;=$D$129),1,0),IF(AND(AF43=AD$5,AE$6&gt;=$D$129),1,0),IF(AD43&amp;AG43=AG$5,4,0),IF(AND(AD43=AD$5,AE$6&lt;=$D$104),-0.5,0),IF(AND(AE43=AD$5,AE$6&lt;=$D$104),-0.5,0),IF(AND(AF43=AD$5,AE$6&lt;=$D$104),-0.5,0))</f>
        <v/>
      </c>
      <c r="AI43" s="416" t="n"/>
      <c r="AJ43" s="418" t="n"/>
      <c r="AK43" s="418" t="n"/>
      <c r="AL43" s="418" t="n"/>
      <c r="AM43" s="602">
        <f>SUM(IF(AI43=AI$5,4,0),IF(AI43&amp;AJ43=AI$5&amp;AJ$5,1,0),
IF(AND(AI43=AI$5,AJ$6&gt;=$D$115),1,0),
IF(AND(AJ43=AI$5,AJ$6&gt;=$D$115),1,0),
IF(AND(AK43=AI$5,AJ$6&gt;=$D$115),1,0),
IF(AI43&amp;AL43=AM$5,1,0),
IF(AJ43=AI$5,2,0),
IF(AK43=AI$5,1,0),
IF(OR(AI43&amp;AJ43&amp;AK43=AI$5&amp;AJ$5&amp;AK$5,AI43&amp;AJ43&amp;AK43=AI$5&amp;AK$5&amp;AJ$5,AI43&amp;AJ43&amp;AK43=AJ$5&amp;AI$5&amp;AK$5,AI43&amp;AJ43&amp;AK43=AJ$5&amp;AK$5&amp;AI$5,AI43&amp;AJ43&amp;AK43=AK$5&amp;AI$5&amp;AJ$5,AI43&amp;AJ43&amp;AK43=AK$5&amp;AJ$5&amp;AI$5),2,0),IF(AND(AI43=AI$5,AJ$6&gt;=$D$129),1,0),IF(AND(AJ43=AI$5,AJ$6&gt;=$D$129),1,0),IF(AND(AK43=AI$5,AJ$6&gt;=$D$129),1,0),IF(AI43&amp;AL43=AL$5,4,0),IF(AND(AI43=AI$5,AJ$6&lt;=$D$104),-0.5,0),IF(AND(AJ43=AI$5,AJ$6&lt;=$D$104),-0.5,0),IF(AND(AK43=AI$5,AJ$6&lt;=$D$104),-0.5,0))</f>
        <v/>
      </c>
      <c r="AN43" s="416" t="n"/>
      <c r="AO43" s="418" t="n"/>
      <c r="AP43" s="418" t="n"/>
      <c r="AQ43" s="418" t="n"/>
      <c r="AR43" s="602">
        <f>SUM(IF(AN43=AN$5,4,0),IF(AN43&amp;AO43=AN$5&amp;AO$5,1,0),
IF(AND(AN43=AN$5,AO$6&gt;=$D$115),1,0),
IF(AND(AO43=AN$5,AO$6&gt;=$D$115),1,0),
IF(AND(AP43=AN$5,AO$6&gt;=$D$115),1,0),
IF(AN43&amp;AQ43=AR$5,1,0),
IF(AO43=AN$5,2,0),
IF(AP43=AN$5,1,0),
IF(OR(AN43&amp;AO43&amp;AP43=AN$5&amp;AO$5&amp;AP$5,AN43&amp;AO43&amp;AP43=AN$5&amp;AP$5&amp;AO$5,AN43&amp;AO43&amp;AP43=AO$5&amp;AN$5&amp;AP$5,AN43&amp;AO43&amp;AP43=AO$5&amp;AP$5&amp;AN$5,AN43&amp;AO43&amp;AP43=AP$5&amp;AN$5&amp;AO$5,AN43&amp;AO43&amp;AP43=AP$5&amp;AO$5&amp;AN$5),2,0),IF(AND(AN43=AN$5,AO$6&gt;=$D$129),1,0),IF(AND(AO43=AN$5,AO$6&gt;=$D$129),1,0),IF(AND(AP43=AN$5,AO$6&gt;=$D$129),1,0),IF(AN43&amp;AQ43=AQ$5,4,0),IF(AND(AN43=AN$5,AO$6&lt;=$D$104),-0.5,0),IF(AND(AO43=AN$5,AO$6&lt;=$D$104),-0.5,0),IF(AND(AP43=AN$5,AO$6&lt;=$D$104),-0.5,0))</f>
        <v/>
      </c>
      <c r="AS43" s="416" t="n"/>
      <c r="AT43" s="418" t="n"/>
      <c r="AU43" s="418" t="n"/>
      <c r="AV43" s="418" t="n"/>
      <c r="AW43" s="602">
        <f>SUM(IF(AS43=AS$5,4,0),IF(AS43&amp;AT43=AS$5&amp;AT$5,1,0),
IF(AND(AS43=AS$5,AT$6&gt;=$D$115),1,0),
IF(AND(AT43=AS$5,AT$6&gt;=$D$115),1,0),
IF(AND(AU43=AS$5,AT$6&gt;=$D$115),1,0),
IF(AS43&amp;AV43=AW$5,1,0),
IF(AT43=AS$5,2,0),
IF(AU43=AS$5,1,0),
IF(OR(AS43&amp;AT43&amp;AU43=AS$5&amp;AT$5&amp;AU$5,AS43&amp;AT43&amp;AU43=AS$5&amp;AU$5&amp;AT$5,AS43&amp;AT43&amp;AU43=AT$5&amp;AS$5&amp;AU$5,AS43&amp;AT43&amp;AU43=AT$5&amp;AU$5&amp;AS$5,AS43&amp;AT43&amp;AU43=AU$5&amp;AS$5&amp;AT$5,AS43&amp;AT43&amp;AU43=AU$5&amp;AT$5&amp;AS$5),2,0),IF(AND(AS43=AS$5,AT$6&gt;=$D$129),1,0),IF(AND(AT43=AS$5,AT$6&gt;=$D$129),1,0),IF(AND(AU43=AS$5,AT$6&gt;=$D$129),1,0),IF(AS43&amp;AV43=AV$5,4,0),IF(AND(AS43=AS$5,AT$6&lt;=$D$104),-0.5,0),IF(AND(AT43=AS$5,AT$6&lt;=$D$104),-0.5,0),IF(AND(AU43=AS$5,AT$6&lt;=$D$104),-0.5,0))</f>
        <v/>
      </c>
      <c r="AX43" s="416" t="n"/>
      <c r="AY43" s="418" t="n"/>
      <c r="AZ43" s="418" t="n"/>
      <c r="BA43" s="418" t="n"/>
      <c r="BB43" s="602">
        <f>SUM(IF(AX43=AX$5,4,0),IF(AX43&amp;AY43=AX$5&amp;AY$5,1,0),
IF(AND(AX43=AX$5,AY$6&gt;=$D$115),1,0),
IF(AND(AY43=AX$5,AY$6&gt;=$D$115),1,0),
IF(AND(AZ43=AX$5,AY$6&gt;=$D$115),1,0),
IF(AX43&amp;BA43=BB$5,1,0),
IF(AY43=AX$5,2,0),
IF(AZ43=AX$5,1,0),
IF(OR(AX43&amp;AY43&amp;AZ43=AX$5&amp;AY$5&amp;AZ$5,AX43&amp;AY43&amp;AZ43=AX$5&amp;AZ$5&amp;AY$5,AX43&amp;AY43&amp;AZ43=AY$5&amp;AX$5&amp;AZ$5,AX43&amp;AY43&amp;AZ43=AY$5&amp;AZ$5&amp;AX$5,AX43&amp;AY43&amp;AZ43=AZ$5&amp;AX$5&amp;AY$5,AX43&amp;AY43&amp;AZ43=AZ$5&amp;AY$5&amp;AX$5),2,0),IF(AND(AX43=AX$5,AY$6&gt;=$D$129),1,0),IF(AND(AY43=AX$5,AY$6&gt;=$D$129),1,0),IF(AND(AZ43=AX$5,AY$6&gt;=$D$129),1,0),IF(AX43&amp;BA43=BA$5,4,0),IF(AND(AX43=AX$5,AY$6&lt;=$D$104),-0.5,0),IF(AND(AY43=AX$5,AY$6&lt;=$D$104),-0.5,0),IF(AND(AZ43=AX$5,AY$6&lt;=$D$104),-0.5,0))</f>
        <v/>
      </c>
      <c r="BC43" s="416" t="n"/>
      <c r="BD43" s="418" t="n"/>
      <c r="BE43" s="418" t="n"/>
      <c r="BF43" s="418" t="n"/>
      <c r="BG43" s="602">
        <f>SUM(IF(BC43=BC$5,4,0),IF(BC43&amp;BD43=BC$5&amp;BD$5,1,0),
IF(AND(BC43=BC$5,BD$6&gt;=$D$115),1,0),
IF(AND(BD43=BC$5,BD$6&gt;=$D$115),1,0),
IF(AND(BE43=BC$5,BD$6&gt;=$D$115),1,0),
IF(BC43&amp;BF43=BG$5,1,0),
IF(BD43=BC$5,2,0),
IF(BE43=BC$5,1,0),
IF(OR(BC43&amp;BD43&amp;BE43=BC$5&amp;BD$5&amp;BE$5,BC43&amp;BD43&amp;BE43=BC$5&amp;BE$5&amp;BD$5,BC43&amp;BD43&amp;BE43=BD$5&amp;BC$5&amp;BE$5,BC43&amp;BD43&amp;BE43=BD$5&amp;BE$5&amp;BC$5,BC43&amp;BD43&amp;BE43=BE$5&amp;BC$5&amp;BD$5,BC43&amp;BD43&amp;BE43=BE$5&amp;BD$5&amp;BC$5),2,0),IF(AND(BC43=BC$5,BD$6&gt;=$D$129),1,0),IF(AND(BD43=BC$5,BD$6&gt;=$D$129),1,0),IF(AND(BE43=BC$5,BD$6&gt;=$D$129),1,0),IF(BC43&amp;BF43=BF$5,4,0),IF(AND(BC43=BC$5,BD$6&lt;=$D$104),-0.5,0),IF(AND(BD43=BC$5,BD$6&lt;=$D$104),-0.5,0),IF(AND(BE43=BC$5,BD$6&lt;=$D$104),-0.5,0))</f>
        <v/>
      </c>
      <c r="BH43" s="416" t="n"/>
      <c r="BI43" s="418" t="n"/>
      <c r="BJ43" s="418" t="n"/>
      <c r="BK43" s="418" t="n"/>
      <c r="BL43" s="602">
        <f>SUM(IF(BH43=BH$5,4,0),IF(BH43&amp;BI43=BH$5&amp;BI$5,1,0),
IF(AND(BH43=BH$5,BI$6&gt;=$D$115),1,0),
IF(AND(BI43=BH$5,BI$6&gt;=$D$115),1,0),
IF(AND(BJ43=BH$5,BI$6&gt;=$D$115),1,0),
IF(BH43&amp;BK43=BL$5,1,0),
IF(BI43=BH$5,2,0),
IF(BJ43=BH$5,1,0),
IF(OR(BH43&amp;BI43&amp;BJ43=BH$5&amp;BI$5&amp;BJ$5,BH43&amp;BI43&amp;BJ43=BH$5&amp;BJ$5&amp;BI$5,BH43&amp;BI43&amp;BJ43=BI$5&amp;BH$5&amp;BJ$5,BH43&amp;BI43&amp;BJ43=BI$5&amp;BJ$5&amp;BH$5,BH43&amp;BI43&amp;BJ43=BJ$5&amp;BH$5&amp;BI$5,BH43&amp;BI43&amp;BJ43=BJ$5&amp;BI$5&amp;BH$5),2,0),IF(AND(BH43=BH$5,BI$6&gt;=$D$129),1,0),IF(AND(BI43=BH$5,BI$6&gt;=$D$129),1,0),IF(AND(BJ43=BH$5,BI$6&gt;=$D$129),1,0),IF(BH43&amp;BK43=BK$5,4,0),IF(AND(BH43=BH$5,BI$6&lt;=$D$104),-0.5,0),IF(AND(BI43=BH$5,BI$6&lt;=$D$104),-0.5,0),IF(AND(BJ43=BH$5,BI$6&lt;=$D$104),-0.5,0))</f>
        <v/>
      </c>
      <c r="BM43" s="416" t="n"/>
      <c r="BN43" s="418" t="n"/>
      <c r="BO43" s="418" t="n"/>
      <c r="BP43" s="418" t="n"/>
      <c r="BQ43" s="602">
        <f>SUM(IF(BM43=BM$5,4,0),IF(BM43&amp;BN43=BM$5&amp;BN$5,1,0),
IF(AND(BM43=BM$5,BN$6&gt;=$D$115),1,0),
IF(AND(BN43=BM$5,BN$6&gt;=$D$115),1,0),
IF(AND(BO43=BM$5,BN$6&gt;=$D$115),1,0),
IF(BM43&amp;BP43=BQ$5,1,0),
IF(BN43=BM$5,2,0),
IF(BO43=BM$5,1,0),
IF(OR(BM43&amp;BN43&amp;BO43=BM$5&amp;BN$5&amp;BO$5,BM43&amp;BN43&amp;BO43=BM$5&amp;BO$5&amp;BN$5,BM43&amp;BN43&amp;BO43=BN$5&amp;BM$5&amp;BO$5,BM43&amp;BN43&amp;BO43=BN$5&amp;BO$5&amp;BM$5,BM43&amp;BN43&amp;BO43=BO$5&amp;BM$5&amp;BN$5,BM43&amp;BN43&amp;BO43=BO$5&amp;BN$5&amp;BM$5),2,0),IF(AND(BM43=BM$5,BN$6&gt;=$D$129),1,0),IF(AND(BN43=BM$5,BN$6&gt;=$D$129),1,0),IF(AND(BO43=BM$5,BN$6&gt;=$D$129),1,0),IF(BM43&amp;BP43=BP$5,4,0),IF(AND(BM43=BM$5,BN$6&lt;=$D$104),-0.5,0),IF(AND(BN43=BM$5,BN$6&lt;=$D$104),-0.5,0),IF(AND(BO43=BM$5,BN$6&lt;=$D$104),-0.5,0))</f>
        <v/>
      </c>
      <c r="BR43" s="416" t="n"/>
      <c r="BS43" s="418" t="n"/>
      <c r="BT43" s="418" t="n"/>
      <c r="BU43" s="418" t="n"/>
      <c r="BV43" s="602">
        <f>SUM(IF(BR43=BR$5,4,0),IF(BR43&amp;BS43=BR$5&amp;BS$5,1,0),
IF(AND(BR43=BR$5,BS$6&gt;=$D$115),1,0),
IF(AND(BS43=BR$5,BS$6&gt;=$D$115),1,0),
IF(AND(BT43=BR$5,BS$6&gt;=$D$115),1,0),
IF(BR43&amp;BU43=BV$5,1,0),
IF(BS43=BR$5,2,0),
IF(BT43=BR$5,1,0),
IF(OR(BR43&amp;BS43&amp;BT43=BR$5&amp;BS$5&amp;BT$5,BR43&amp;BS43&amp;BT43=BR$5&amp;BT$5&amp;BS$5,BR43&amp;BS43&amp;BT43=BS$5&amp;BR$5&amp;BT$5,BR43&amp;BS43&amp;BT43=BS$5&amp;BT$5&amp;BR$5,BR43&amp;BS43&amp;BT43=BT$5&amp;BR$5&amp;BS$5,BR43&amp;BS43&amp;BT43=BT$5&amp;BS$5&amp;BR$5),2,0),IF(AND(BR43=BR$5,BS$6&gt;=$D$129),1,0),IF(AND(BS43=BR$5,BS$6&gt;=$D$129),1,0),IF(AND(BT43=BR$5,BS$6&gt;=$D$129),1,0),IF(BR43&amp;BU43=BU$5,4,0),IF(AND(BR43=BR$5,BS$6&lt;=$D$104),-0.5,0),IF(AND(BS43=BR$5,BS$6&lt;=$D$104),-0.5,0),IF(AND(BT43=BR$5,BS$6&lt;=$D$104),-0.5,0))</f>
        <v/>
      </c>
      <c r="BW43" s="416" t="n"/>
      <c r="BX43" s="418" t="n"/>
      <c r="BY43" s="418" t="n"/>
      <c r="BZ43" s="418" t="n"/>
      <c r="CA43" s="602">
        <f>SUM(IF(BW43=BW$5,4,0),IF(BW43&amp;BX43=BW$5&amp;BX$5,1,0),
IF(AND(BW43=BW$5,BX$6&gt;=$D$115),1,0),
IF(AND(BX43=BW$5,BX$6&gt;=$D$115),1,0),
IF(AND(BY43=BW$5,BX$6&gt;=$D$115),1,0),
IF(BW43&amp;BZ43=CA$5,1,0),
IF(BX43=BW$5,2,0),
IF(BY43=BW$5,1,0),
IF(OR(BW43&amp;BX43&amp;BY43=BW$5&amp;BX$5&amp;BY$5,BW43&amp;BX43&amp;BY43=BW$5&amp;BY$5&amp;BX$5,BW43&amp;BX43&amp;BY43=BX$5&amp;BW$5&amp;BY$5,BW43&amp;BX43&amp;BY43=BX$5&amp;BY$5&amp;BW$5,BW43&amp;BX43&amp;BY43=BY$5&amp;BW$5&amp;BX$5,BW43&amp;BX43&amp;BY43=BY$5&amp;BX$5&amp;BW$5),2,0),IF(AND(BW43=BW$5,BX$6&gt;=$D$129),1,0),IF(AND(BX43=BW$5,BX$6&gt;=$D$129),1,0),IF(AND(BY43=BW$5,BX$6&gt;=$D$129),1,0),IF(BW43&amp;BZ43=BZ$5,4,0),IF(AND(BW43=BW$5,BX$6&lt;=$D$104),-0.5,0),IF(AND(BX43=BW$5,BX$6&lt;=$D$104),-0.5,0),IF(AND(BY43=BW$5,BX$6&lt;=$D$104),-0.5,0))</f>
        <v/>
      </c>
      <c r="CB43" s="416" t="n"/>
      <c r="CC43" s="418" t="n"/>
      <c r="CD43" s="418" t="n"/>
      <c r="CE43" s="418" t="n"/>
      <c r="CF43" s="602">
        <f>SUM(IF(CB43=CB$5,4,0),IF(CB43&amp;CC43=CB$5&amp;CC$5,1,0),
IF(AND(CB43=CB$5,CC$6&gt;=$D$115),1,0),
IF(AND(CC43=CB$5,CC$6&gt;=$D$115),1,0),
IF(AND(CD43=CB$5,CC$6&gt;=$D$115),1,0),
IF(CB43&amp;CE43=CF$5,1,0),
IF(CC43=CB$5,2,0),
IF(CD43=CB$5,1,0),
IF(OR(CB43&amp;CC43&amp;CD43=CB$5&amp;CC$5&amp;CD$5,CB43&amp;CC43&amp;CD43=CB$5&amp;CD$5&amp;CC$5,CB43&amp;CC43&amp;CD43=CC$5&amp;CB$5&amp;CD$5,CB43&amp;CC43&amp;CD43=CC$5&amp;CD$5&amp;CB$5,CB43&amp;CC43&amp;CD43=CD$5&amp;CB$5&amp;CC$5,CB43&amp;CC43&amp;CD43=CD$5&amp;CC$5&amp;CB$5),2,0),IF(AND(CB43=CB$5,CC$6&gt;=$D$129),1,0),IF(AND(CC43=CB$5,CC$6&gt;=$D$129),1,0),IF(AND(CD43=CB$5,CC$6&gt;=$D$129),1,0),IF(CB43&amp;CE43=CE$5,4,0),IF(AND(CB43=CB$5,CC$6&lt;=$D$104),-0.5,0),IF(AND(CC43=CB$5,CC$6&lt;=$D$104),-0.5,0),IF(AND(CD43=CB$5,CC$6&lt;=$D$104),-0.5,0))</f>
        <v/>
      </c>
      <c r="CG43" s="164">
        <f>IF(SEMANA29[[#This Row],[1]]="",0,$B$4)</f>
        <v/>
      </c>
      <c r="CH43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3" s="166">
        <f>IF(SEMANA29[[#This Row],[Columna14]]=0,0,(CH43/CG43))</f>
        <v/>
      </c>
      <c r="CJ43" s="165">
        <f>IF(SEMANA29[[#This Row],[1]]="",0,$B$4)</f>
        <v/>
      </c>
      <c r="CK43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3" s="166">
        <f>IF(SEMANA29[[#This Row],[Columna14]]=0,0,(CK43/CJ43))</f>
        <v/>
      </c>
      <c r="CM43" s="164">
        <f>IF(SEMANA29[[#This Row],[1]]="",0,$B$4)</f>
        <v/>
      </c>
      <c r="CN43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3" s="166">
        <f>IF(SEMANA29[[#This Row],[Columna14]]=0,0,(CN43/CM43))</f>
        <v/>
      </c>
      <c r="CP43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3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Row],[Columna25]],$AX$5,BA43,"SF")+COUNTIFS(SEMANA29[[#This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3" s="166">
        <f>IFERROR(IF(SEMANA29[[#This Row],[Columna14]]=0,0,(CQ43/CP43)),0)</f>
        <v/>
      </c>
      <c r="CS43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3" s="95">
        <f>_xlfn.XLOOKUP(SEMANA29[[#This Row],[COD]],SEMANA2[COD],SEMANA2[Columna33])</f>
        <v/>
      </c>
      <c r="CU43" s="604">
        <f>SUM(CS43,CT43)</f>
        <v/>
      </c>
      <c r="CV43" s="450">
        <f>IF(SEMANA29[[#This Row],[TIPO]]="PREMIO",$O$3,"0,00")</f>
        <v/>
      </c>
      <c r="CW43" s="576" t="n"/>
      <c r="CY43" s="392">
        <f>IF(CZ43="","",$CZ$25)</f>
        <v/>
      </c>
      <c r="CZ43" s="392" t="n"/>
      <c r="DA43" s="392">
        <f t="array" ref="DA43">IF(CZ43="", "", IF((INDEX(E$8:CE$57, MATCH(CZ43, C$8:C$57, 0), ($CZ$25-1)*5 + 1) &amp; "") = (INDEX(E$5:CE$5, 1, ($CZ$25-1)*5 + 1) &amp; ""), 1, IF((INDEX(E$8:CE$57, MATCH(CZ43, C$8:C$57, 0), ($CZ$25-1)*5 + 2) &amp; "") = (INDEX(E$5:CE$5, 1, ($CZ$25-1)*5 + 1) &amp; ""), 2, IF((INDEX(E$8:CE$57, MATCH(CZ43, C$8:C$57, 0), ($CZ$25-1)*5 + 3) &amp; "") = (INDEX(E$5:CE$5, 1, ($CZ$25-1)*5 + 1) &amp; ""), 3, ""))))</f>
        <v/>
      </c>
      <c r="DB43" s="605">
        <f>SEMANA29[[#This Row],[COD]]</f>
        <v/>
      </c>
      <c r="DC43" s="395">
        <f t="array" ref="DC43">IFERROR(IF(AND(INDEX($E$8:$CE$57, MATCH($C43, $C$8:$C$57, 0), (COLUMNS($DC43:DC43)-1)*5 + 1) = INDEX($E$5:$CE$5, 1, (COLUMNS($DC43:DC43)-1)*5 + 1), INDEX($E$8:$CE$57, MATCH($C43, $C$8:$C$57, 0), (COLUMNS($DC43:DC43)-1)*5 + 4) = "F"), INDEX($CZ$8:$CZ$23, COLUMNS($DC43:DC43)), "0"), "")</f>
        <v/>
      </c>
      <c r="DD43" s="395">
        <f t="array" ref="DD43">IFERROR(IF(AND(INDEX($E$8:$CE$57, MATCH($C43, $C$8:$C$57, 0), (COLUMNS($DC43:DD43)-1)*5 + 1) = INDEX($E$5:$CE$5, 1, (COLUMNS($DC43:DD43)-1)*5 + 1), INDEX($E$8:$CE$57, MATCH($C43, $C$8:$C$57, 0), (COLUMNS($DC43:DD43)-1)*5 + 4) = "F"), INDEX($CZ$8:$CZ$23, COLUMNS($DC43:DD43)), "0"), "")</f>
        <v/>
      </c>
      <c r="DE43" s="395">
        <f t="array" ref="DE43">IFERROR(IF(AND(INDEX($E$8:$CE$57, MATCH($C43, $C$8:$C$57, 0), (COLUMNS($DC43:DE43)-1)*5 + 1) = INDEX($E$5:$CE$5, 1, (COLUMNS($DC43:DE43)-1)*5 + 1), INDEX($E$8:$CE$57, MATCH($C43, $C$8:$C$57, 0), (COLUMNS($DC43:DE43)-1)*5 + 4) = "F"), INDEX($CZ$8:$CZ$23, COLUMNS($DC43:DE43)), "0"), "")</f>
        <v/>
      </c>
      <c r="DF43" s="395">
        <f t="array" ref="DF43">IFERROR(IF(AND(INDEX($E$8:$CE$57, MATCH($C43, $C$8:$C$57, 0), (COLUMNS($DC43:DF43)-1)*5 + 1) = INDEX($E$5:$CE$5, 1, (COLUMNS($DC43:DF43)-1)*5 + 1), INDEX($E$8:$CE$57, MATCH($C43, $C$8:$C$57, 0), (COLUMNS($DC43:DF43)-1)*5 + 4) = "F"), INDEX($CZ$8:$CZ$23, COLUMNS($DC43:DF43)), "0"), "")</f>
        <v/>
      </c>
      <c r="DG43" s="395">
        <f t="array" ref="DG43">IFERROR(IF(AND(INDEX($E$8:$CE$57, MATCH($C43, $C$8:$C$57, 0), (COLUMNS($DC43:DG43)-1)*5 + 1) = INDEX($E$5:$CE$5, 1, (COLUMNS($DC43:DG43)-1)*5 + 1), INDEX($E$8:$CE$57, MATCH($C43, $C$8:$C$57, 0), (COLUMNS($DC43:DG43)-1)*5 + 4) = "F"), INDEX($CZ$8:$CZ$23, COLUMNS($DC43:DG43)), "0"), "")</f>
        <v/>
      </c>
      <c r="DH43" s="395">
        <f t="array" ref="DH43">IFERROR(IF(AND(INDEX($E$8:$CE$57, MATCH($C43, $C$8:$C$57, 0), (COLUMNS($DC43:DH43)-1)*5 + 1) = INDEX($E$5:$CE$5, 1, (COLUMNS($DC43:DH43)-1)*5 + 1), INDEX($E$8:$CE$57, MATCH($C43, $C$8:$C$57, 0), (COLUMNS($DC43:DH43)-1)*5 + 4) = "F"), INDEX($CZ$8:$CZ$23, COLUMNS($DC43:DH43)), "0"), "")</f>
        <v/>
      </c>
      <c r="DI43" s="395">
        <f t="array" ref="DI43">IFERROR(IF(AND(INDEX($E$8:$CE$57, MATCH($C43, $C$8:$C$57, 0), (COLUMNS($DC43:DI43)-1)*5 + 1) = INDEX($E$5:$CE$5, 1, (COLUMNS($DC43:DI43)-1)*5 + 1), INDEX($E$8:$CE$57, MATCH($C43, $C$8:$C$57, 0), (COLUMNS($DC43:DI43)-1)*5 + 4) = "F"), INDEX($CZ$8:$CZ$23, COLUMNS($DC43:DI43)), "0"), "")</f>
        <v/>
      </c>
      <c r="DJ43" s="395">
        <f t="array" ref="DJ43">IFERROR(IF(AND(INDEX($E$8:$CE$57, MATCH($C43, $C$8:$C$57, 0), (COLUMNS($DC43:DJ43)-1)*5 + 1) = INDEX($E$5:$CE$5, 1, (COLUMNS($DC43:DJ43)-1)*5 + 1), INDEX($E$8:$CE$57, MATCH($C43, $C$8:$C$57, 0), (COLUMNS($DC43:DJ43)-1)*5 + 4) = "F"), INDEX($CZ$8:$CZ$23, COLUMNS($DC43:DJ43)), "0"), "")</f>
        <v/>
      </c>
      <c r="DK43" s="395">
        <f t="array" ref="DK43">IFERROR(IF(AND(INDEX($E$8:$CE$57, MATCH($C43, $C$8:$C$57, 0), (COLUMNS($DC43:DK43)-1)*5 + 1) = INDEX($E$5:$CE$5, 1, (COLUMNS($DC43:DK43)-1)*5 + 1), INDEX($E$8:$CE$57, MATCH($C43, $C$8:$C$57, 0), (COLUMNS($DC43:DK43)-1)*5 + 4) = "F"), INDEX($CZ$8:$CZ$23, COLUMNS($DC43:DK43)), "0"), "")</f>
        <v/>
      </c>
      <c r="DL43" s="395">
        <f t="array" ref="DL43">IFERROR(IF(AND(INDEX($E$8:$CE$57, MATCH($C43, $C$8:$C$57, 0), (COLUMNS($DC43:DL43)-1)*5 + 1) = INDEX($E$5:$CE$5, 1, (COLUMNS($DC43:DL43)-1)*5 + 1), INDEX($E$8:$CE$57, MATCH($C43, $C$8:$C$57, 0), (COLUMNS($DC43:DL43)-1)*5 + 4) = "F"), INDEX($CZ$8:$CZ$23, COLUMNS($DC43:DL43)), "0"), "")</f>
        <v/>
      </c>
      <c r="DM43" s="395">
        <f t="array" ref="DM43">IFERROR(IF(AND(INDEX($E$8:$CE$57, MATCH($C43, $C$8:$C$57, 0), (COLUMNS($DC43:DM43)-1)*5 + 1) = INDEX($E$5:$CE$5, 1, (COLUMNS($DC43:DM43)-1)*5 + 1), INDEX($E$8:$CE$57, MATCH($C43, $C$8:$C$57, 0), (COLUMNS($DC43:DM43)-1)*5 + 4) = "F"), INDEX($CZ$8:$CZ$23, COLUMNS($DC43:DM43)), "0"), "")</f>
        <v/>
      </c>
      <c r="DN43" s="395">
        <f t="array" ref="DN43">IFERROR(IF(AND(INDEX($E$8:$CE$57, MATCH($C43, $C$8:$C$57, 0), (COLUMNS($DC43:DN43)-1)*5 + 1) = INDEX($E$5:$CE$5, 1, (COLUMNS($DC43:DN43)-1)*5 + 1), INDEX($E$8:$CE$57, MATCH($C43, $C$8:$C$57, 0), (COLUMNS($DC43:DN43)-1)*5 + 4) = "F"), INDEX($CZ$8:$CZ$23, COLUMNS($DC43:DN43)), "0"), "")</f>
        <v/>
      </c>
      <c r="DO43" s="395">
        <f t="array" ref="DO43">IFERROR(IF(AND(INDEX($E$8:$CE$57, MATCH($C43, $C$8:$C$57, 0), (COLUMNS($DC43:DO43)-1)*5 + 1) = INDEX($E$5:$CE$5, 1, (COLUMNS($DC43:DO43)-1)*5 + 1), INDEX($E$8:$CE$57, MATCH($C43, $C$8:$C$57, 0), (COLUMNS($DC43:DO43)-1)*5 + 4) = "F"), INDEX($CZ$8:$CZ$23, COLUMNS($DC43:DO43)), "0"), "")</f>
        <v/>
      </c>
      <c r="DP43" s="395">
        <f t="array" ref="DP43">IFERROR(IF(AND(INDEX($E$8:$CE$57, MATCH($C43, $C$8:$C$57, 0), (COLUMNS($DC43:DP43)-1)*5 + 1) = INDEX($E$5:$CE$5, 1, (COLUMNS($DC43:DP43)-1)*5 + 1), INDEX($E$8:$CE$57, MATCH($C43, $C$8:$C$57, 0), (COLUMNS($DC43:DP43)-1)*5 + 4) = "F"), INDEX($CZ$8:$CZ$23, COLUMNS($DC43:DP43)), "0"), "")</f>
        <v/>
      </c>
      <c r="DQ43" s="395">
        <f t="array" ref="DQ43">IFERROR(IF(AND(INDEX($E$8:$CE$57, MATCH($C43, $C$8:$C$57, 0), (COLUMNS($DC43:DQ43)-1)*5 + 1) = INDEX($E$5:$CE$5, 1, (COLUMNS($DC43:DQ43)-1)*5 + 1), INDEX($E$8:$CE$57, MATCH($C43, $C$8:$C$57, 0), (COLUMNS($DC43:DQ43)-1)*5 + 4) = "F"), INDEX($CZ$8:$CZ$23, COLUMNS($DC43:DQ43)), "0"), "")</f>
        <v/>
      </c>
      <c r="DR43" s="395">
        <f t="array" ref="DR43">IFERROR(IF(AND(INDEX($E$8:$CE$57, MATCH($C43, $C$8:$C$57, 0), (COLUMNS($DC43:DR43)-1)*5 + 1) = INDEX($E$5:$CE$5, 1, (COLUMNS($DC43:DR43)-1)*5 + 1), INDEX($E$8:$CE$57, MATCH($C43, $C$8:$C$57, 0), (COLUMNS($DC43:DR43)-1)*5 + 4) = "F"), INDEX($CZ$8:$CZ$23, COLUMNS($DC43:DR43)), "0"), "")</f>
        <v/>
      </c>
      <c r="DT43" s="605">
        <f>SEMANA29[[#This Row],[COD]]</f>
        <v/>
      </c>
      <c r="DU43" s="395">
        <f t="array" ref="DU43">IFERROR(IF(AND(INDEX($E$8:$CE$57, MATCH($C43, $C$8:$C$57, 0), (COLUMNS($DU43:DU43)-1)*5 + 1) = INDEX($E$5:$CE$5, 1, (COLUMNS($DU43:DU43)-1)*5 + 1), INDEX($E$8:$CE$57, MATCH($C43, $C$8:$C$57, 0), (COLUMNS($DU43:DU43)-1)*5 + 4) = "SF"), INDEX($CZ$8:$CZ$23, COLUMNS($DU43:DU43)), "0"), "")</f>
        <v/>
      </c>
      <c r="DV43" s="395">
        <f t="array" ref="DV43">IFERROR(IF(AND(INDEX($E$8:$CE$57, MATCH($C43, $C$8:$C$57, 0), (COLUMNS($DU43:DV43)-1)*5 + 1) = INDEX($E$5:$CE$5, 1, (COLUMNS($DU43:DV43)-1)*5 + 1), INDEX($E$8:$CE$57, MATCH($C43, $C$8:$C$57, 0), (COLUMNS($DU43:DV43)-1)*5 + 4) = "SF"), INDEX($CZ$8:$CZ$23, COLUMNS($DU43:DV43)), "0"), "")</f>
        <v/>
      </c>
      <c r="DW43" s="395">
        <f t="array" ref="DW43">IFERROR(IF(AND(INDEX($E$8:$CE$57, MATCH($C43, $C$8:$C$57, 0), (COLUMNS($DU43:DW43)-1)*5 + 1) = INDEX($E$5:$CE$5, 1, (COLUMNS($DU43:DW43)-1)*5 + 1), INDEX($E$8:$CE$57, MATCH($C43, $C$8:$C$57, 0), (COLUMNS($DU43:DW43)-1)*5 + 4) = "SF"), INDEX($CZ$8:$CZ$23, COLUMNS($DU43:DW43)), "0"), "")</f>
        <v/>
      </c>
      <c r="DX43" s="395">
        <f t="array" ref="DX43">IFERROR(IF(AND(INDEX($E$8:$CE$57, MATCH($C43, $C$8:$C$57, 0), (COLUMNS($DU43:DX43)-1)*5 + 1) = INDEX($E$5:$CE$5, 1, (COLUMNS($DU43:DX43)-1)*5 + 1), INDEX($E$8:$CE$57, MATCH($C43, $C$8:$C$57, 0), (COLUMNS($DU43:DX43)-1)*5 + 4) = "SF"), INDEX($CZ$8:$CZ$23, COLUMNS($DU43:DX43)), "0"), "")</f>
        <v/>
      </c>
      <c r="DY43" s="395">
        <f t="array" ref="DY43">IFERROR(IF(AND(INDEX($E$8:$CE$57, MATCH($C43, $C$8:$C$57, 0), (COLUMNS($DU43:DY43)-1)*5 + 1) = INDEX($E$5:$CE$5, 1, (COLUMNS($DU43:DY43)-1)*5 + 1), INDEX($E$8:$CE$57, MATCH($C43, $C$8:$C$57, 0), (COLUMNS($DU43:DY43)-1)*5 + 4) = "SF"), INDEX($CZ$8:$CZ$23, COLUMNS($DU43:DY43)), "0"), "")</f>
        <v/>
      </c>
      <c r="DZ43" s="395">
        <f t="array" ref="DZ43">IFERROR(IF(AND(INDEX($E$8:$CE$57, MATCH($C43, $C$8:$C$57, 0), (COLUMNS($DU43:DZ43)-1)*5 + 1) = INDEX($E$5:$CE$5, 1, (COLUMNS($DU43:DZ43)-1)*5 + 1), INDEX($E$8:$CE$57, MATCH($C43, $C$8:$C$57, 0), (COLUMNS($DU43:DZ43)-1)*5 + 4) = "SF"), INDEX($CZ$8:$CZ$23, COLUMNS($DU43:DZ43)), "0"), "")</f>
        <v/>
      </c>
      <c r="EA43" s="395">
        <f t="array" ref="EA43">IFERROR(IF(AND(INDEX($E$8:$CE$57, MATCH($C43, $C$8:$C$57, 0), (COLUMNS($DU43:EA43)-1)*5 + 1) = INDEX($E$5:$CE$5, 1, (COLUMNS($DU43:EA43)-1)*5 + 1), INDEX($E$8:$CE$57, MATCH($C43, $C$8:$C$57, 0), (COLUMNS($DU43:EA43)-1)*5 + 4) = "SF"), INDEX($CZ$8:$CZ$23, COLUMNS($DU43:EA43)), "0"), "")</f>
        <v/>
      </c>
      <c r="EB43" s="395">
        <f t="array" ref="EB43">IFERROR(IF(AND(INDEX($E$8:$CE$57, MATCH($C43, $C$8:$C$57, 0), (COLUMNS($DU43:EB43)-1)*5 + 1) = INDEX($E$5:$CE$5, 1, (COLUMNS($DU43:EB43)-1)*5 + 1), INDEX($E$8:$CE$57, MATCH($C43, $C$8:$C$57, 0), (COLUMNS($DU43:EB43)-1)*5 + 4) = "SF"), INDEX($CZ$8:$CZ$23, COLUMNS($DU43:EB43)), "0"), "")</f>
        <v/>
      </c>
      <c r="EC43" s="395">
        <f t="array" ref="EC43">IFERROR(IF(AND(INDEX($E$8:$CE$57, MATCH($C43, $C$8:$C$57, 0), (COLUMNS($DU43:EC43)-1)*5 + 1) = INDEX($E$5:$CE$5, 1, (COLUMNS($DU43:EC43)-1)*5 + 1), INDEX($E$8:$CE$57, MATCH($C43, $C$8:$C$57, 0), (COLUMNS($DU43:EC43)-1)*5 + 4) = "SF"), INDEX($CZ$8:$CZ$23, COLUMNS($DU43:EC43)), "0"), "")</f>
        <v/>
      </c>
      <c r="ED43" s="395">
        <f t="array" ref="ED43">IFERROR(IF(AND(INDEX($E$8:$CE$57, MATCH($C43, $C$8:$C$57, 0), (COLUMNS($DU43:ED43)-1)*5 + 1) = INDEX($E$5:$CE$5, 1, (COLUMNS($DU43:ED43)-1)*5 + 1), INDEX($E$8:$CE$57, MATCH($C43, $C$8:$C$57, 0), (COLUMNS($DU43:ED43)-1)*5 + 4) = "SF"), INDEX($CZ$8:$CZ$23, COLUMNS($DU43:ED43)), "0"), "")</f>
        <v/>
      </c>
      <c r="EE43" s="395">
        <f t="array" ref="EE43">IFERROR(IF(AND(INDEX($E$8:$CE$57, MATCH($C43, $C$8:$C$57, 0), (COLUMNS($DU43:EE43)-1)*5 + 1) = INDEX($E$5:$CE$5, 1, (COLUMNS($DU43:EE43)-1)*5 + 1), INDEX($E$8:$CE$57, MATCH($C43, $C$8:$C$57, 0), (COLUMNS($DU43:EE43)-1)*5 + 4) = "SF"), INDEX($CZ$8:$CZ$23, COLUMNS($DU43:EE43)), "0"), "")</f>
        <v/>
      </c>
      <c r="EF43" s="395">
        <f t="array" ref="EF43">IFERROR(IF(AND(INDEX($E$8:$CE$57, MATCH($C43, $C$8:$C$57, 0), (COLUMNS($DU43:EF43)-1)*5 + 1) = INDEX($E$5:$CE$5, 1, (COLUMNS($DU43:EF43)-1)*5 + 1), INDEX($E$8:$CE$57, MATCH($C43, $C$8:$C$57, 0), (COLUMNS($DU43:EF43)-1)*5 + 4) = "SF"), INDEX($CZ$8:$CZ$23, COLUMNS($DU43:EF43)), "0"), "")</f>
        <v/>
      </c>
      <c r="EG43" s="395">
        <f t="array" ref="EG43">IFERROR(IF(AND(INDEX($E$8:$CE$57, MATCH($C43, $C$8:$C$57, 0), (COLUMNS($DU43:EG43)-1)*5 + 1) = INDEX($E$5:$CE$5, 1, (COLUMNS($DU43:EG43)-1)*5 + 1), INDEX($E$8:$CE$57, MATCH($C43, $C$8:$C$57, 0), (COLUMNS($DU43:EG43)-1)*5 + 4) = "SF"), INDEX($CZ$8:$CZ$23, COLUMNS($DU43:EG43)), "0"), "")</f>
        <v/>
      </c>
      <c r="EH43" s="395">
        <f t="array" ref="EH43">IFERROR(IF(AND(INDEX($E$8:$CE$57, MATCH($C43, $C$8:$C$57, 0), (COLUMNS($DU43:EH43)-1)*5 + 1) = INDEX($E$5:$CE$5, 1, (COLUMNS($DU43:EH43)-1)*5 + 1), INDEX($E$8:$CE$57, MATCH($C43, $C$8:$C$57, 0), (COLUMNS($DU43:EH43)-1)*5 + 4) = "SF"), INDEX($CZ$8:$CZ$23, COLUMNS($DU43:EH43)), "0"), "")</f>
        <v/>
      </c>
      <c r="EI43" s="395">
        <f t="array" ref="EI43">IFERROR(IF(AND(INDEX($E$8:$CE$57, MATCH($C43, $C$8:$C$57, 0), (COLUMNS($DU43:EI43)-1)*5 + 1) = INDEX($E$5:$CE$5, 1, (COLUMNS($DU43:EI43)-1)*5 + 1), INDEX($E$8:$CE$57, MATCH($C43, $C$8:$C$57, 0), (COLUMNS($DU43:EI43)-1)*5 + 4) = "SF"), INDEX($CZ$8:$CZ$23, COLUMNS($DU43:EI43)), "0"), "")</f>
        <v/>
      </c>
      <c r="EJ43" s="395">
        <f t="array" ref="EJ43">IFERROR(IF(AND(INDEX($E$8:$CE$57, MATCH($C43, $C$8:$C$57, 0), (COLUMNS($DU43:EJ43)-1)*5 + 1) = INDEX($E$5:$CE$5, 1, (COLUMNS($DU43:EJ43)-1)*5 + 1), INDEX($E$8:$CE$57, MATCH($C43, $C$8:$C$57, 0), (COLUMNS($DU43:EJ43)-1)*5 + 4) = "SF"), INDEX($CZ$8:$CZ$23, COLUMNS($DU43:EJ43)), "0"), "")</f>
        <v/>
      </c>
    </row>
    <row r="44" ht="20.1" customHeight="1" s="568">
      <c r="A44" s="576" t="n"/>
      <c r="B44" s="449">
        <f>IF(SEMANA29[[#This Row],[COD]]&lt;&gt;"",B43+1,"")</f>
        <v/>
      </c>
      <c r="C44" s="622" t="inlineStr">
        <is>
          <t>COD 37</t>
        </is>
      </c>
      <c r="D44" s="415">
        <f t="array" ref="D44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4" s="416" t="n"/>
      <c r="F44" s="422" t="n"/>
      <c r="G44" s="422" t="n"/>
      <c r="H44" s="422" t="n"/>
      <c r="I44" s="602">
        <f>SUM(IF(E44=E$5,4,0),IF(E44&amp;F44=E$5&amp;F$5,1,0),
IF(AND(E44=E$5,F$6&gt;=$D$115),1,0),
IF(AND(F44=E$5,F$6&gt;=$D$115),1,0),
IF(AND(G44=E$5,F$6&gt;=$D$115),1,0),
IF(E44&amp;H44=I$5,1,0),
IF(F44=E$5,2,0),
IF(G44=E$5,1,0),
IF(OR(E44&amp;F44&amp;G44=E$5&amp;F$5&amp;G$5,E44&amp;F44&amp;G44=E$5&amp;G$5&amp;F$5,E44&amp;F44&amp;G44=F$5&amp;E$5&amp;G$5,E44&amp;F44&amp;G44=F$5&amp;G$5&amp;E$5,E44&amp;F44&amp;G44=G$5&amp;E$5&amp;F$5,E44&amp;F44&amp;G44=G$5&amp;F$5&amp;E$5),2,0),IF(AND(E44=E$5,F$6&gt;=$D$129),1,0),IF(AND(F44=E$5,F$6&gt;=$D$129),1,0),IF(AND(G44=E$5,F$6&gt;=$D$129),1,0),IF(E44&amp;H44=H$5,4,0),IF(AND(E44=E$5,F$6&lt;=$D$104),-0.5,0),IF(AND(F44=E$5,F$6&lt;=$D$104),-0.5,0),IF(AND(G44=E$5,F$6&lt;=$D$104),-0.5,0))</f>
        <v/>
      </c>
      <c r="J44" s="416" t="n"/>
      <c r="K44" s="422" t="n"/>
      <c r="L44" s="422" t="n"/>
      <c r="M44" s="422" t="n"/>
      <c r="N44" s="602">
        <f>SUM(IF(J44=J$5,4,0),IF(J44&amp;K44=J$5&amp;K$5,1,0),
IF(AND(J44=J$5,K$6&gt;=$D$115),1,0),
IF(AND(K44=J$5,K$6&gt;=$D$115),1,0),
IF(AND(L44=J$5,K$6&gt;=$D$115),1,0),
IF(J44&amp;M44=N$5,1,0),
IF(K44=J$5,2,0),
IF(L44=J$5,1,0),
IF(OR(J44&amp;K44&amp;L44=J$5&amp;K$5&amp;L$5,J44&amp;K44&amp;L44=J$5&amp;L$5&amp;K$5,J44&amp;K44&amp;L44=K$5&amp;J$5&amp;L$5,J44&amp;K44&amp;L44=K$5&amp;L$5&amp;J$5,J44&amp;K44&amp;L44=L$5&amp;J$5&amp;K$5,J44&amp;K44&amp;L44=L$5&amp;K$5&amp;J$5),2,0),IF(AND(J44=J$5,K$6&gt;=$D$129),1,0),IF(AND(K44=J$5,K$6&gt;=$D$129),1,0),IF(AND(L44=J$5,K$6&gt;=$D$129),1,0),IF(J44&amp;M44=M$5,4,0),IF(AND(J44=J$5,K$6&lt;=$D$104),-0.5,0),IF(AND(K44=J$5,K$6&lt;=$D$104),-0.5,0),IF(AND(L44=J$5,K$6&lt;=$D$104),-0.5,0))</f>
        <v/>
      </c>
      <c r="O44" s="416" t="n"/>
      <c r="P44" s="422" t="n"/>
      <c r="Q44" s="422" t="n"/>
      <c r="R44" s="422" t="n"/>
      <c r="S44" s="602">
        <f>SUM(IF(O44=O$5,4,0),IF(O44&amp;P44=O$5&amp;P$5,1,0),
IF(AND(O44=O$5,P$6&gt;=$D$115),1,0),
IF(AND(P44=O$5,P$6&gt;=$D$115),1,0),
IF(AND(Q44=O$5,P$6&gt;=$D$115),1,0),
IF(O44&amp;R44=S$5,1,0),
IF(P44=O$5,2,0),
IF(Q44=O$5,1,0),
IF(OR(O44&amp;P44&amp;Q44=O$5&amp;P$5&amp;Q$5,O44&amp;P44&amp;Q44=O$5&amp;Q$5&amp;P$5,O44&amp;P44&amp;Q44=P$5&amp;O$5&amp;Q$5,O44&amp;P44&amp;Q44=P$5&amp;Q$5&amp;O$5,O44&amp;P44&amp;Q44=Q$5&amp;O$5&amp;P$5,O44&amp;P44&amp;Q44=Q$5&amp;P$5&amp;O$5),2,0),IF(AND(O44=O$5,P$6&gt;=$D$129),1,0),IF(AND(P44=O$5,P$6&gt;=$D$129),1,0),IF(AND(Q44=O$5,P$6&gt;=$D$129),1,0),IF(O44&amp;R44=R$5,4,0),IF(AND(O44=O$5,P$6&lt;=$D$104),-0.5,0),IF(AND(P44=O$5,P$6&lt;=$D$104),-0.5,0),IF(AND(Q44=O$5,P$6&lt;=$D$104),-0.5,0))</f>
        <v/>
      </c>
      <c r="T44" s="416" t="n"/>
      <c r="U44" s="422" t="n"/>
      <c r="V44" s="422" t="n"/>
      <c r="W44" s="422" t="n"/>
      <c r="X44" s="602">
        <f>SUM(IF(T44=T$5,4,0),IF(T44&amp;U44=T$5&amp;U$5,1,0),
IF(AND(T44=T$5,U$6&gt;=$D$115),1,0),
IF(AND(U44=T$5,U$6&gt;=$D$115),1,0),
IF(AND(V44=T$5,U$6&gt;=$D$115),1,0),
IF(T44&amp;W44=X$5,1,0),
IF(U44=T$5,2,0),
IF(V44=T$5,1,0),
IF(OR(T44&amp;U44&amp;V44=T$5&amp;U$5&amp;V$5,T44&amp;U44&amp;V44=T$5&amp;V$5&amp;U$5,T44&amp;U44&amp;V44=U$5&amp;T$5&amp;V$5,T44&amp;U44&amp;V44=U$5&amp;V$5&amp;T$5,T44&amp;U44&amp;V44=V$5&amp;T$5&amp;U$5,T44&amp;U44&amp;V44=V$5&amp;U$5&amp;T$5),2,0),IF(AND(T44=T$5,U$6&gt;=$D$129),1,0),IF(AND(U44=T$5,U$6&gt;=$D$129),1,0),IF(AND(V44=T$5,U$6&gt;=$D$129),1,0),IF(T44&amp;W44=W$5,4,0),IF(AND(T44=T$5,U$6&lt;=$D$104),-0.5,0),IF(AND(U44=T$5,U$6&lt;=$D$104),-0.5,0),IF(AND(V44=T$5,U$6&lt;=$D$104),-0.5,0))</f>
        <v/>
      </c>
      <c r="Y44" s="416" t="n"/>
      <c r="Z44" s="422" t="n"/>
      <c r="AA44" s="422" t="n"/>
      <c r="AB44" s="422" t="n"/>
      <c r="AC44" s="602">
        <f>SUM(IF(Y44=Y$5,4,0),IF(Y44&amp;Z44=Y$5&amp;Z$5,1,0),
IF(AND(Y44=Y$5,Z$6&gt;=$D$115),1,0),
IF(AND(Z44=Y$5,Z$6&gt;=$D$115),1,0),
IF(AND(AA44=Y$5,Z$6&gt;=$D$115),1,0),
IF(Y44&amp;AB44=AC$5,1,0),
IF(Z44=Y$5,2,0),
IF(AA44=Y$5,1,0),
IF(OR(Y44&amp;Z44&amp;AA44=Y$5&amp;Z$5&amp;AA$5,Y44&amp;Z44&amp;AA44=Y$5&amp;AA$5&amp;Z$5,Y44&amp;Z44&amp;AA44=Z$5&amp;Y$5&amp;AA$5,Y44&amp;Z44&amp;AA44=Z$5&amp;AA$5&amp;Y$5,Y44&amp;Z44&amp;AA44=AA$5&amp;Y$5&amp;Z$5,Y44&amp;Z44&amp;AA44=AA$5&amp;Z$5&amp;Y$5),2,0),IF(AND(Y44=Y$5,Z$6&gt;=$D$129),1,0),IF(AND(Z44=Y$5,Z$6&gt;=$D$129),1,0),IF(AND(AA44=Y$5,Z$6&gt;=$D$129),1,0),IF(Y44&amp;AB44=AB$5,4,0),IF(AND(Y44=Y$5,Z$6&lt;=$D$104),-0.5,0),IF(AND(Z44=Y$5,Z$6&lt;=$D$104),-0.5,0),IF(AND(AA44=Y$5,Z$6&lt;=$D$104),-0.5,0))</f>
        <v/>
      </c>
      <c r="AD44" s="416" t="n"/>
      <c r="AE44" s="422" t="n"/>
      <c r="AF44" s="422" t="n"/>
      <c r="AG44" s="422" t="n"/>
      <c r="AH44" s="602">
        <f>SUM(IF(AD44=AD$5,4,0),IF(AD44&amp;AE44=AD$5&amp;AE$5,1,0),
IF(AND(AD44=AD$5,AE$6&gt;=$D$115),1,0),
IF(AND(AE44=AD$5,AE$6&gt;=$D$115),1,0),
IF(AND(AF44=AD$5,AE$6&gt;=$D$115),1,0),
IF(AD44&amp;AG44=AH$5,1,0),
IF(AE44=AD$5,2,0),
IF(AF44=AD$5,1,0),
IF(OR(AD44&amp;AE44&amp;AF44=AD$5&amp;AE$5&amp;AF$5,AD44&amp;AE44&amp;AF44=AD$5&amp;AF$5&amp;AE$5,AD44&amp;AE44&amp;AF44=AE$5&amp;AD$5&amp;AF$5,AD44&amp;AE44&amp;AF44=AE$5&amp;AF$5&amp;AD$5,AD44&amp;AE44&amp;AF44=AF$5&amp;AD$5&amp;AE$5,AD44&amp;AE44&amp;AF44=AF$5&amp;AE$5&amp;AD$5),2,0),IF(AND(AD44=AD$5,AE$6&gt;=$D$129),1,0),IF(AND(AE44=AD$5,AE$6&gt;=$D$129),1,0),IF(AND(AF44=AD$5,AE$6&gt;=$D$129),1,0),IF(AD44&amp;AG44=AG$5,4,0),IF(AND(AD44=AD$5,AE$6&lt;=$D$104),-0.5,0),IF(AND(AE44=AD$5,AE$6&lt;=$D$104),-0.5,0),IF(AND(AF44=AD$5,AE$6&lt;=$D$104),-0.5,0))</f>
        <v/>
      </c>
      <c r="AI44" s="416" t="n"/>
      <c r="AJ44" s="422" t="n"/>
      <c r="AK44" s="422" t="n"/>
      <c r="AL44" s="422" t="n"/>
      <c r="AM44" s="602">
        <f>SUM(IF(AI44=AI$5,4,0),IF(AI44&amp;AJ44=AI$5&amp;AJ$5,1,0),
IF(AND(AI44=AI$5,AJ$6&gt;=$D$115),1,0),
IF(AND(AJ44=AI$5,AJ$6&gt;=$D$115),1,0),
IF(AND(AK44=AI$5,AJ$6&gt;=$D$115),1,0),
IF(AI44&amp;AL44=AM$5,1,0),
IF(AJ44=AI$5,2,0),
IF(AK44=AI$5,1,0),
IF(OR(AI44&amp;AJ44&amp;AK44=AI$5&amp;AJ$5&amp;AK$5,AI44&amp;AJ44&amp;AK44=AI$5&amp;AK$5&amp;AJ$5,AI44&amp;AJ44&amp;AK44=AJ$5&amp;AI$5&amp;AK$5,AI44&amp;AJ44&amp;AK44=AJ$5&amp;AK$5&amp;AI$5,AI44&amp;AJ44&amp;AK44=AK$5&amp;AI$5&amp;AJ$5,AI44&amp;AJ44&amp;AK44=AK$5&amp;AJ$5&amp;AI$5),2,0),IF(AND(AI44=AI$5,AJ$6&gt;=$D$129),1,0),IF(AND(AJ44=AI$5,AJ$6&gt;=$D$129),1,0),IF(AND(AK44=AI$5,AJ$6&gt;=$D$129),1,0),IF(AI44&amp;AL44=AL$5,4,0),IF(AND(AI44=AI$5,AJ$6&lt;=$D$104),-0.5,0),IF(AND(AJ44=AI$5,AJ$6&lt;=$D$104),-0.5,0),IF(AND(AK44=AI$5,AJ$6&lt;=$D$104),-0.5,0))</f>
        <v/>
      </c>
      <c r="AN44" s="416" t="n"/>
      <c r="AO44" s="422" t="n"/>
      <c r="AP44" s="422" t="n"/>
      <c r="AQ44" s="422" t="n"/>
      <c r="AR44" s="602">
        <f>SUM(IF(AN44=AN$5,4,0),IF(AN44&amp;AO44=AN$5&amp;AO$5,1,0),
IF(AND(AN44=AN$5,AO$6&gt;=$D$115),1,0),
IF(AND(AO44=AN$5,AO$6&gt;=$D$115),1,0),
IF(AND(AP44=AN$5,AO$6&gt;=$D$115),1,0),
IF(AN44&amp;AQ44=AR$5,1,0),
IF(AO44=AN$5,2,0),
IF(AP44=AN$5,1,0),
IF(OR(AN44&amp;AO44&amp;AP44=AN$5&amp;AO$5&amp;AP$5,AN44&amp;AO44&amp;AP44=AN$5&amp;AP$5&amp;AO$5,AN44&amp;AO44&amp;AP44=AO$5&amp;AN$5&amp;AP$5,AN44&amp;AO44&amp;AP44=AO$5&amp;AP$5&amp;AN$5,AN44&amp;AO44&amp;AP44=AP$5&amp;AN$5&amp;AO$5,AN44&amp;AO44&amp;AP44=AP$5&amp;AO$5&amp;AN$5),2,0),IF(AND(AN44=AN$5,AO$6&gt;=$D$129),1,0),IF(AND(AO44=AN$5,AO$6&gt;=$D$129),1,0),IF(AND(AP44=AN$5,AO$6&gt;=$D$129),1,0),IF(AN44&amp;AQ44=AQ$5,4,0),IF(AND(AN44=AN$5,AO$6&lt;=$D$104),-0.5,0),IF(AND(AO44=AN$5,AO$6&lt;=$D$104),-0.5,0),IF(AND(AP44=AN$5,AO$6&lt;=$D$104),-0.5,0))</f>
        <v/>
      </c>
      <c r="AS44" s="416" t="n"/>
      <c r="AT44" s="422" t="n"/>
      <c r="AU44" s="422" t="n"/>
      <c r="AV44" s="422" t="n"/>
      <c r="AW44" s="602">
        <f>SUM(IF(AS44=AS$5,4,0),IF(AS44&amp;AT44=AS$5&amp;AT$5,1,0),
IF(AND(AS44=AS$5,AT$6&gt;=$D$115),1,0),
IF(AND(AT44=AS$5,AT$6&gt;=$D$115),1,0),
IF(AND(AU44=AS$5,AT$6&gt;=$D$115),1,0),
IF(AS44&amp;AV44=AW$5,1,0),
IF(AT44=AS$5,2,0),
IF(AU44=AS$5,1,0),
IF(OR(AS44&amp;AT44&amp;AU44=AS$5&amp;AT$5&amp;AU$5,AS44&amp;AT44&amp;AU44=AS$5&amp;AU$5&amp;AT$5,AS44&amp;AT44&amp;AU44=AT$5&amp;AS$5&amp;AU$5,AS44&amp;AT44&amp;AU44=AT$5&amp;AU$5&amp;AS$5,AS44&amp;AT44&amp;AU44=AU$5&amp;AS$5&amp;AT$5,AS44&amp;AT44&amp;AU44=AU$5&amp;AT$5&amp;AS$5),2,0),IF(AND(AS44=AS$5,AT$6&gt;=$D$129),1,0),IF(AND(AT44=AS$5,AT$6&gt;=$D$129),1,0),IF(AND(AU44=AS$5,AT$6&gt;=$D$129),1,0),IF(AS44&amp;AV44=AV$5,4,0),IF(AND(AS44=AS$5,AT$6&lt;=$D$104),-0.5,0),IF(AND(AT44=AS$5,AT$6&lt;=$D$104),-0.5,0),IF(AND(AU44=AS$5,AT$6&lt;=$D$104),-0.5,0))</f>
        <v/>
      </c>
      <c r="AX44" s="416" t="n"/>
      <c r="AY44" s="422" t="n"/>
      <c r="AZ44" s="422" t="n"/>
      <c r="BA44" s="422" t="n"/>
      <c r="BB44" s="602">
        <f>SUM(IF(AX44=AX$5,4,0),IF(AX44&amp;AY44=AX$5&amp;AY$5,1,0),
IF(AND(AX44=AX$5,AY$6&gt;=$D$115),1,0),
IF(AND(AY44=AX$5,AY$6&gt;=$D$115),1,0),
IF(AND(AZ44=AX$5,AY$6&gt;=$D$115),1,0),
IF(AX44&amp;BA44=BB$5,1,0),
IF(AY44=AX$5,2,0),
IF(AZ44=AX$5,1,0),
IF(OR(AX44&amp;AY44&amp;AZ44=AX$5&amp;AY$5&amp;AZ$5,AX44&amp;AY44&amp;AZ44=AX$5&amp;AZ$5&amp;AY$5,AX44&amp;AY44&amp;AZ44=AY$5&amp;AX$5&amp;AZ$5,AX44&amp;AY44&amp;AZ44=AY$5&amp;AZ$5&amp;AX$5,AX44&amp;AY44&amp;AZ44=AZ$5&amp;AX$5&amp;AY$5,AX44&amp;AY44&amp;AZ44=AZ$5&amp;AY$5&amp;AX$5),2,0),IF(AND(AX44=AX$5,AY$6&gt;=$D$129),1,0),IF(AND(AY44=AX$5,AY$6&gt;=$D$129),1,0),IF(AND(AZ44=AX$5,AY$6&gt;=$D$129),1,0),IF(AX44&amp;BA44=BA$5,4,0),IF(AND(AX44=AX$5,AY$6&lt;=$D$104),-0.5,0),IF(AND(AY44=AX$5,AY$6&lt;=$D$104),-0.5,0),IF(AND(AZ44=AX$5,AY$6&lt;=$D$104),-0.5,0))</f>
        <v/>
      </c>
      <c r="BC44" s="416" t="n"/>
      <c r="BD44" s="422" t="n"/>
      <c r="BE44" s="422" t="n"/>
      <c r="BF44" s="422" t="n"/>
      <c r="BG44" s="602">
        <f>SUM(IF(BC44=BC$5,4,0),IF(BC44&amp;BD44=BC$5&amp;BD$5,1,0),
IF(AND(BC44=BC$5,BD$6&gt;=$D$115),1,0),
IF(AND(BD44=BC$5,BD$6&gt;=$D$115),1,0),
IF(AND(BE44=BC$5,BD$6&gt;=$D$115),1,0),
IF(BC44&amp;BF44=BG$5,1,0),
IF(BD44=BC$5,2,0),
IF(BE44=BC$5,1,0),
IF(OR(BC44&amp;BD44&amp;BE44=BC$5&amp;BD$5&amp;BE$5,BC44&amp;BD44&amp;BE44=BC$5&amp;BE$5&amp;BD$5,BC44&amp;BD44&amp;BE44=BD$5&amp;BC$5&amp;BE$5,BC44&amp;BD44&amp;BE44=BD$5&amp;BE$5&amp;BC$5,BC44&amp;BD44&amp;BE44=BE$5&amp;BC$5&amp;BD$5,BC44&amp;BD44&amp;BE44=BE$5&amp;BD$5&amp;BC$5),2,0),IF(AND(BC44=BC$5,BD$6&gt;=$D$129),1,0),IF(AND(BD44=BC$5,BD$6&gt;=$D$129),1,0),IF(AND(BE44=BC$5,BD$6&gt;=$D$129),1,0),IF(BC44&amp;BF44=BF$5,4,0),IF(AND(BC44=BC$5,BD$6&lt;=$D$104),-0.5,0),IF(AND(BD44=BC$5,BD$6&lt;=$D$104),-0.5,0),IF(AND(BE44=BC$5,BD$6&lt;=$D$104),-0.5,0))</f>
        <v/>
      </c>
      <c r="BH44" s="416" t="n"/>
      <c r="BI44" s="422" t="n"/>
      <c r="BJ44" s="422" t="n"/>
      <c r="BK44" s="422" t="n"/>
      <c r="BL44" s="602">
        <f>SUM(IF(BH44=BH$5,4,0),IF(BH44&amp;BI44=BH$5&amp;BI$5,1,0),
IF(AND(BH44=BH$5,BI$6&gt;=$D$115),1,0),
IF(AND(BI44=BH$5,BI$6&gt;=$D$115),1,0),
IF(AND(BJ44=BH$5,BI$6&gt;=$D$115),1,0),
IF(BH44&amp;BK44=BL$5,1,0),
IF(BI44=BH$5,2,0),
IF(BJ44=BH$5,1,0),
IF(OR(BH44&amp;BI44&amp;BJ44=BH$5&amp;BI$5&amp;BJ$5,BH44&amp;BI44&amp;BJ44=BH$5&amp;BJ$5&amp;BI$5,BH44&amp;BI44&amp;BJ44=BI$5&amp;BH$5&amp;BJ$5,BH44&amp;BI44&amp;BJ44=BI$5&amp;BJ$5&amp;BH$5,BH44&amp;BI44&amp;BJ44=BJ$5&amp;BH$5&amp;BI$5,BH44&amp;BI44&amp;BJ44=BJ$5&amp;BI$5&amp;BH$5),2,0),IF(AND(BH44=BH$5,BI$6&gt;=$D$129),1,0),IF(AND(BI44=BH$5,BI$6&gt;=$D$129),1,0),IF(AND(BJ44=BH$5,BI$6&gt;=$D$129),1,0),IF(BH44&amp;BK44=BK$5,4,0),IF(AND(BH44=BH$5,BI$6&lt;=$D$104),-0.5,0),IF(AND(BI44=BH$5,BI$6&lt;=$D$104),-0.5,0),IF(AND(BJ44=BH$5,BI$6&lt;=$D$104),-0.5,0))</f>
        <v/>
      </c>
      <c r="BM44" s="416" t="n"/>
      <c r="BN44" s="422" t="n"/>
      <c r="BO44" s="422" t="n"/>
      <c r="BP44" s="422" t="n"/>
      <c r="BQ44" s="602">
        <f>SUM(IF(BM44=BM$5,4,0),IF(BM44&amp;BN44=BM$5&amp;BN$5,1,0),
IF(AND(BM44=BM$5,BN$6&gt;=$D$115),1,0),
IF(AND(BN44=BM$5,BN$6&gt;=$D$115),1,0),
IF(AND(BO44=BM$5,BN$6&gt;=$D$115),1,0),
IF(BM44&amp;BP44=BQ$5,1,0),
IF(BN44=BM$5,2,0),
IF(BO44=BM$5,1,0),
IF(OR(BM44&amp;BN44&amp;BO44=BM$5&amp;BN$5&amp;BO$5,BM44&amp;BN44&amp;BO44=BM$5&amp;BO$5&amp;BN$5,BM44&amp;BN44&amp;BO44=BN$5&amp;BM$5&amp;BO$5,BM44&amp;BN44&amp;BO44=BN$5&amp;BO$5&amp;BM$5,BM44&amp;BN44&amp;BO44=BO$5&amp;BM$5&amp;BN$5,BM44&amp;BN44&amp;BO44=BO$5&amp;BN$5&amp;BM$5),2,0),IF(AND(BM44=BM$5,BN$6&gt;=$D$129),1,0),IF(AND(BN44=BM$5,BN$6&gt;=$D$129),1,0),IF(AND(BO44=BM$5,BN$6&gt;=$D$129),1,0),IF(BM44&amp;BP44=BP$5,4,0),IF(AND(BM44=BM$5,BN$6&lt;=$D$104),-0.5,0),IF(AND(BN44=BM$5,BN$6&lt;=$D$104),-0.5,0),IF(AND(BO44=BM$5,BN$6&lt;=$D$104),-0.5,0))</f>
        <v/>
      </c>
      <c r="BR44" s="416" t="n"/>
      <c r="BS44" s="422" t="n"/>
      <c r="BT44" s="422" t="n"/>
      <c r="BU44" s="422" t="n"/>
      <c r="BV44" s="602">
        <f>SUM(IF(BR44=BR$5,4,0),IF(BR44&amp;BS44=BR$5&amp;BS$5,1,0),
IF(AND(BR44=BR$5,BS$6&gt;=$D$115),1,0),
IF(AND(BS44=BR$5,BS$6&gt;=$D$115),1,0),
IF(AND(BT44=BR$5,BS$6&gt;=$D$115),1,0),
IF(BR44&amp;BU44=BV$5,1,0),
IF(BS44=BR$5,2,0),
IF(BT44=BR$5,1,0),
IF(OR(BR44&amp;BS44&amp;BT44=BR$5&amp;BS$5&amp;BT$5,BR44&amp;BS44&amp;BT44=BR$5&amp;BT$5&amp;BS$5,BR44&amp;BS44&amp;BT44=BS$5&amp;BR$5&amp;BT$5,BR44&amp;BS44&amp;BT44=BS$5&amp;BT$5&amp;BR$5,BR44&amp;BS44&amp;BT44=BT$5&amp;BR$5&amp;BS$5,BR44&amp;BS44&amp;BT44=BT$5&amp;BS$5&amp;BR$5),2,0),IF(AND(BR44=BR$5,BS$6&gt;=$D$129),1,0),IF(AND(BS44=BR$5,BS$6&gt;=$D$129),1,0),IF(AND(BT44=BR$5,BS$6&gt;=$D$129),1,0),IF(BR44&amp;BU44=BU$5,4,0),IF(AND(BR44=BR$5,BS$6&lt;=$D$104),-0.5,0),IF(AND(BS44=BR$5,BS$6&lt;=$D$104),-0.5,0),IF(AND(BT44=BR$5,BS$6&lt;=$D$104),-0.5,0))</f>
        <v/>
      </c>
      <c r="BW44" s="416" t="n"/>
      <c r="BX44" s="422" t="n"/>
      <c r="BY44" s="422" t="n"/>
      <c r="BZ44" s="422" t="n"/>
      <c r="CA44" s="602">
        <f>SUM(IF(BW44=BW$5,4,0),IF(BW44&amp;BX44=BW$5&amp;BX$5,1,0),
IF(AND(BW44=BW$5,BX$6&gt;=$D$115),1,0),
IF(AND(BX44=BW$5,BX$6&gt;=$D$115),1,0),
IF(AND(BY44=BW$5,BX$6&gt;=$D$115),1,0),
IF(BW44&amp;BZ44=CA$5,1,0),
IF(BX44=BW$5,2,0),
IF(BY44=BW$5,1,0),
IF(OR(BW44&amp;BX44&amp;BY44=BW$5&amp;BX$5&amp;BY$5,BW44&amp;BX44&amp;BY44=BW$5&amp;BY$5&amp;BX$5,BW44&amp;BX44&amp;BY44=BX$5&amp;BW$5&amp;BY$5,BW44&amp;BX44&amp;BY44=BX$5&amp;BY$5&amp;BW$5,BW44&amp;BX44&amp;BY44=BY$5&amp;BW$5&amp;BX$5,BW44&amp;BX44&amp;BY44=BY$5&amp;BX$5&amp;BW$5),2,0),IF(AND(BW44=BW$5,BX$6&gt;=$D$129),1,0),IF(AND(BX44=BW$5,BX$6&gt;=$D$129),1,0),IF(AND(BY44=BW$5,BX$6&gt;=$D$129),1,0),IF(BW44&amp;BZ44=BZ$5,4,0),IF(AND(BW44=BW$5,BX$6&lt;=$D$104),-0.5,0),IF(AND(BX44=BW$5,BX$6&lt;=$D$104),-0.5,0),IF(AND(BY44=BW$5,BX$6&lt;=$D$104),-0.5,0))</f>
        <v/>
      </c>
      <c r="CB44" s="416" t="n"/>
      <c r="CC44" s="422" t="n"/>
      <c r="CD44" s="422" t="n"/>
      <c r="CE44" s="422" t="n"/>
      <c r="CF44" s="602">
        <f>SUM(IF(CB44=CB$5,4,0),IF(CB44&amp;CC44=CB$5&amp;CC$5,1,0),
IF(AND(CB44=CB$5,CC$6&gt;=$D$115),1,0),
IF(AND(CC44=CB$5,CC$6&gt;=$D$115),1,0),
IF(AND(CD44=CB$5,CC$6&gt;=$D$115),1,0),
IF(CB44&amp;CE44=CF$5,1,0),
IF(CC44=CB$5,2,0),
IF(CD44=CB$5,1,0),
IF(OR(CB44&amp;CC44&amp;CD44=CB$5&amp;CC$5&amp;CD$5,CB44&amp;CC44&amp;CD44=CB$5&amp;CD$5&amp;CC$5,CB44&amp;CC44&amp;CD44=CC$5&amp;CB$5&amp;CD$5,CB44&amp;CC44&amp;CD44=CC$5&amp;CD$5&amp;CB$5,CB44&amp;CC44&amp;CD44=CD$5&amp;CB$5&amp;CC$5,CB44&amp;CC44&amp;CD44=CD$5&amp;CC$5&amp;CB$5),2,0),IF(AND(CB44=CB$5,CC$6&gt;=$D$129),1,0),IF(AND(CC44=CB$5,CC$6&gt;=$D$129),1,0),IF(AND(CD44=CB$5,CC$6&gt;=$D$129),1,0),IF(CB44&amp;CE44=CE$5,4,0),IF(AND(CB44=CB$5,CC$6&lt;=$D$104),-0.5,0),IF(AND(CC44=CB$5,CC$6&lt;=$D$104),-0.5,0),IF(AND(CD44=CB$5,CC$6&lt;=$D$104),-0.5,0))</f>
        <v/>
      </c>
      <c r="CG44" s="164">
        <f>IF(SEMANA29[[#This Row],[1]]="",0,$B$4)</f>
        <v/>
      </c>
      <c r="CH44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4" s="166">
        <f>IF(SEMANA29[[#This Row],[Columna14]]=0,0,(CH44/CG44))</f>
        <v/>
      </c>
      <c r="CJ44" s="165">
        <f>IF(SEMANA29[[#This Row],[1]]="",0,$B$4)</f>
        <v/>
      </c>
      <c r="CK44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4" s="166">
        <f>IF(SEMANA29[[#This Row],[Columna14]]=0,0,(CK44/CJ44))</f>
        <v/>
      </c>
      <c r="CM44" s="164">
        <f>IF(SEMANA29[[#This Row],[1]]="",0,$B$4)</f>
        <v/>
      </c>
      <c r="CN44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4" s="166">
        <f>IF(SEMANA29[[#This Row],[Columna14]]=0,0,(CN44/CM44))</f>
        <v/>
      </c>
      <c r="CP44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4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Row],[Columna25]],$AX$5,BA44,"SF")+COUNTIFS(SEMANA29[[#This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4" s="166">
        <f>IFERROR(IF(SEMANA29[[#This Row],[Columna14]]=0,0,(CQ44/CP44)),0)</f>
        <v/>
      </c>
      <c r="CS44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4" s="95">
        <f>_xlfn.XLOOKUP(SEMANA29[[#This Row],[COD]],SEMANA2[COD],SEMANA2[Columna33])</f>
        <v/>
      </c>
      <c r="CU44" s="604">
        <f>SUM(CS44,CT44)</f>
        <v/>
      </c>
      <c r="CV44" s="450">
        <f>IF(SEMANA29[[#This Row],[TIPO]]="PREMIO",$O$3,"0,00")</f>
        <v/>
      </c>
      <c r="CW44" s="576" t="n"/>
      <c r="CY44" s="392">
        <f>IF(CZ44="","",$CZ$25)</f>
        <v/>
      </c>
      <c r="CZ44" s="392" t="n"/>
      <c r="DA44" s="392">
        <f t="array" ref="DA44">IF(CZ44="", "", IF((INDEX(E$8:CE$57, MATCH(CZ44, C$8:C$57, 0), ($CZ$25-1)*5 + 1) &amp; "") = (INDEX(E$5:CE$5, 1, ($CZ$25-1)*5 + 1) &amp; ""), 1, IF((INDEX(E$8:CE$57, MATCH(CZ44, C$8:C$57, 0), ($CZ$25-1)*5 + 2) &amp; "") = (INDEX(E$5:CE$5, 1, ($CZ$25-1)*5 + 1) &amp; ""), 2, IF((INDEX(E$8:CE$57, MATCH(CZ44, C$8:C$57, 0), ($CZ$25-1)*5 + 3) &amp; "") = (INDEX(E$5:CE$5, 1, ($CZ$25-1)*5 + 1) &amp; ""), 3, ""))))</f>
        <v/>
      </c>
      <c r="DB44" s="605">
        <f>SEMANA29[[#This Row],[COD]]</f>
        <v/>
      </c>
      <c r="DC44" s="395">
        <f t="array" ref="DC44">IFERROR(IF(AND(INDEX($E$8:$CE$57, MATCH($C44, $C$8:$C$57, 0), (COLUMNS($DC44:DC44)-1)*5 + 1) = INDEX($E$5:$CE$5, 1, (COLUMNS($DC44:DC44)-1)*5 + 1), INDEX($E$8:$CE$57, MATCH($C44, $C$8:$C$57, 0), (COLUMNS($DC44:DC44)-1)*5 + 4) = "F"), INDEX($CZ$8:$CZ$23, COLUMNS($DC44:DC44)), "0"), "")</f>
        <v/>
      </c>
      <c r="DD44" s="395">
        <f t="array" ref="DD44">IFERROR(IF(AND(INDEX($E$8:$CE$57, MATCH($C44, $C$8:$C$57, 0), (COLUMNS($DC44:DD44)-1)*5 + 1) = INDEX($E$5:$CE$5, 1, (COLUMNS($DC44:DD44)-1)*5 + 1), INDEX($E$8:$CE$57, MATCH($C44, $C$8:$C$57, 0), (COLUMNS($DC44:DD44)-1)*5 + 4) = "F"), INDEX($CZ$8:$CZ$23, COLUMNS($DC44:DD44)), "0"), "")</f>
        <v/>
      </c>
      <c r="DE44" s="395">
        <f t="array" ref="DE44">IFERROR(IF(AND(INDEX($E$8:$CE$57, MATCH($C44, $C$8:$C$57, 0), (COLUMNS($DC44:DE44)-1)*5 + 1) = INDEX($E$5:$CE$5, 1, (COLUMNS($DC44:DE44)-1)*5 + 1), INDEX($E$8:$CE$57, MATCH($C44, $C$8:$C$57, 0), (COLUMNS($DC44:DE44)-1)*5 + 4) = "F"), INDEX($CZ$8:$CZ$23, COLUMNS($DC44:DE44)), "0"), "")</f>
        <v/>
      </c>
      <c r="DF44" s="395">
        <f t="array" ref="DF44">IFERROR(IF(AND(INDEX($E$8:$CE$57, MATCH($C44, $C$8:$C$57, 0), (COLUMNS($DC44:DF44)-1)*5 + 1) = INDEX($E$5:$CE$5, 1, (COLUMNS($DC44:DF44)-1)*5 + 1), INDEX($E$8:$CE$57, MATCH($C44, $C$8:$C$57, 0), (COLUMNS($DC44:DF44)-1)*5 + 4) = "F"), INDEX($CZ$8:$CZ$23, COLUMNS($DC44:DF44)), "0"), "")</f>
        <v/>
      </c>
      <c r="DG44" s="395">
        <f t="array" ref="DG44">IFERROR(IF(AND(INDEX($E$8:$CE$57, MATCH($C44, $C$8:$C$57, 0), (COLUMNS($DC44:DG44)-1)*5 + 1) = INDEX($E$5:$CE$5, 1, (COLUMNS($DC44:DG44)-1)*5 + 1), INDEX($E$8:$CE$57, MATCH($C44, $C$8:$C$57, 0), (COLUMNS($DC44:DG44)-1)*5 + 4) = "F"), INDEX($CZ$8:$CZ$23, COLUMNS($DC44:DG44)), "0"), "")</f>
        <v/>
      </c>
      <c r="DH44" s="395">
        <f t="array" ref="DH44">IFERROR(IF(AND(INDEX($E$8:$CE$57, MATCH($C44, $C$8:$C$57, 0), (COLUMNS($DC44:DH44)-1)*5 + 1) = INDEX($E$5:$CE$5, 1, (COLUMNS($DC44:DH44)-1)*5 + 1), INDEX($E$8:$CE$57, MATCH($C44, $C$8:$C$57, 0), (COLUMNS($DC44:DH44)-1)*5 + 4) = "F"), INDEX($CZ$8:$CZ$23, COLUMNS($DC44:DH44)), "0"), "")</f>
        <v/>
      </c>
      <c r="DI44" s="395">
        <f t="array" ref="DI44">IFERROR(IF(AND(INDEX($E$8:$CE$57, MATCH($C44, $C$8:$C$57, 0), (COLUMNS($DC44:DI44)-1)*5 + 1) = INDEX($E$5:$CE$5, 1, (COLUMNS($DC44:DI44)-1)*5 + 1), INDEX($E$8:$CE$57, MATCH($C44, $C$8:$C$57, 0), (COLUMNS($DC44:DI44)-1)*5 + 4) = "F"), INDEX($CZ$8:$CZ$23, COLUMNS($DC44:DI44)), "0"), "")</f>
        <v/>
      </c>
      <c r="DJ44" s="395">
        <f t="array" ref="DJ44">IFERROR(IF(AND(INDEX($E$8:$CE$57, MATCH($C44, $C$8:$C$57, 0), (COLUMNS($DC44:DJ44)-1)*5 + 1) = INDEX($E$5:$CE$5, 1, (COLUMNS($DC44:DJ44)-1)*5 + 1), INDEX($E$8:$CE$57, MATCH($C44, $C$8:$C$57, 0), (COLUMNS($DC44:DJ44)-1)*5 + 4) = "F"), INDEX($CZ$8:$CZ$23, COLUMNS($DC44:DJ44)), "0"), "")</f>
        <v/>
      </c>
      <c r="DK44" s="395">
        <f t="array" ref="DK44">IFERROR(IF(AND(INDEX($E$8:$CE$57, MATCH($C44, $C$8:$C$57, 0), (COLUMNS($DC44:DK44)-1)*5 + 1) = INDEX($E$5:$CE$5, 1, (COLUMNS($DC44:DK44)-1)*5 + 1), INDEX($E$8:$CE$57, MATCH($C44, $C$8:$C$57, 0), (COLUMNS($DC44:DK44)-1)*5 + 4) = "F"), INDEX($CZ$8:$CZ$23, COLUMNS($DC44:DK44)), "0"), "")</f>
        <v/>
      </c>
      <c r="DL44" s="395">
        <f t="array" ref="DL44">IFERROR(IF(AND(INDEX($E$8:$CE$57, MATCH($C44, $C$8:$C$57, 0), (COLUMNS($DC44:DL44)-1)*5 + 1) = INDEX($E$5:$CE$5, 1, (COLUMNS($DC44:DL44)-1)*5 + 1), INDEX($E$8:$CE$57, MATCH($C44, $C$8:$C$57, 0), (COLUMNS($DC44:DL44)-1)*5 + 4) = "F"), INDEX($CZ$8:$CZ$23, COLUMNS($DC44:DL44)), "0"), "")</f>
        <v/>
      </c>
      <c r="DM44" s="395">
        <f t="array" ref="DM44">IFERROR(IF(AND(INDEX($E$8:$CE$57, MATCH($C44, $C$8:$C$57, 0), (COLUMNS($DC44:DM44)-1)*5 + 1) = INDEX($E$5:$CE$5, 1, (COLUMNS($DC44:DM44)-1)*5 + 1), INDEX($E$8:$CE$57, MATCH($C44, $C$8:$C$57, 0), (COLUMNS($DC44:DM44)-1)*5 + 4) = "F"), INDEX($CZ$8:$CZ$23, COLUMNS($DC44:DM44)), "0"), "")</f>
        <v/>
      </c>
      <c r="DN44" s="395">
        <f t="array" ref="DN44">IFERROR(IF(AND(INDEX($E$8:$CE$57, MATCH($C44, $C$8:$C$57, 0), (COLUMNS($DC44:DN44)-1)*5 + 1) = INDEX($E$5:$CE$5, 1, (COLUMNS($DC44:DN44)-1)*5 + 1), INDEX($E$8:$CE$57, MATCH($C44, $C$8:$C$57, 0), (COLUMNS($DC44:DN44)-1)*5 + 4) = "F"), INDEX($CZ$8:$CZ$23, COLUMNS($DC44:DN44)), "0"), "")</f>
        <v/>
      </c>
      <c r="DO44" s="395">
        <f t="array" ref="DO44">IFERROR(IF(AND(INDEX($E$8:$CE$57, MATCH($C44, $C$8:$C$57, 0), (COLUMNS($DC44:DO44)-1)*5 + 1) = INDEX($E$5:$CE$5, 1, (COLUMNS($DC44:DO44)-1)*5 + 1), INDEX($E$8:$CE$57, MATCH($C44, $C$8:$C$57, 0), (COLUMNS($DC44:DO44)-1)*5 + 4) = "F"), INDEX($CZ$8:$CZ$23, COLUMNS($DC44:DO44)), "0"), "")</f>
        <v/>
      </c>
      <c r="DP44" s="395">
        <f t="array" ref="DP44">IFERROR(IF(AND(INDEX($E$8:$CE$57, MATCH($C44, $C$8:$C$57, 0), (COLUMNS($DC44:DP44)-1)*5 + 1) = INDEX($E$5:$CE$5, 1, (COLUMNS($DC44:DP44)-1)*5 + 1), INDEX($E$8:$CE$57, MATCH($C44, $C$8:$C$57, 0), (COLUMNS($DC44:DP44)-1)*5 + 4) = "F"), INDEX($CZ$8:$CZ$23, COLUMNS($DC44:DP44)), "0"), "")</f>
        <v/>
      </c>
      <c r="DQ44" s="395">
        <f t="array" ref="DQ44">IFERROR(IF(AND(INDEX($E$8:$CE$57, MATCH($C44, $C$8:$C$57, 0), (COLUMNS($DC44:DQ44)-1)*5 + 1) = INDEX($E$5:$CE$5, 1, (COLUMNS($DC44:DQ44)-1)*5 + 1), INDEX($E$8:$CE$57, MATCH($C44, $C$8:$C$57, 0), (COLUMNS($DC44:DQ44)-1)*5 + 4) = "F"), INDEX($CZ$8:$CZ$23, COLUMNS($DC44:DQ44)), "0"), "")</f>
        <v/>
      </c>
      <c r="DR44" s="395">
        <f t="array" ref="DR44">IFERROR(IF(AND(INDEX($E$8:$CE$57, MATCH($C44, $C$8:$C$57, 0), (COLUMNS($DC44:DR44)-1)*5 + 1) = INDEX($E$5:$CE$5, 1, (COLUMNS($DC44:DR44)-1)*5 + 1), INDEX($E$8:$CE$57, MATCH($C44, $C$8:$C$57, 0), (COLUMNS($DC44:DR44)-1)*5 + 4) = "F"), INDEX($CZ$8:$CZ$23, COLUMNS($DC44:DR44)), "0"), "")</f>
        <v/>
      </c>
      <c r="DT44" s="605">
        <f>SEMANA29[[#This Row],[COD]]</f>
        <v/>
      </c>
      <c r="DU44" s="395">
        <f t="array" ref="DU44">IFERROR(IF(AND(INDEX($E$8:$CE$57, MATCH($C44, $C$8:$C$57, 0), (COLUMNS($DU44:DU44)-1)*5 + 1) = INDEX($E$5:$CE$5, 1, (COLUMNS($DU44:DU44)-1)*5 + 1), INDEX($E$8:$CE$57, MATCH($C44, $C$8:$C$57, 0), (COLUMNS($DU44:DU44)-1)*5 + 4) = "SF"), INDEX($CZ$8:$CZ$23, COLUMNS($DU44:DU44)), "0"), "")</f>
        <v/>
      </c>
      <c r="DV44" s="395">
        <f t="array" ref="DV44">IFERROR(IF(AND(INDEX($E$8:$CE$57, MATCH($C44, $C$8:$C$57, 0), (COLUMNS($DU44:DV44)-1)*5 + 1) = INDEX($E$5:$CE$5, 1, (COLUMNS($DU44:DV44)-1)*5 + 1), INDEX($E$8:$CE$57, MATCH($C44, $C$8:$C$57, 0), (COLUMNS($DU44:DV44)-1)*5 + 4) = "SF"), INDEX($CZ$8:$CZ$23, COLUMNS($DU44:DV44)), "0"), "")</f>
        <v/>
      </c>
      <c r="DW44" s="395">
        <f t="array" ref="DW44">IFERROR(IF(AND(INDEX($E$8:$CE$57, MATCH($C44, $C$8:$C$57, 0), (COLUMNS($DU44:DW44)-1)*5 + 1) = INDEX($E$5:$CE$5, 1, (COLUMNS($DU44:DW44)-1)*5 + 1), INDEX($E$8:$CE$57, MATCH($C44, $C$8:$C$57, 0), (COLUMNS($DU44:DW44)-1)*5 + 4) = "SF"), INDEX($CZ$8:$CZ$23, COLUMNS($DU44:DW44)), "0"), "")</f>
        <v/>
      </c>
      <c r="DX44" s="395">
        <f t="array" ref="DX44">IFERROR(IF(AND(INDEX($E$8:$CE$57, MATCH($C44, $C$8:$C$57, 0), (COLUMNS($DU44:DX44)-1)*5 + 1) = INDEX($E$5:$CE$5, 1, (COLUMNS($DU44:DX44)-1)*5 + 1), INDEX($E$8:$CE$57, MATCH($C44, $C$8:$C$57, 0), (COLUMNS($DU44:DX44)-1)*5 + 4) = "SF"), INDEX($CZ$8:$CZ$23, COLUMNS($DU44:DX44)), "0"), "")</f>
        <v/>
      </c>
      <c r="DY44" s="395">
        <f t="array" ref="DY44">IFERROR(IF(AND(INDEX($E$8:$CE$57, MATCH($C44, $C$8:$C$57, 0), (COLUMNS($DU44:DY44)-1)*5 + 1) = INDEX($E$5:$CE$5, 1, (COLUMNS($DU44:DY44)-1)*5 + 1), INDEX($E$8:$CE$57, MATCH($C44, $C$8:$C$57, 0), (COLUMNS($DU44:DY44)-1)*5 + 4) = "SF"), INDEX($CZ$8:$CZ$23, COLUMNS($DU44:DY44)), "0"), "")</f>
        <v/>
      </c>
      <c r="DZ44" s="395">
        <f t="array" ref="DZ44">IFERROR(IF(AND(INDEX($E$8:$CE$57, MATCH($C44, $C$8:$C$57, 0), (COLUMNS($DU44:DZ44)-1)*5 + 1) = INDEX($E$5:$CE$5, 1, (COLUMNS($DU44:DZ44)-1)*5 + 1), INDEX($E$8:$CE$57, MATCH($C44, $C$8:$C$57, 0), (COLUMNS($DU44:DZ44)-1)*5 + 4) = "SF"), INDEX($CZ$8:$CZ$23, COLUMNS($DU44:DZ44)), "0"), "")</f>
        <v/>
      </c>
      <c r="EA44" s="395">
        <f t="array" ref="EA44">IFERROR(IF(AND(INDEX($E$8:$CE$57, MATCH($C44, $C$8:$C$57, 0), (COLUMNS($DU44:EA44)-1)*5 + 1) = INDEX($E$5:$CE$5, 1, (COLUMNS($DU44:EA44)-1)*5 + 1), INDEX($E$8:$CE$57, MATCH($C44, $C$8:$C$57, 0), (COLUMNS($DU44:EA44)-1)*5 + 4) = "SF"), INDEX($CZ$8:$CZ$23, COLUMNS($DU44:EA44)), "0"), "")</f>
        <v/>
      </c>
      <c r="EB44" s="395">
        <f t="array" ref="EB44">IFERROR(IF(AND(INDEX($E$8:$CE$57, MATCH($C44, $C$8:$C$57, 0), (COLUMNS($DU44:EB44)-1)*5 + 1) = INDEX($E$5:$CE$5, 1, (COLUMNS($DU44:EB44)-1)*5 + 1), INDEX($E$8:$CE$57, MATCH($C44, $C$8:$C$57, 0), (COLUMNS($DU44:EB44)-1)*5 + 4) = "SF"), INDEX($CZ$8:$CZ$23, COLUMNS($DU44:EB44)), "0"), "")</f>
        <v/>
      </c>
      <c r="EC44" s="395">
        <f t="array" ref="EC44">IFERROR(IF(AND(INDEX($E$8:$CE$57, MATCH($C44, $C$8:$C$57, 0), (COLUMNS($DU44:EC44)-1)*5 + 1) = INDEX($E$5:$CE$5, 1, (COLUMNS($DU44:EC44)-1)*5 + 1), INDEX($E$8:$CE$57, MATCH($C44, $C$8:$C$57, 0), (COLUMNS($DU44:EC44)-1)*5 + 4) = "SF"), INDEX($CZ$8:$CZ$23, COLUMNS($DU44:EC44)), "0"), "")</f>
        <v/>
      </c>
      <c r="ED44" s="395">
        <f t="array" ref="ED44">IFERROR(IF(AND(INDEX($E$8:$CE$57, MATCH($C44, $C$8:$C$57, 0), (COLUMNS($DU44:ED44)-1)*5 + 1) = INDEX($E$5:$CE$5, 1, (COLUMNS($DU44:ED44)-1)*5 + 1), INDEX($E$8:$CE$57, MATCH($C44, $C$8:$C$57, 0), (COLUMNS($DU44:ED44)-1)*5 + 4) = "SF"), INDEX($CZ$8:$CZ$23, COLUMNS($DU44:ED44)), "0"), "")</f>
        <v/>
      </c>
      <c r="EE44" s="395">
        <f t="array" ref="EE44">IFERROR(IF(AND(INDEX($E$8:$CE$57, MATCH($C44, $C$8:$C$57, 0), (COLUMNS($DU44:EE44)-1)*5 + 1) = INDEX($E$5:$CE$5, 1, (COLUMNS($DU44:EE44)-1)*5 + 1), INDEX($E$8:$CE$57, MATCH($C44, $C$8:$C$57, 0), (COLUMNS($DU44:EE44)-1)*5 + 4) = "SF"), INDEX($CZ$8:$CZ$23, COLUMNS($DU44:EE44)), "0"), "")</f>
        <v/>
      </c>
      <c r="EF44" s="395">
        <f t="array" ref="EF44">IFERROR(IF(AND(INDEX($E$8:$CE$57, MATCH($C44, $C$8:$C$57, 0), (COLUMNS($DU44:EF44)-1)*5 + 1) = INDEX($E$5:$CE$5, 1, (COLUMNS($DU44:EF44)-1)*5 + 1), INDEX($E$8:$CE$57, MATCH($C44, $C$8:$C$57, 0), (COLUMNS($DU44:EF44)-1)*5 + 4) = "SF"), INDEX($CZ$8:$CZ$23, COLUMNS($DU44:EF44)), "0"), "")</f>
        <v/>
      </c>
      <c r="EG44" s="395">
        <f t="array" ref="EG44">IFERROR(IF(AND(INDEX($E$8:$CE$57, MATCH($C44, $C$8:$C$57, 0), (COLUMNS($DU44:EG44)-1)*5 + 1) = INDEX($E$5:$CE$5, 1, (COLUMNS($DU44:EG44)-1)*5 + 1), INDEX($E$8:$CE$57, MATCH($C44, $C$8:$C$57, 0), (COLUMNS($DU44:EG44)-1)*5 + 4) = "SF"), INDEX($CZ$8:$CZ$23, COLUMNS($DU44:EG44)), "0"), "")</f>
        <v/>
      </c>
      <c r="EH44" s="395">
        <f t="array" ref="EH44">IFERROR(IF(AND(INDEX($E$8:$CE$57, MATCH($C44, $C$8:$C$57, 0), (COLUMNS($DU44:EH44)-1)*5 + 1) = INDEX($E$5:$CE$5, 1, (COLUMNS($DU44:EH44)-1)*5 + 1), INDEX($E$8:$CE$57, MATCH($C44, $C$8:$C$57, 0), (COLUMNS($DU44:EH44)-1)*5 + 4) = "SF"), INDEX($CZ$8:$CZ$23, COLUMNS($DU44:EH44)), "0"), "")</f>
        <v/>
      </c>
      <c r="EI44" s="395">
        <f t="array" ref="EI44">IFERROR(IF(AND(INDEX($E$8:$CE$57, MATCH($C44, $C$8:$C$57, 0), (COLUMNS($DU44:EI44)-1)*5 + 1) = INDEX($E$5:$CE$5, 1, (COLUMNS($DU44:EI44)-1)*5 + 1), INDEX($E$8:$CE$57, MATCH($C44, $C$8:$C$57, 0), (COLUMNS($DU44:EI44)-1)*5 + 4) = "SF"), INDEX($CZ$8:$CZ$23, COLUMNS($DU44:EI44)), "0"), "")</f>
        <v/>
      </c>
      <c r="EJ44" s="395">
        <f t="array" ref="EJ44">IFERROR(IF(AND(INDEX($E$8:$CE$57, MATCH($C44, $C$8:$C$57, 0), (COLUMNS($DU44:EJ44)-1)*5 + 1) = INDEX($E$5:$CE$5, 1, (COLUMNS($DU44:EJ44)-1)*5 + 1), INDEX($E$8:$CE$57, MATCH($C44, $C$8:$C$57, 0), (COLUMNS($DU44:EJ44)-1)*5 + 4) = "SF"), INDEX($CZ$8:$CZ$23, COLUMNS($DU44:EJ44)), "0"), "")</f>
        <v/>
      </c>
    </row>
    <row r="45" ht="20.1" customHeight="1" s="568">
      <c r="A45" s="576" t="n"/>
      <c r="B45" s="449">
        <f>IF(SEMANA29[[#This Row],[COD]]&lt;&gt;"",B44+1,"")</f>
        <v/>
      </c>
      <c r="C45" s="622" t="inlineStr">
        <is>
          <t>COD 38</t>
        </is>
      </c>
      <c r="D45" s="415">
        <f t="array" ref="D45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5" s="416" t="n"/>
      <c r="F45" s="422" t="n"/>
      <c r="G45" s="422" t="n"/>
      <c r="H45" s="422" t="n"/>
      <c r="I45" s="602">
        <f>SUM(IF(E45=E$5,4,0),IF(E45&amp;F45=E$5&amp;F$5,1,0),
IF(AND(E45=E$5,F$6&gt;=$D$115),1,0),
IF(AND(F45=E$5,F$6&gt;=$D$115),1,0),
IF(AND(G45=E$5,F$6&gt;=$D$115),1,0),
IF(E45&amp;H45=I$5,1,0),
IF(F45=E$5,2,0),
IF(G45=E$5,1,0),
IF(OR(E45&amp;F45&amp;G45=E$5&amp;F$5&amp;G$5,E45&amp;F45&amp;G45=E$5&amp;G$5&amp;F$5,E45&amp;F45&amp;G45=F$5&amp;E$5&amp;G$5,E45&amp;F45&amp;G45=F$5&amp;G$5&amp;E$5,E45&amp;F45&amp;G45=G$5&amp;E$5&amp;F$5,E45&amp;F45&amp;G45=G$5&amp;F$5&amp;E$5),2,0),IF(AND(E45=E$5,F$6&gt;=$D$129),1,0),IF(AND(F45=E$5,F$6&gt;=$D$129),1,0),IF(AND(G45=E$5,F$6&gt;=$D$129),1,0),IF(E45&amp;H45=H$5,4,0),IF(AND(E45=E$5,F$6&lt;=$D$104),-0.5,0),IF(AND(F45=E$5,F$6&lt;=$D$104),-0.5,0),IF(AND(G45=E$5,F$6&lt;=$D$104),-0.5,0))</f>
        <v/>
      </c>
      <c r="J45" s="416" t="n"/>
      <c r="K45" s="422" t="n"/>
      <c r="L45" s="422" t="n"/>
      <c r="M45" s="422" t="n"/>
      <c r="N45" s="602">
        <f>SUM(IF(J45=J$5,4,0),IF(J45&amp;K45=J$5&amp;K$5,1,0),
IF(AND(J45=J$5,K$6&gt;=$D$115),1,0),
IF(AND(K45=J$5,K$6&gt;=$D$115),1,0),
IF(AND(L45=J$5,K$6&gt;=$D$115),1,0),
IF(J45&amp;M45=N$5,1,0),
IF(K45=J$5,2,0),
IF(L45=J$5,1,0),
IF(OR(J45&amp;K45&amp;L45=J$5&amp;K$5&amp;L$5,J45&amp;K45&amp;L45=J$5&amp;L$5&amp;K$5,J45&amp;K45&amp;L45=K$5&amp;J$5&amp;L$5,J45&amp;K45&amp;L45=K$5&amp;L$5&amp;J$5,J45&amp;K45&amp;L45=L$5&amp;J$5&amp;K$5,J45&amp;K45&amp;L45=L$5&amp;K$5&amp;J$5),2,0),IF(AND(J45=J$5,K$6&gt;=$D$129),1,0),IF(AND(K45=J$5,K$6&gt;=$D$129),1,0),IF(AND(L45=J$5,K$6&gt;=$D$129),1,0),IF(J45&amp;M45=M$5,4,0),IF(AND(J45=J$5,K$6&lt;=$D$104),-0.5,0),IF(AND(K45=J$5,K$6&lt;=$D$104),-0.5,0),IF(AND(L45=J$5,K$6&lt;=$D$104),-0.5,0))</f>
        <v/>
      </c>
      <c r="O45" s="416" t="n"/>
      <c r="P45" s="422" t="n"/>
      <c r="Q45" s="422" t="n"/>
      <c r="R45" s="422" t="n"/>
      <c r="S45" s="602">
        <f>SUM(IF(O45=O$5,4,0),IF(O45&amp;P45=O$5&amp;P$5,1,0),
IF(AND(O45=O$5,P$6&gt;=$D$115),1,0),
IF(AND(P45=O$5,P$6&gt;=$D$115),1,0),
IF(AND(Q45=O$5,P$6&gt;=$D$115),1,0),
IF(O45&amp;R45=S$5,1,0),
IF(P45=O$5,2,0),
IF(Q45=O$5,1,0),
IF(OR(O45&amp;P45&amp;Q45=O$5&amp;P$5&amp;Q$5,O45&amp;P45&amp;Q45=O$5&amp;Q$5&amp;P$5,O45&amp;P45&amp;Q45=P$5&amp;O$5&amp;Q$5,O45&amp;P45&amp;Q45=P$5&amp;Q$5&amp;O$5,O45&amp;P45&amp;Q45=Q$5&amp;O$5&amp;P$5,O45&amp;P45&amp;Q45=Q$5&amp;P$5&amp;O$5),2,0),IF(AND(O45=O$5,P$6&gt;=$D$129),1,0),IF(AND(P45=O$5,P$6&gt;=$D$129),1,0),IF(AND(Q45=O$5,P$6&gt;=$D$129),1,0),IF(O45&amp;R45=R$5,4,0),IF(AND(O45=O$5,P$6&lt;=$D$104),-0.5,0),IF(AND(P45=O$5,P$6&lt;=$D$104),-0.5,0),IF(AND(Q45=O$5,P$6&lt;=$D$104),-0.5,0))</f>
        <v/>
      </c>
      <c r="T45" s="416" t="n"/>
      <c r="U45" s="422" t="n"/>
      <c r="V45" s="422" t="n"/>
      <c r="W45" s="422" t="n"/>
      <c r="X45" s="602">
        <f>SUM(IF(T45=T$5,4,0),IF(T45&amp;U45=T$5&amp;U$5,1,0),
IF(AND(T45=T$5,U$6&gt;=$D$115),1,0),
IF(AND(U45=T$5,U$6&gt;=$D$115),1,0),
IF(AND(V45=T$5,U$6&gt;=$D$115),1,0),
IF(T45&amp;W45=X$5,1,0),
IF(U45=T$5,2,0),
IF(V45=T$5,1,0),
IF(OR(T45&amp;U45&amp;V45=T$5&amp;U$5&amp;V$5,T45&amp;U45&amp;V45=T$5&amp;V$5&amp;U$5,T45&amp;U45&amp;V45=U$5&amp;T$5&amp;V$5,T45&amp;U45&amp;V45=U$5&amp;V$5&amp;T$5,T45&amp;U45&amp;V45=V$5&amp;T$5&amp;U$5,T45&amp;U45&amp;V45=V$5&amp;U$5&amp;T$5),2,0),IF(AND(T45=T$5,U$6&gt;=$D$129),1,0),IF(AND(U45=T$5,U$6&gt;=$D$129),1,0),IF(AND(V45=T$5,U$6&gt;=$D$129),1,0),IF(T45&amp;W45=W$5,4,0),IF(AND(T45=T$5,U$6&lt;=$D$104),-0.5,0),IF(AND(U45=T$5,U$6&lt;=$D$104),-0.5,0),IF(AND(V45=T$5,U$6&lt;=$D$104),-0.5,0))</f>
        <v/>
      </c>
      <c r="Y45" s="416" t="n"/>
      <c r="Z45" s="422" t="n"/>
      <c r="AA45" s="422" t="n"/>
      <c r="AB45" s="422" t="n"/>
      <c r="AC45" s="602">
        <f>SUM(IF(Y45=Y$5,4,0),IF(Y45&amp;Z45=Y$5&amp;Z$5,1,0),
IF(AND(Y45=Y$5,Z$6&gt;=$D$115),1,0),
IF(AND(Z45=Y$5,Z$6&gt;=$D$115),1,0),
IF(AND(AA45=Y$5,Z$6&gt;=$D$115),1,0),
IF(Y45&amp;AB45=AC$5,1,0),
IF(Z45=Y$5,2,0),
IF(AA45=Y$5,1,0),
IF(OR(Y45&amp;Z45&amp;AA45=Y$5&amp;Z$5&amp;AA$5,Y45&amp;Z45&amp;AA45=Y$5&amp;AA$5&amp;Z$5,Y45&amp;Z45&amp;AA45=Z$5&amp;Y$5&amp;AA$5,Y45&amp;Z45&amp;AA45=Z$5&amp;AA$5&amp;Y$5,Y45&amp;Z45&amp;AA45=AA$5&amp;Y$5&amp;Z$5,Y45&amp;Z45&amp;AA45=AA$5&amp;Z$5&amp;Y$5),2,0),IF(AND(Y45=Y$5,Z$6&gt;=$D$129),1,0),IF(AND(Z45=Y$5,Z$6&gt;=$D$129),1,0),IF(AND(AA45=Y$5,Z$6&gt;=$D$129),1,0),IF(Y45&amp;AB45=AB$5,4,0),IF(AND(Y45=Y$5,Z$6&lt;=$D$104),-0.5,0),IF(AND(Z45=Y$5,Z$6&lt;=$D$104),-0.5,0),IF(AND(AA45=Y$5,Z$6&lt;=$D$104),-0.5,0))</f>
        <v/>
      </c>
      <c r="AD45" s="416" t="n"/>
      <c r="AE45" s="422" t="n"/>
      <c r="AF45" s="422" t="n"/>
      <c r="AG45" s="422" t="n"/>
      <c r="AH45" s="602">
        <f>SUM(IF(AD45=AD$5,4,0),IF(AD45&amp;AE45=AD$5&amp;AE$5,1,0),
IF(AND(AD45=AD$5,AE$6&gt;=$D$115),1,0),
IF(AND(AE45=AD$5,AE$6&gt;=$D$115),1,0),
IF(AND(AF45=AD$5,AE$6&gt;=$D$115),1,0),
IF(AD45&amp;AG45=AH$5,1,0),
IF(AE45=AD$5,2,0),
IF(AF45=AD$5,1,0),
IF(OR(AD45&amp;AE45&amp;AF45=AD$5&amp;AE$5&amp;AF$5,AD45&amp;AE45&amp;AF45=AD$5&amp;AF$5&amp;AE$5,AD45&amp;AE45&amp;AF45=AE$5&amp;AD$5&amp;AF$5,AD45&amp;AE45&amp;AF45=AE$5&amp;AF$5&amp;AD$5,AD45&amp;AE45&amp;AF45=AF$5&amp;AD$5&amp;AE$5,AD45&amp;AE45&amp;AF45=AF$5&amp;AE$5&amp;AD$5),2,0),IF(AND(AD45=AD$5,AE$6&gt;=$D$129),1,0),IF(AND(AE45=AD$5,AE$6&gt;=$D$129),1,0),IF(AND(AF45=AD$5,AE$6&gt;=$D$129),1,0),IF(AD45&amp;AG45=AG$5,4,0),IF(AND(AD45=AD$5,AE$6&lt;=$D$104),-0.5,0),IF(AND(AE45=AD$5,AE$6&lt;=$D$104),-0.5,0),IF(AND(AF45=AD$5,AE$6&lt;=$D$104),-0.5,0))</f>
        <v/>
      </c>
      <c r="AI45" s="416" t="n"/>
      <c r="AJ45" s="422" t="n"/>
      <c r="AK45" s="422" t="n"/>
      <c r="AL45" s="422" t="n"/>
      <c r="AM45" s="602">
        <f>SUM(IF(AI45=AI$5,4,0),IF(AI45&amp;AJ45=AI$5&amp;AJ$5,1,0),
IF(AND(AI45=AI$5,AJ$6&gt;=$D$115),1,0),
IF(AND(AJ45=AI$5,AJ$6&gt;=$D$115),1,0),
IF(AND(AK45=AI$5,AJ$6&gt;=$D$115),1,0),
IF(AI45&amp;AL45=AM$5,1,0),
IF(AJ45=AI$5,2,0),
IF(AK45=AI$5,1,0),
IF(OR(AI45&amp;AJ45&amp;AK45=AI$5&amp;AJ$5&amp;AK$5,AI45&amp;AJ45&amp;AK45=AI$5&amp;AK$5&amp;AJ$5,AI45&amp;AJ45&amp;AK45=AJ$5&amp;AI$5&amp;AK$5,AI45&amp;AJ45&amp;AK45=AJ$5&amp;AK$5&amp;AI$5,AI45&amp;AJ45&amp;AK45=AK$5&amp;AI$5&amp;AJ$5,AI45&amp;AJ45&amp;AK45=AK$5&amp;AJ$5&amp;AI$5),2,0),IF(AND(AI45=AI$5,AJ$6&gt;=$D$129),1,0),IF(AND(AJ45=AI$5,AJ$6&gt;=$D$129),1,0),IF(AND(AK45=AI$5,AJ$6&gt;=$D$129),1,0),IF(AI45&amp;AL45=AL$5,4,0),IF(AND(AI45=AI$5,AJ$6&lt;=$D$104),-0.5,0),IF(AND(AJ45=AI$5,AJ$6&lt;=$D$104),-0.5,0),IF(AND(AK45=AI$5,AJ$6&lt;=$D$104),-0.5,0))</f>
        <v/>
      </c>
      <c r="AN45" s="416" t="n"/>
      <c r="AO45" s="422" t="n"/>
      <c r="AP45" s="422" t="n"/>
      <c r="AQ45" s="422" t="n"/>
      <c r="AR45" s="602">
        <f>SUM(IF(AN45=AN$5,4,0),IF(AN45&amp;AO45=AN$5&amp;AO$5,1,0),
IF(AND(AN45=AN$5,AO$6&gt;=$D$115),1,0),
IF(AND(AO45=AN$5,AO$6&gt;=$D$115),1,0),
IF(AND(AP45=AN$5,AO$6&gt;=$D$115),1,0),
IF(AN45&amp;AQ45=AR$5,1,0),
IF(AO45=AN$5,2,0),
IF(AP45=AN$5,1,0),
IF(OR(AN45&amp;AO45&amp;AP45=AN$5&amp;AO$5&amp;AP$5,AN45&amp;AO45&amp;AP45=AN$5&amp;AP$5&amp;AO$5,AN45&amp;AO45&amp;AP45=AO$5&amp;AN$5&amp;AP$5,AN45&amp;AO45&amp;AP45=AO$5&amp;AP$5&amp;AN$5,AN45&amp;AO45&amp;AP45=AP$5&amp;AN$5&amp;AO$5,AN45&amp;AO45&amp;AP45=AP$5&amp;AO$5&amp;AN$5),2,0),IF(AND(AN45=AN$5,AO$6&gt;=$D$129),1,0),IF(AND(AO45=AN$5,AO$6&gt;=$D$129),1,0),IF(AND(AP45=AN$5,AO$6&gt;=$D$129),1,0),IF(AN45&amp;AQ45=AQ$5,4,0),IF(AND(AN45=AN$5,AO$6&lt;=$D$104),-0.5,0),IF(AND(AO45=AN$5,AO$6&lt;=$D$104),-0.5,0),IF(AND(AP45=AN$5,AO$6&lt;=$D$104),-0.5,0))</f>
        <v/>
      </c>
      <c r="AS45" s="416" t="n"/>
      <c r="AT45" s="422" t="n"/>
      <c r="AU45" s="422" t="n"/>
      <c r="AV45" s="422" t="n"/>
      <c r="AW45" s="602">
        <f>SUM(IF(AS45=AS$5,4,0),IF(AS45&amp;AT45=AS$5&amp;AT$5,1,0),
IF(AND(AS45=AS$5,AT$6&gt;=$D$115),1,0),
IF(AND(AT45=AS$5,AT$6&gt;=$D$115),1,0),
IF(AND(AU45=AS$5,AT$6&gt;=$D$115),1,0),
IF(AS45&amp;AV45=AW$5,1,0),
IF(AT45=AS$5,2,0),
IF(AU45=AS$5,1,0),
IF(OR(AS45&amp;AT45&amp;AU45=AS$5&amp;AT$5&amp;AU$5,AS45&amp;AT45&amp;AU45=AS$5&amp;AU$5&amp;AT$5,AS45&amp;AT45&amp;AU45=AT$5&amp;AS$5&amp;AU$5,AS45&amp;AT45&amp;AU45=AT$5&amp;AU$5&amp;AS$5,AS45&amp;AT45&amp;AU45=AU$5&amp;AS$5&amp;AT$5,AS45&amp;AT45&amp;AU45=AU$5&amp;AT$5&amp;AS$5),2,0),IF(AND(AS45=AS$5,AT$6&gt;=$D$129),1,0),IF(AND(AT45=AS$5,AT$6&gt;=$D$129),1,0),IF(AND(AU45=AS$5,AT$6&gt;=$D$129),1,0),IF(AS45&amp;AV45=AV$5,4,0),IF(AND(AS45=AS$5,AT$6&lt;=$D$104),-0.5,0),IF(AND(AT45=AS$5,AT$6&lt;=$D$104),-0.5,0),IF(AND(AU45=AS$5,AT$6&lt;=$D$104),-0.5,0))</f>
        <v/>
      </c>
      <c r="AX45" s="416" t="n"/>
      <c r="AY45" s="422" t="n"/>
      <c r="AZ45" s="422" t="n"/>
      <c r="BA45" s="422" t="n"/>
      <c r="BB45" s="602">
        <f>SUM(IF(AX45=AX$5,4,0),IF(AX45&amp;AY45=AX$5&amp;AY$5,1,0),
IF(AND(AX45=AX$5,AY$6&gt;=$D$115),1,0),
IF(AND(AY45=AX$5,AY$6&gt;=$D$115),1,0),
IF(AND(AZ45=AX$5,AY$6&gt;=$D$115),1,0),
IF(AX45&amp;BA45=BB$5,1,0),
IF(AY45=AX$5,2,0),
IF(AZ45=AX$5,1,0),
IF(OR(AX45&amp;AY45&amp;AZ45=AX$5&amp;AY$5&amp;AZ$5,AX45&amp;AY45&amp;AZ45=AX$5&amp;AZ$5&amp;AY$5,AX45&amp;AY45&amp;AZ45=AY$5&amp;AX$5&amp;AZ$5,AX45&amp;AY45&amp;AZ45=AY$5&amp;AZ$5&amp;AX$5,AX45&amp;AY45&amp;AZ45=AZ$5&amp;AX$5&amp;AY$5,AX45&amp;AY45&amp;AZ45=AZ$5&amp;AY$5&amp;AX$5),2,0),IF(AND(AX45=AX$5,AY$6&gt;=$D$129),1,0),IF(AND(AY45=AX$5,AY$6&gt;=$D$129),1,0),IF(AND(AZ45=AX$5,AY$6&gt;=$D$129),1,0),IF(AX45&amp;BA45=BA$5,4,0),IF(AND(AX45=AX$5,AY$6&lt;=$D$104),-0.5,0),IF(AND(AY45=AX$5,AY$6&lt;=$D$104),-0.5,0),IF(AND(AZ45=AX$5,AY$6&lt;=$D$104),-0.5,0))</f>
        <v/>
      </c>
      <c r="BC45" s="416" t="n"/>
      <c r="BD45" s="422" t="n"/>
      <c r="BE45" s="422" t="n"/>
      <c r="BF45" s="422" t="n"/>
      <c r="BG45" s="602">
        <f>SUM(IF(BC45=BC$5,4,0),IF(BC45&amp;BD45=BC$5&amp;BD$5,1,0),
IF(AND(BC45=BC$5,BD$6&gt;=$D$115),1,0),
IF(AND(BD45=BC$5,BD$6&gt;=$D$115),1,0),
IF(AND(BE45=BC$5,BD$6&gt;=$D$115),1,0),
IF(BC45&amp;BF45=BG$5,1,0),
IF(BD45=BC$5,2,0),
IF(BE45=BC$5,1,0),
IF(OR(BC45&amp;BD45&amp;BE45=BC$5&amp;BD$5&amp;BE$5,BC45&amp;BD45&amp;BE45=BC$5&amp;BE$5&amp;BD$5,BC45&amp;BD45&amp;BE45=BD$5&amp;BC$5&amp;BE$5,BC45&amp;BD45&amp;BE45=BD$5&amp;BE$5&amp;BC$5,BC45&amp;BD45&amp;BE45=BE$5&amp;BC$5&amp;BD$5,BC45&amp;BD45&amp;BE45=BE$5&amp;BD$5&amp;BC$5),2,0),IF(AND(BC45=BC$5,BD$6&gt;=$D$129),1,0),IF(AND(BD45=BC$5,BD$6&gt;=$D$129),1,0),IF(AND(BE45=BC$5,BD$6&gt;=$D$129),1,0),IF(BC45&amp;BF45=BF$5,4,0),IF(AND(BC45=BC$5,BD$6&lt;=$D$104),-0.5,0),IF(AND(BD45=BC$5,BD$6&lt;=$D$104),-0.5,0),IF(AND(BE45=BC$5,BD$6&lt;=$D$104),-0.5,0))</f>
        <v/>
      </c>
      <c r="BH45" s="416" t="n"/>
      <c r="BI45" s="422" t="n"/>
      <c r="BJ45" s="422" t="n"/>
      <c r="BK45" s="422" t="n"/>
      <c r="BL45" s="602">
        <f>SUM(IF(BH45=BH$5,4,0),IF(BH45&amp;BI45=BH$5&amp;BI$5,1,0),
IF(AND(BH45=BH$5,BI$6&gt;=$D$115),1,0),
IF(AND(BI45=BH$5,BI$6&gt;=$D$115),1,0),
IF(AND(BJ45=BH$5,BI$6&gt;=$D$115),1,0),
IF(BH45&amp;BK45=BL$5,1,0),
IF(BI45=BH$5,2,0),
IF(BJ45=BH$5,1,0),
IF(OR(BH45&amp;BI45&amp;BJ45=BH$5&amp;BI$5&amp;BJ$5,BH45&amp;BI45&amp;BJ45=BH$5&amp;BJ$5&amp;BI$5,BH45&amp;BI45&amp;BJ45=BI$5&amp;BH$5&amp;BJ$5,BH45&amp;BI45&amp;BJ45=BI$5&amp;BJ$5&amp;BH$5,BH45&amp;BI45&amp;BJ45=BJ$5&amp;BH$5&amp;BI$5,BH45&amp;BI45&amp;BJ45=BJ$5&amp;BI$5&amp;BH$5),2,0),IF(AND(BH45=BH$5,BI$6&gt;=$D$129),1,0),IF(AND(BI45=BH$5,BI$6&gt;=$D$129),1,0),IF(AND(BJ45=BH$5,BI$6&gt;=$D$129),1,0),IF(BH45&amp;BK45=BK$5,4,0),IF(AND(BH45=BH$5,BI$6&lt;=$D$104),-0.5,0),IF(AND(BI45=BH$5,BI$6&lt;=$D$104),-0.5,0),IF(AND(BJ45=BH$5,BI$6&lt;=$D$104),-0.5,0))</f>
        <v/>
      </c>
      <c r="BM45" s="416" t="n"/>
      <c r="BN45" s="422" t="n"/>
      <c r="BO45" s="422" t="n"/>
      <c r="BP45" s="422" t="n"/>
      <c r="BQ45" s="602">
        <f>SUM(IF(BM45=BM$5,4,0),IF(BM45&amp;BN45=BM$5&amp;BN$5,1,0),
IF(AND(BM45=BM$5,BN$6&gt;=$D$115),1,0),
IF(AND(BN45=BM$5,BN$6&gt;=$D$115),1,0),
IF(AND(BO45=BM$5,BN$6&gt;=$D$115),1,0),
IF(BM45&amp;BP45=BQ$5,1,0),
IF(BN45=BM$5,2,0),
IF(BO45=BM$5,1,0),
IF(OR(BM45&amp;BN45&amp;BO45=BM$5&amp;BN$5&amp;BO$5,BM45&amp;BN45&amp;BO45=BM$5&amp;BO$5&amp;BN$5,BM45&amp;BN45&amp;BO45=BN$5&amp;BM$5&amp;BO$5,BM45&amp;BN45&amp;BO45=BN$5&amp;BO$5&amp;BM$5,BM45&amp;BN45&amp;BO45=BO$5&amp;BM$5&amp;BN$5,BM45&amp;BN45&amp;BO45=BO$5&amp;BN$5&amp;BM$5),2,0),IF(AND(BM45=BM$5,BN$6&gt;=$D$129),1,0),IF(AND(BN45=BM$5,BN$6&gt;=$D$129),1,0),IF(AND(BO45=BM$5,BN$6&gt;=$D$129),1,0),IF(BM45&amp;BP45=BP$5,4,0),IF(AND(BM45=BM$5,BN$6&lt;=$D$104),-0.5,0),IF(AND(BN45=BM$5,BN$6&lt;=$D$104),-0.5,0),IF(AND(BO45=BM$5,BN$6&lt;=$D$104),-0.5,0))</f>
        <v/>
      </c>
      <c r="BR45" s="416" t="n"/>
      <c r="BS45" s="422" t="n"/>
      <c r="BT45" s="422" t="n"/>
      <c r="BU45" s="422" t="n"/>
      <c r="BV45" s="602">
        <f>SUM(IF(BR45=BR$5,4,0),IF(BR45&amp;BS45=BR$5&amp;BS$5,1,0),
IF(AND(BR45=BR$5,BS$6&gt;=$D$115),1,0),
IF(AND(BS45=BR$5,BS$6&gt;=$D$115),1,0),
IF(AND(BT45=BR$5,BS$6&gt;=$D$115),1,0),
IF(BR45&amp;BU45=BV$5,1,0),
IF(BS45=BR$5,2,0),
IF(BT45=BR$5,1,0),
IF(OR(BR45&amp;BS45&amp;BT45=BR$5&amp;BS$5&amp;BT$5,BR45&amp;BS45&amp;BT45=BR$5&amp;BT$5&amp;BS$5,BR45&amp;BS45&amp;BT45=BS$5&amp;BR$5&amp;BT$5,BR45&amp;BS45&amp;BT45=BS$5&amp;BT$5&amp;BR$5,BR45&amp;BS45&amp;BT45=BT$5&amp;BR$5&amp;BS$5,BR45&amp;BS45&amp;BT45=BT$5&amp;BS$5&amp;BR$5),2,0),IF(AND(BR45=BR$5,BS$6&gt;=$D$129),1,0),IF(AND(BS45=BR$5,BS$6&gt;=$D$129),1,0),IF(AND(BT45=BR$5,BS$6&gt;=$D$129),1,0),IF(BR45&amp;BU45=BU$5,4,0),IF(AND(BR45=BR$5,BS$6&lt;=$D$104),-0.5,0),IF(AND(BS45=BR$5,BS$6&lt;=$D$104),-0.5,0),IF(AND(BT45=BR$5,BS$6&lt;=$D$104),-0.5,0))</f>
        <v/>
      </c>
      <c r="BW45" s="416" t="n"/>
      <c r="BX45" s="422" t="n"/>
      <c r="BY45" s="422" t="n"/>
      <c r="BZ45" s="422" t="n"/>
      <c r="CA45" s="602">
        <f>SUM(IF(BW45=BW$5,4,0),IF(BW45&amp;BX45=BW$5&amp;BX$5,1,0),
IF(AND(BW45=BW$5,BX$6&gt;=$D$115),1,0),
IF(AND(BX45=BW$5,BX$6&gt;=$D$115),1,0),
IF(AND(BY45=BW$5,BX$6&gt;=$D$115),1,0),
IF(BW45&amp;BZ45=CA$5,1,0),
IF(BX45=BW$5,2,0),
IF(BY45=BW$5,1,0),
IF(OR(BW45&amp;BX45&amp;BY45=BW$5&amp;BX$5&amp;BY$5,BW45&amp;BX45&amp;BY45=BW$5&amp;BY$5&amp;BX$5,BW45&amp;BX45&amp;BY45=BX$5&amp;BW$5&amp;BY$5,BW45&amp;BX45&amp;BY45=BX$5&amp;BY$5&amp;BW$5,BW45&amp;BX45&amp;BY45=BY$5&amp;BW$5&amp;BX$5,BW45&amp;BX45&amp;BY45=BY$5&amp;BX$5&amp;BW$5),2,0),IF(AND(BW45=BW$5,BX$6&gt;=$D$129),1,0),IF(AND(BX45=BW$5,BX$6&gt;=$D$129),1,0),IF(AND(BY45=BW$5,BX$6&gt;=$D$129),1,0),IF(BW45&amp;BZ45=BZ$5,4,0),IF(AND(BW45=BW$5,BX$6&lt;=$D$104),-0.5,0),IF(AND(BX45=BW$5,BX$6&lt;=$D$104),-0.5,0),IF(AND(BY45=BW$5,BX$6&lt;=$D$104),-0.5,0))</f>
        <v/>
      </c>
      <c r="CB45" s="416" t="n"/>
      <c r="CC45" s="422" t="n"/>
      <c r="CD45" s="422" t="n"/>
      <c r="CE45" s="422" t="n"/>
      <c r="CF45" s="602">
        <f>SUM(IF(CB45=CB$5,4,0),IF(CB45&amp;CC45=CB$5&amp;CC$5,1,0),
IF(AND(CB45=CB$5,CC$6&gt;=$D$115),1,0),
IF(AND(CC45=CB$5,CC$6&gt;=$D$115),1,0),
IF(AND(CD45=CB$5,CC$6&gt;=$D$115),1,0),
IF(CB45&amp;CE45=CF$5,1,0),
IF(CC45=CB$5,2,0),
IF(CD45=CB$5,1,0),
IF(OR(CB45&amp;CC45&amp;CD45=CB$5&amp;CC$5&amp;CD$5,CB45&amp;CC45&amp;CD45=CB$5&amp;CD$5&amp;CC$5,CB45&amp;CC45&amp;CD45=CC$5&amp;CB$5&amp;CD$5,CB45&amp;CC45&amp;CD45=CC$5&amp;CD$5&amp;CB$5,CB45&amp;CC45&amp;CD45=CD$5&amp;CB$5&amp;CC$5,CB45&amp;CC45&amp;CD45=CD$5&amp;CC$5&amp;CB$5),2,0),IF(AND(CB45=CB$5,CC$6&gt;=$D$129),1,0),IF(AND(CC45=CB$5,CC$6&gt;=$D$129),1,0),IF(AND(CD45=CB$5,CC$6&gt;=$D$129),1,0),IF(CB45&amp;CE45=CE$5,4,0),IF(AND(CB45=CB$5,CC$6&lt;=$D$104),-0.5,0),IF(AND(CC45=CB$5,CC$6&lt;=$D$104),-0.5,0),IF(AND(CD45=CB$5,CC$6&lt;=$D$104),-0.5,0))</f>
        <v/>
      </c>
      <c r="CG45" s="164">
        <f>IF(SEMANA29[[#This Row],[1]]="",0,$B$4)</f>
        <v/>
      </c>
      <c r="CH45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5" s="166">
        <f>IF(SEMANA29[[#This Row],[Columna14]]=0,0,(CH45/CG45))</f>
        <v/>
      </c>
      <c r="CJ45" s="165">
        <f>IF(SEMANA29[[#This Row],[1]]="",0,$B$4)</f>
        <v/>
      </c>
      <c r="CK45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5" s="166">
        <f>IF(SEMANA29[[#This Row],[Columna14]]=0,0,(CK45/CJ45))</f>
        <v/>
      </c>
      <c r="CM45" s="164">
        <f>IF(SEMANA29[[#This Row],[1]]="",0,$B$4)</f>
        <v/>
      </c>
      <c r="CN45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5" s="166">
        <f>IF(SEMANA29[[#This Row],[Columna14]]=0,0,(CN45/CM45))</f>
        <v/>
      </c>
      <c r="CP45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5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Row],[Columna25]],$AX$5,BA45,"SF")+COUNTIFS(SEMANA29[[#This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5" s="166">
        <f>IFERROR(IF(SEMANA29[[#This Row],[Columna14]]=0,0,(CQ45/CP45)),0)</f>
        <v/>
      </c>
      <c r="CS45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5" s="95">
        <f>_xlfn.XLOOKUP(SEMANA29[[#This Row],[COD]],SEMANA2[COD],SEMANA2[Columna33])</f>
        <v/>
      </c>
      <c r="CU45" s="604">
        <f>SUM(CS45,CT45)</f>
        <v/>
      </c>
      <c r="CV45" s="450">
        <f>IF(SEMANA29[[#This Row],[TIPO]]="PREMIO",$O$3,"0,00")</f>
        <v/>
      </c>
      <c r="CW45" s="576" t="n"/>
      <c r="CY45" s="392">
        <f>IF(CZ45="","",$CZ$25)</f>
        <v/>
      </c>
      <c r="CZ45" s="392" t="n"/>
      <c r="DA45" s="392">
        <f t="array" ref="DA45">IF(CZ45="", "", IF((INDEX(E$8:CE$57, MATCH(CZ45, C$8:C$57, 0), ($CZ$25-1)*5 + 1) &amp; "") = (INDEX(E$5:CE$5, 1, ($CZ$25-1)*5 + 1) &amp; ""), 1, IF((INDEX(E$8:CE$57, MATCH(CZ45, C$8:C$57, 0), ($CZ$25-1)*5 + 2) &amp; "") = (INDEX(E$5:CE$5, 1, ($CZ$25-1)*5 + 1) &amp; ""), 2, IF((INDEX(E$8:CE$57, MATCH(CZ45, C$8:C$57, 0), ($CZ$25-1)*5 + 3) &amp; "") = (INDEX(E$5:CE$5, 1, ($CZ$25-1)*5 + 1) &amp; ""), 3, ""))))</f>
        <v/>
      </c>
      <c r="DB45" s="605">
        <f>SEMANA29[[#This Row],[COD]]</f>
        <v/>
      </c>
      <c r="DC45" s="395">
        <f t="array" ref="DC45">IFERROR(IF(AND(INDEX($E$8:$CE$57, MATCH($C45, $C$8:$C$57, 0), (COLUMNS($DC45:DC45)-1)*5 + 1) = INDEX($E$5:$CE$5, 1, (COLUMNS($DC45:DC45)-1)*5 + 1), INDEX($E$8:$CE$57, MATCH($C45, $C$8:$C$57, 0), (COLUMNS($DC45:DC45)-1)*5 + 4) = "F"), INDEX($CZ$8:$CZ$23, COLUMNS($DC45:DC45)), "0"), "")</f>
        <v/>
      </c>
      <c r="DD45" s="395">
        <f t="array" ref="DD45">IFERROR(IF(AND(INDEX($E$8:$CE$57, MATCH($C45, $C$8:$C$57, 0), (COLUMNS($DC45:DD45)-1)*5 + 1) = INDEX($E$5:$CE$5, 1, (COLUMNS($DC45:DD45)-1)*5 + 1), INDEX($E$8:$CE$57, MATCH($C45, $C$8:$C$57, 0), (COLUMNS($DC45:DD45)-1)*5 + 4) = "F"), INDEX($CZ$8:$CZ$23, COLUMNS($DC45:DD45)), "0"), "")</f>
        <v/>
      </c>
      <c r="DE45" s="395">
        <f t="array" ref="DE45">IFERROR(IF(AND(INDEX($E$8:$CE$57, MATCH($C45, $C$8:$C$57, 0), (COLUMNS($DC45:DE45)-1)*5 + 1) = INDEX($E$5:$CE$5, 1, (COLUMNS($DC45:DE45)-1)*5 + 1), INDEX($E$8:$CE$57, MATCH($C45, $C$8:$C$57, 0), (COLUMNS($DC45:DE45)-1)*5 + 4) = "F"), INDEX($CZ$8:$CZ$23, COLUMNS($DC45:DE45)), "0"), "")</f>
        <v/>
      </c>
      <c r="DF45" s="395">
        <f t="array" ref="DF45">IFERROR(IF(AND(INDEX($E$8:$CE$57, MATCH($C45, $C$8:$C$57, 0), (COLUMNS($DC45:DF45)-1)*5 + 1) = INDEX($E$5:$CE$5, 1, (COLUMNS($DC45:DF45)-1)*5 + 1), INDEX($E$8:$CE$57, MATCH($C45, $C$8:$C$57, 0), (COLUMNS($DC45:DF45)-1)*5 + 4) = "F"), INDEX($CZ$8:$CZ$23, COLUMNS($DC45:DF45)), "0"), "")</f>
        <v/>
      </c>
      <c r="DG45" s="395">
        <f t="array" ref="DG45">IFERROR(IF(AND(INDEX($E$8:$CE$57, MATCH($C45, $C$8:$C$57, 0), (COLUMNS($DC45:DG45)-1)*5 + 1) = INDEX($E$5:$CE$5, 1, (COLUMNS($DC45:DG45)-1)*5 + 1), INDEX($E$8:$CE$57, MATCH($C45, $C$8:$C$57, 0), (COLUMNS($DC45:DG45)-1)*5 + 4) = "F"), INDEX($CZ$8:$CZ$23, COLUMNS($DC45:DG45)), "0"), "")</f>
        <v/>
      </c>
      <c r="DH45" s="395">
        <f t="array" ref="DH45">IFERROR(IF(AND(INDEX($E$8:$CE$57, MATCH($C45, $C$8:$C$57, 0), (COLUMNS($DC45:DH45)-1)*5 + 1) = INDEX($E$5:$CE$5, 1, (COLUMNS($DC45:DH45)-1)*5 + 1), INDEX($E$8:$CE$57, MATCH($C45, $C$8:$C$57, 0), (COLUMNS($DC45:DH45)-1)*5 + 4) = "F"), INDEX($CZ$8:$CZ$23, COLUMNS($DC45:DH45)), "0"), "")</f>
        <v/>
      </c>
      <c r="DI45" s="395">
        <f t="array" ref="DI45">IFERROR(IF(AND(INDEX($E$8:$CE$57, MATCH($C45, $C$8:$C$57, 0), (COLUMNS($DC45:DI45)-1)*5 + 1) = INDEX($E$5:$CE$5, 1, (COLUMNS($DC45:DI45)-1)*5 + 1), INDEX($E$8:$CE$57, MATCH($C45, $C$8:$C$57, 0), (COLUMNS($DC45:DI45)-1)*5 + 4) = "F"), INDEX($CZ$8:$CZ$23, COLUMNS($DC45:DI45)), "0"), "")</f>
        <v/>
      </c>
      <c r="DJ45" s="395">
        <f t="array" ref="DJ45">IFERROR(IF(AND(INDEX($E$8:$CE$57, MATCH($C45, $C$8:$C$57, 0), (COLUMNS($DC45:DJ45)-1)*5 + 1) = INDEX($E$5:$CE$5, 1, (COLUMNS($DC45:DJ45)-1)*5 + 1), INDEX($E$8:$CE$57, MATCH($C45, $C$8:$C$57, 0), (COLUMNS($DC45:DJ45)-1)*5 + 4) = "F"), INDEX($CZ$8:$CZ$23, COLUMNS($DC45:DJ45)), "0"), "")</f>
        <v/>
      </c>
      <c r="DK45" s="395">
        <f t="array" ref="DK45">IFERROR(IF(AND(INDEX($E$8:$CE$57, MATCH($C45, $C$8:$C$57, 0), (COLUMNS($DC45:DK45)-1)*5 + 1) = INDEX($E$5:$CE$5, 1, (COLUMNS($DC45:DK45)-1)*5 + 1), INDEX($E$8:$CE$57, MATCH($C45, $C$8:$C$57, 0), (COLUMNS($DC45:DK45)-1)*5 + 4) = "F"), INDEX($CZ$8:$CZ$23, COLUMNS($DC45:DK45)), "0"), "")</f>
        <v/>
      </c>
      <c r="DL45" s="395">
        <f t="array" ref="DL45">IFERROR(IF(AND(INDEX($E$8:$CE$57, MATCH($C45, $C$8:$C$57, 0), (COLUMNS($DC45:DL45)-1)*5 + 1) = INDEX($E$5:$CE$5, 1, (COLUMNS($DC45:DL45)-1)*5 + 1), INDEX($E$8:$CE$57, MATCH($C45, $C$8:$C$57, 0), (COLUMNS($DC45:DL45)-1)*5 + 4) = "F"), INDEX($CZ$8:$CZ$23, COLUMNS($DC45:DL45)), "0"), "")</f>
        <v/>
      </c>
      <c r="DM45" s="395">
        <f t="array" ref="DM45">IFERROR(IF(AND(INDEX($E$8:$CE$57, MATCH($C45, $C$8:$C$57, 0), (COLUMNS($DC45:DM45)-1)*5 + 1) = INDEX($E$5:$CE$5, 1, (COLUMNS($DC45:DM45)-1)*5 + 1), INDEX($E$8:$CE$57, MATCH($C45, $C$8:$C$57, 0), (COLUMNS($DC45:DM45)-1)*5 + 4) = "F"), INDEX($CZ$8:$CZ$23, COLUMNS($DC45:DM45)), "0"), "")</f>
        <v/>
      </c>
      <c r="DN45" s="395">
        <f t="array" ref="DN45">IFERROR(IF(AND(INDEX($E$8:$CE$57, MATCH($C45, $C$8:$C$57, 0), (COLUMNS($DC45:DN45)-1)*5 + 1) = INDEX($E$5:$CE$5, 1, (COLUMNS($DC45:DN45)-1)*5 + 1), INDEX($E$8:$CE$57, MATCH($C45, $C$8:$C$57, 0), (COLUMNS($DC45:DN45)-1)*5 + 4) = "F"), INDEX($CZ$8:$CZ$23, COLUMNS($DC45:DN45)), "0"), "")</f>
        <v/>
      </c>
      <c r="DO45" s="395">
        <f t="array" ref="DO45">IFERROR(IF(AND(INDEX($E$8:$CE$57, MATCH($C45, $C$8:$C$57, 0), (COLUMNS($DC45:DO45)-1)*5 + 1) = INDEX($E$5:$CE$5, 1, (COLUMNS($DC45:DO45)-1)*5 + 1), INDEX($E$8:$CE$57, MATCH($C45, $C$8:$C$57, 0), (COLUMNS($DC45:DO45)-1)*5 + 4) = "F"), INDEX($CZ$8:$CZ$23, COLUMNS($DC45:DO45)), "0"), "")</f>
        <v/>
      </c>
      <c r="DP45" s="395">
        <f t="array" ref="DP45">IFERROR(IF(AND(INDEX($E$8:$CE$57, MATCH($C45, $C$8:$C$57, 0), (COLUMNS($DC45:DP45)-1)*5 + 1) = INDEX($E$5:$CE$5, 1, (COLUMNS($DC45:DP45)-1)*5 + 1), INDEX($E$8:$CE$57, MATCH($C45, $C$8:$C$57, 0), (COLUMNS($DC45:DP45)-1)*5 + 4) = "F"), INDEX($CZ$8:$CZ$23, COLUMNS($DC45:DP45)), "0"), "")</f>
        <v/>
      </c>
      <c r="DQ45" s="395">
        <f t="array" ref="DQ45">IFERROR(IF(AND(INDEX($E$8:$CE$57, MATCH($C45, $C$8:$C$57, 0), (COLUMNS($DC45:DQ45)-1)*5 + 1) = INDEX($E$5:$CE$5, 1, (COLUMNS($DC45:DQ45)-1)*5 + 1), INDEX($E$8:$CE$57, MATCH($C45, $C$8:$C$57, 0), (COLUMNS($DC45:DQ45)-1)*5 + 4) = "F"), INDEX($CZ$8:$CZ$23, COLUMNS($DC45:DQ45)), "0"), "")</f>
        <v/>
      </c>
      <c r="DR45" s="395">
        <f t="array" ref="DR45">IFERROR(IF(AND(INDEX($E$8:$CE$57, MATCH($C45, $C$8:$C$57, 0), (COLUMNS($DC45:DR45)-1)*5 + 1) = INDEX($E$5:$CE$5, 1, (COLUMNS($DC45:DR45)-1)*5 + 1), INDEX($E$8:$CE$57, MATCH($C45, $C$8:$C$57, 0), (COLUMNS($DC45:DR45)-1)*5 + 4) = "F"), INDEX($CZ$8:$CZ$23, COLUMNS($DC45:DR45)), "0"), "")</f>
        <v/>
      </c>
      <c r="DT45" s="605">
        <f>SEMANA29[[#This Row],[COD]]</f>
        <v/>
      </c>
      <c r="DU45" s="395">
        <f t="array" ref="DU45">IFERROR(IF(AND(INDEX($E$8:$CE$57, MATCH($C45, $C$8:$C$57, 0), (COLUMNS($DU45:DU45)-1)*5 + 1) = INDEX($E$5:$CE$5, 1, (COLUMNS($DU45:DU45)-1)*5 + 1), INDEX($E$8:$CE$57, MATCH($C45, $C$8:$C$57, 0), (COLUMNS($DU45:DU45)-1)*5 + 4) = "SF"), INDEX($CZ$8:$CZ$23, COLUMNS($DU45:DU45)), "0"), "")</f>
        <v/>
      </c>
      <c r="DV45" s="395">
        <f t="array" ref="DV45">IFERROR(IF(AND(INDEX($E$8:$CE$57, MATCH($C45, $C$8:$C$57, 0), (COLUMNS($DU45:DV45)-1)*5 + 1) = INDEX($E$5:$CE$5, 1, (COLUMNS($DU45:DV45)-1)*5 + 1), INDEX($E$8:$CE$57, MATCH($C45, $C$8:$C$57, 0), (COLUMNS($DU45:DV45)-1)*5 + 4) = "SF"), INDEX($CZ$8:$CZ$23, COLUMNS($DU45:DV45)), "0"), "")</f>
        <v/>
      </c>
      <c r="DW45" s="395">
        <f t="array" ref="DW45">IFERROR(IF(AND(INDEX($E$8:$CE$57, MATCH($C45, $C$8:$C$57, 0), (COLUMNS($DU45:DW45)-1)*5 + 1) = INDEX($E$5:$CE$5, 1, (COLUMNS($DU45:DW45)-1)*5 + 1), INDEX($E$8:$CE$57, MATCH($C45, $C$8:$C$57, 0), (COLUMNS($DU45:DW45)-1)*5 + 4) = "SF"), INDEX($CZ$8:$CZ$23, COLUMNS($DU45:DW45)), "0"), "")</f>
        <v/>
      </c>
      <c r="DX45" s="395">
        <f t="array" ref="DX45">IFERROR(IF(AND(INDEX($E$8:$CE$57, MATCH($C45, $C$8:$C$57, 0), (COLUMNS($DU45:DX45)-1)*5 + 1) = INDEX($E$5:$CE$5, 1, (COLUMNS($DU45:DX45)-1)*5 + 1), INDEX($E$8:$CE$57, MATCH($C45, $C$8:$C$57, 0), (COLUMNS($DU45:DX45)-1)*5 + 4) = "SF"), INDEX($CZ$8:$CZ$23, COLUMNS($DU45:DX45)), "0"), "")</f>
        <v/>
      </c>
      <c r="DY45" s="395">
        <f t="array" ref="DY45">IFERROR(IF(AND(INDEX($E$8:$CE$57, MATCH($C45, $C$8:$C$57, 0), (COLUMNS($DU45:DY45)-1)*5 + 1) = INDEX($E$5:$CE$5, 1, (COLUMNS($DU45:DY45)-1)*5 + 1), INDEX($E$8:$CE$57, MATCH($C45, $C$8:$C$57, 0), (COLUMNS($DU45:DY45)-1)*5 + 4) = "SF"), INDEX($CZ$8:$CZ$23, COLUMNS($DU45:DY45)), "0"), "")</f>
        <v/>
      </c>
      <c r="DZ45" s="395">
        <f t="array" ref="DZ45">IFERROR(IF(AND(INDEX($E$8:$CE$57, MATCH($C45, $C$8:$C$57, 0), (COLUMNS($DU45:DZ45)-1)*5 + 1) = INDEX($E$5:$CE$5, 1, (COLUMNS($DU45:DZ45)-1)*5 + 1), INDEX($E$8:$CE$57, MATCH($C45, $C$8:$C$57, 0), (COLUMNS($DU45:DZ45)-1)*5 + 4) = "SF"), INDEX($CZ$8:$CZ$23, COLUMNS($DU45:DZ45)), "0"), "")</f>
        <v/>
      </c>
      <c r="EA45" s="395">
        <f t="array" ref="EA45">IFERROR(IF(AND(INDEX($E$8:$CE$57, MATCH($C45, $C$8:$C$57, 0), (COLUMNS($DU45:EA45)-1)*5 + 1) = INDEX($E$5:$CE$5, 1, (COLUMNS($DU45:EA45)-1)*5 + 1), INDEX($E$8:$CE$57, MATCH($C45, $C$8:$C$57, 0), (COLUMNS($DU45:EA45)-1)*5 + 4) = "SF"), INDEX($CZ$8:$CZ$23, COLUMNS($DU45:EA45)), "0"), "")</f>
        <v/>
      </c>
      <c r="EB45" s="395">
        <f t="array" ref="EB45">IFERROR(IF(AND(INDEX($E$8:$CE$57, MATCH($C45, $C$8:$C$57, 0), (COLUMNS($DU45:EB45)-1)*5 + 1) = INDEX($E$5:$CE$5, 1, (COLUMNS($DU45:EB45)-1)*5 + 1), INDEX($E$8:$CE$57, MATCH($C45, $C$8:$C$57, 0), (COLUMNS($DU45:EB45)-1)*5 + 4) = "SF"), INDEX($CZ$8:$CZ$23, COLUMNS($DU45:EB45)), "0"), "")</f>
        <v/>
      </c>
      <c r="EC45" s="395">
        <f t="array" ref="EC45">IFERROR(IF(AND(INDEX($E$8:$CE$57, MATCH($C45, $C$8:$C$57, 0), (COLUMNS($DU45:EC45)-1)*5 + 1) = INDEX($E$5:$CE$5, 1, (COLUMNS($DU45:EC45)-1)*5 + 1), INDEX($E$8:$CE$57, MATCH($C45, $C$8:$C$57, 0), (COLUMNS($DU45:EC45)-1)*5 + 4) = "SF"), INDEX($CZ$8:$CZ$23, COLUMNS($DU45:EC45)), "0"), "")</f>
        <v/>
      </c>
      <c r="ED45" s="395">
        <f t="array" ref="ED45">IFERROR(IF(AND(INDEX($E$8:$CE$57, MATCH($C45, $C$8:$C$57, 0), (COLUMNS($DU45:ED45)-1)*5 + 1) = INDEX($E$5:$CE$5, 1, (COLUMNS($DU45:ED45)-1)*5 + 1), INDEX($E$8:$CE$57, MATCH($C45, $C$8:$C$57, 0), (COLUMNS($DU45:ED45)-1)*5 + 4) = "SF"), INDEX($CZ$8:$CZ$23, COLUMNS($DU45:ED45)), "0"), "")</f>
        <v/>
      </c>
      <c r="EE45" s="395">
        <f t="array" ref="EE45">IFERROR(IF(AND(INDEX($E$8:$CE$57, MATCH($C45, $C$8:$C$57, 0), (COLUMNS($DU45:EE45)-1)*5 + 1) = INDEX($E$5:$CE$5, 1, (COLUMNS($DU45:EE45)-1)*5 + 1), INDEX($E$8:$CE$57, MATCH($C45, $C$8:$C$57, 0), (COLUMNS($DU45:EE45)-1)*5 + 4) = "SF"), INDEX($CZ$8:$CZ$23, COLUMNS($DU45:EE45)), "0"), "")</f>
        <v/>
      </c>
      <c r="EF45" s="395">
        <f t="array" ref="EF45">IFERROR(IF(AND(INDEX($E$8:$CE$57, MATCH($C45, $C$8:$C$57, 0), (COLUMNS($DU45:EF45)-1)*5 + 1) = INDEX($E$5:$CE$5, 1, (COLUMNS($DU45:EF45)-1)*5 + 1), INDEX($E$8:$CE$57, MATCH($C45, $C$8:$C$57, 0), (COLUMNS($DU45:EF45)-1)*5 + 4) = "SF"), INDEX($CZ$8:$CZ$23, COLUMNS($DU45:EF45)), "0"), "")</f>
        <v/>
      </c>
      <c r="EG45" s="395">
        <f t="array" ref="EG45">IFERROR(IF(AND(INDEX($E$8:$CE$57, MATCH($C45, $C$8:$C$57, 0), (COLUMNS($DU45:EG45)-1)*5 + 1) = INDEX($E$5:$CE$5, 1, (COLUMNS($DU45:EG45)-1)*5 + 1), INDEX($E$8:$CE$57, MATCH($C45, $C$8:$C$57, 0), (COLUMNS($DU45:EG45)-1)*5 + 4) = "SF"), INDEX($CZ$8:$CZ$23, COLUMNS($DU45:EG45)), "0"), "")</f>
        <v/>
      </c>
      <c r="EH45" s="395">
        <f t="array" ref="EH45">IFERROR(IF(AND(INDEX($E$8:$CE$57, MATCH($C45, $C$8:$C$57, 0), (COLUMNS($DU45:EH45)-1)*5 + 1) = INDEX($E$5:$CE$5, 1, (COLUMNS($DU45:EH45)-1)*5 + 1), INDEX($E$8:$CE$57, MATCH($C45, $C$8:$C$57, 0), (COLUMNS($DU45:EH45)-1)*5 + 4) = "SF"), INDEX($CZ$8:$CZ$23, COLUMNS($DU45:EH45)), "0"), "")</f>
        <v/>
      </c>
      <c r="EI45" s="395">
        <f t="array" ref="EI45">IFERROR(IF(AND(INDEX($E$8:$CE$57, MATCH($C45, $C$8:$C$57, 0), (COLUMNS($DU45:EI45)-1)*5 + 1) = INDEX($E$5:$CE$5, 1, (COLUMNS($DU45:EI45)-1)*5 + 1), INDEX($E$8:$CE$57, MATCH($C45, $C$8:$C$57, 0), (COLUMNS($DU45:EI45)-1)*5 + 4) = "SF"), INDEX($CZ$8:$CZ$23, COLUMNS($DU45:EI45)), "0"), "")</f>
        <v/>
      </c>
      <c r="EJ45" s="395">
        <f t="array" ref="EJ45">IFERROR(IF(AND(INDEX($E$8:$CE$57, MATCH($C45, $C$8:$C$57, 0), (COLUMNS($DU45:EJ45)-1)*5 + 1) = INDEX($E$5:$CE$5, 1, (COLUMNS($DU45:EJ45)-1)*5 + 1), INDEX($E$8:$CE$57, MATCH($C45, $C$8:$C$57, 0), (COLUMNS($DU45:EJ45)-1)*5 + 4) = "SF"), INDEX($CZ$8:$CZ$23, COLUMNS($DU45:EJ45)), "0"), "")</f>
        <v/>
      </c>
    </row>
    <row r="46" ht="20.1" customHeight="1" s="568">
      <c r="A46" s="576" t="n"/>
      <c r="B46" s="449">
        <f>IF(SEMANA29[[#This Row],[COD]]&lt;&gt;"",B45+1,"")</f>
        <v/>
      </c>
      <c r="C46" s="622" t="inlineStr">
        <is>
          <t>COD 39</t>
        </is>
      </c>
      <c r="D46" s="415">
        <f t="array" ref="D46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6" s="416" t="n"/>
      <c r="F46" s="418" t="n"/>
      <c r="G46" s="418" t="n"/>
      <c r="H46" s="418" t="n"/>
      <c r="I46" s="602">
        <f>SUM(IF(E46=E$5,4,0),IF(E46&amp;F46=E$5&amp;F$5,1,0),
IF(AND(E46=E$5,F$6&gt;=$D$115),1,0),
IF(AND(F46=E$5,F$6&gt;=$D$115),1,0),
IF(AND(G46=E$5,F$6&gt;=$D$115),1,0),
IF(E46&amp;H46=I$5,1,0),
IF(F46=E$5,2,0),
IF(G46=E$5,1,0),
IF(OR(E46&amp;F46&amp;G46=E$5&amp;F$5&amp;G$5,E46&amp;F46&amp;G46=E$5&amp;G$5&amp;F$5,E46&amp;F46&amp;G46=F$5&amp;E$5&amp;G$5,E46&amp;F46&amp;G46=F$5&amp;G$5&amp;E$5,E46&amp;F46&amp;G46=G$5&amp;E$5&amp;F$5,E46&amp;F46&amp;G46=G$5&amp;F$5&amp;E$5),2,0),IF(AND(E46=E$5,F$6&gt;=$D$129),1,0),IF(AND(F46=E$5,F$6&gt;=$D$129),1,0),IF(AND(G46=E$5,F$6&gt;=$D$129),1,0),IF(E46&amp;H46=H$5,4,0),IF(AND(E46=E$5,F$6&lt;=$D$104),-0.5,0),IF(AND(F46=E$5,F$6&lt;=$D$104),-0.5,0),IF(AND(G46=E$5,F$6&lt;=$D$104),-0.5,0))</f>
        <v/>
      </c>
      <c r="J46" s="416" t="n"/>
      <c r="K46" s="418" t="n"/>
      <c r="L46" s="418" t="n"/>
      <c r="M46" s="418" t="n"/>
      <c r="N46" s="602">
        <f>SUM(IF(J46=J$5,4,0),IF(J46&amp;K46=J$5&amp;K$5,1,0),
IF(AND(J46=J$5,K$6&gt;=$D$115),1,0),
IF(AND(K46=J$5,K$6&gt;=$D$115),1,0),
IF(AND(L46=J$5,K$6&gt;=$D$115),1,0),
IF(J46&amp;M46=N$5,1,0),
IF(K46=J$5,2,0),
IF(L46=J$5,1,0),
IF(OR(J46&amp;K46&amp;L46=J$5&amp;K$5&amp;L$5,J46&amp;K46&amp;L46=J$5&amp;L$5&amp;K$5,J46&amp;K46&amp;L46=K$5&amp;J$5&amp;L$5,J46&amp;K46&amp;L46=K$5&amp;L$5&amp;J$5,J46&amp;K46&amp;L46=L$5&amp;J$5&amp;K$5,J46&amp;K46&amp;L46=L$5&amp;K$5&amp;J$5),2,0),IF(AND(J46=J$5,K$6&gt;=$D$129),1,0),IF(AND(K46=J$5,K$6&gt;=$D$129),1,0),IF(AND(L46=J$5,K$6&gt;=$D$129),1,0),IF(J46&amp;M46=M$5,4,0),IF(AND(J46=J$5,K$6&lt;=$D$104),-0.5,0),IF(AND(K46=J$5,K$6&lt;=$D$104),-0.5,0),IF(AND(L46=J$5,K$6&lt;=$D$104),-0.5,0))</f>
        <v/>
      </c>
      <c r="O46" s="416" t="n"/>
      <c r="P46" s="418" t="n"/>
      <c r="Q46" s="418" t="n"/>
      <c r="R46" s="418" t="n"/>
      <c r="S46" s="602">
        <f>SUM(IF(O46=O$5,4,0),IF(O46&amp;P46=O$5&amp;P$5,1,0),
IF(AND(O46=O$5,P$6&gt;=$D$115),1,0),
IF(AND(P46=O$5,P$6&gt;=$D$115),1,0),
IF(AND(Q46=O$5,P$6&gt;=$D$115),1,0),
IF(O46&amp;R46=S$5,1,0),
IF(P46=O$5,2,0),
IF(Q46=O$5,1,0),
IF(OR(O46&amp;P46&amp;Q46=O$5&amp;P$5&amp;Q$5,O46&amp;P46&amp;Q46=O$5&amp;Q$5&amp;P$5,O46&amp;P46&amp;Q46=P$5&amp;O$5&amp;Q$5,O46&amp;P46&amp;Q46=P$5&amp;Q$5&amp;O$5,O46&amp;P46&amp;Q46=Q$5&amp;O$5&amp;P$5,O46&amp;P46&amp;Q46=Q$5&amp;P$5&amp;O$5),2,0),IF(AND(O46=O$5,P$6&gt;=$D$129),1,0),IF(AND(P46=O$5,P$6&gt;=$D$129),1,0),IF(AND(Q46=O$5,P$6&gt;=$D$129),1,0),IF(O46&amp;R46=R$5,4,0),IF(AND(O46=O$5,P$6&lt;=$D$104),-0.5,0),IF(AND(P46=O$5,P$6&lt;=$D$104),-0.5,0),IF(AND(Q46=O$5,P$6&lt;=$D$104),-0.5,0))</f>
        <v/>
      </c>
      <c r="T46" s="416" t="n"/>
      <c r="U46" s="418" t="n"/>
      <c r="V46" s="418" t="n"/>
      <c r="W46" s="418" t="n"/>
      <c r="X46" s="602">
        <f>SUM(IF(T46=T$5,4,0),IF(T46&amp;U46=T$5&amp;U$5,1,0),
IF(AND(T46=T$5,U$6&gt;=$D$115),1,0),
IF(AND(U46=T$5,U$6&gt;=$D$115),1,0),
IF(AND(V46=T$5,U$6&gt;=$D$115),1,0),
IF(T46&amp;W46=X$5,1,0),
IF(U46=T$5,2,0),
IF(V46=T$5,1,0),
IF(OR(T46&amp;U46&amp;V46=T$5&amp;U$5&amp;V$5,T46&amp;U46&amp;V46=T$5&amp;V$5&amp;U$5,T46&amp;U46&amp;V46=U$5&amp;T$5&amp;V$5,T46&amp;U46&amp;V46=U$5&amp;V$5&amp;T$5,T46&amp;U46&amp;V46=V$5&amp;T$5&amp;U$5,T46&amp;U46&amp;V46=V$5&amp;U$5&amp;T$5),2,0),IF(AND(T46=T$5,U$6&gt;=$D$129),1,0),IF(AND(U46=T$5,U$6&gt;=$D$129),1,0),IF(AND(V46=T$5,U$6&gt;=$D$129),1,0),IF(T46&amp;W46=W$5,4,0),IF(AND(T46=T$5,U$6&lt;=$D$104),-0.5,0),IF(AND(U46=T$5,U$6&lt;=$D$104),-0.5,0),IF(AND(V46=T$5,U$6&lt;=$D$104),-0.5,0))</f>
        <v/>
      </c>
      <c r="Y46" s="416" t="n"/>
      <c r="Z46" s="418" t="n"/>
      <c r="AA46" s="418" t="n"/>
      <c r="AB46" s="418" t="n"/>
      <c r="AC46" s="602">
        <f>SUM(IF(Y46=Y$5,4,0),IF(Y46&amp;Z46=Y$5&amp;Z$5,1,0),
IF(AND(Y46=Y$5,Z$6&gt;=$D$115),1,0),
IF(AND(Z46=Y$5,Z$6&gt;=$D$115),1,0),
IF(AND(AA46=Y$5,Z$6&gt;=$D$115),1,0),
IF(Y46&amp;AB46=AC$5,1,0),
IF(Z46=Y$5,2,0),
IF(AA46=Y$5,1,0),
IF(OR(Y46&amp;Z46&amp;AA46=Y$5&amp;Z$5&amp;AA$5,Y46&amp;Z46&amp;AA46=Y$5&amp;AA$5&amp;Z$5,Y46&amp;Z46&amp;AA46=Z$5&amp;Y$5&amp;AA$5,Y46&amp;Z46&amp;AA46=Z$5&amp;AA$5&amp;Y$5,Y46&amp;Z46&amp;AA46=AA$5&amp;Y$5&amp;Z$5,Y46&amp;Z46&amp;AA46=AA$5&amp;Z$5&amp;Y$5),2,0),IF(AND(Y46=Y$5,Z$6&gt;=$D$129),1,0),IF(AND(Z46=Y$5,Z$6&gt;=$D$129),1,0),IF(AND(AA46=Y$5,Z$6&gt;=$D$129),1,0),IF(Y46&amp;AB46=AB$5,4,0),IF(AND(Y46=Y$5,Z$6&lt;=$D$104),-0.5,0),IF(AND(Z46=Y$5,Z$6&lt;=$D$104),-0.5,0),IF(AND(AA46=Y$5,Z$6&lt;=$D$104),-0.5,0))</f>
        <v/>
      </c>
      <c r="AD46" s="416" t="n"/>
      <c r="AE46" s="418" t="n"/>
      <c r="AF46" s="418" t="n"/>
      <c r="AG46" s="418" t="n"/>
      <c r="AH46" s="602">
        <f>SUM(IF(AD46=AD$5,4,0),IF(AD46&amp;AE46=AD$5&amp;AE$5,1,0),
IF(AND(AD46=AD$5,AE$6&gt;=$D$115),1,0),
IF(AND(AE46=AD$5,AE$6&gt;=$D$115),1,0),
IF(AND(AF46=AD$5,AE$6&gt;=$D$115),1,0),
IF(AD46&amp;AG46=AH$5,1,0),
IF(AE46=AD$5,2,0),
IF(AF46=AD$5,1,0),
IF(OR(AD46&amp;AE46&amp;AF46=AD$5&amp;AE$5&amp;AF$5,AD46&amp;AE46&amp;AF46=AD$5&amp;AF$5&amp;AE$5,AD46&amp;AE46&amp;AF46=AE$5&amp;AD$5&amp;AF$5,AD46&amp;AE46&amp;AF46=AE$5&amp;AF$5&amp;AD$5,AD46&amp;AE46&amp;AF46=AF$5&amp;AD$5&amp;AE$5,AD46&amp;AE46&amp;AF46=AF$5&amp;AE$5&amp;AD$5),2,0),IF(AND(AD46=AD$5,AE$6&gt;=$D$129),1,0),IF(AND(AE46=AD$5,AE$6&gt;=$D$129),1,0),IF(AND(AF46=AD$5,AE$6&gt;=$D$129),1,0),IF(AD46&amp;AG46=AG$5,4,0),IF(AND(AD46=AD$5,AE$6&lt;=$D$104),-0.5,0),IF(AND(AE46=AD$5,AE$6&lt;=$D$104),-0.5,0),IF(AND(AF46=AD$5,AE$6&lt;=$D$104),-0.5,0))</f>
        <v/>
      </c>
      <c r="AI46" s="416" t="n"/>
      <c r="AJ46" s="418" t="n"/>
      <c r="AK46" s="418" t="n"/>
      <c r="AL46" s="418" t="n"/>
      <c r="AM46" s="602">
        <f>SUM(IF(AI46=AI$5,4,0),IF(AI46&amp;AJ46=AI$5&amp;AJ$5,1,0),
IF(AND(AI46=AI$5,AJ$6&gt;=$D$115),1,0),
IF(AND(AJ46=AI$5,AJ$6&gt;=$D$115),1,0),
IF(AND(AK46=AI$5,AJ$6&gt;=$D$115),1,0),
IF(AI46&amp;AL46=AM$5,1,0),
IF(AJ46=AI$5,2,0),
IF(AK46=AI$5,1,0),
IF(OR(AI46&amp;AJ46&amp;AK46=AI$5&amp;AJ$5&amp;AK$5,AI46&amp;AJ46&amp;AK46=AI$5&amp;AK$5&amp;AJ$5,AI46&amp;AJ46&amp;AK46=AJ$5&amp;AI$5&amp;AK$5,AI46&amp;AJ46&amp;AK46=AJ$5&amp;AK$5&amp;AI$5,AI46&amp;AJ46&amp;AK46=AK$5&amp;AI$5&amp;AJ$5,AI46&amp;AJ46&amp;AK46=AK$5&amp;AJ$5&amp;AI$5),2,0),IF(AND(AI46=AI$5,AJ$6&gt;=$D$129),1,0),IF(AND(AJ46=AI$5,AJ$6&gt;=$D$129),1,0),IF(AND(AK46=AI$5,AJ$6&gt;=$D$129),1,0),IF(AI46&amp;AL46=AL$5,4,0),IF(AND(AI46=AI$5,AJ$6&lt;=$D$104),-0.5,0),IF(AND(AJ46=AI$5,AJ$6&lt;=$D$104),-0.5,0),IF(AND(AK46=AI$5,AJ$6&lt;=$D$104),-0.5,0))</f>
        <v/>
      </c>
      <c r="AN46" s="416" t="n"/>
      <c r="AO46" s="418" t="n"/>
      <c r="AP46" s="418" t="n"/>
      <c r="AQ46" s="418" t="n"/>
      <c r="AR46" s="602">
        <f>SUM(IF(AN46=AN$5,4,0),IF(AN46&amp;AO46=AN$5&amp;AO$5,1,0),
IF(AND(AN46=AN$5,AO$6&gt;=$D$115),1,0),
IF(AND(AO46=AN$5,AO$6&gt;=$D$115),1,0),
IF(AND(AP46=AN$5,AO$6&gt;=$D$115),1,0),
IF(AN46&amp;AQ46=AR$5,1,0),
IF(AO46=AN$5,2,0),
IF(AP46=AN$5,1,0),
IF(OR(AN46&amp;AO46&amp;AP46=AN$5&amp;AO$5&amp;AP$5,AN46&amp;AO46&amp;AP46=AN$5&amp;AP$5&amp;AO$5,AN46&amp;AO46&amp;AP46=AO$5&amp;AN$5&amp;AP$5,AN46&amp;AO46&amp;AP46=AO$5&amp;AP$5&amp;AN$5,AN46&amp;AO46&amp;AP46=AP$5&amp;AN$5&amp;AO$5,AN46&amp;AO46&amp;AP46=AP$5&amp;AO$5&amp;AN$5),2,0),IF(AND(AN46=AN$5,AO$6&gt;=$D$129),1,0),IF(AND(AO46=AN$5,AO$6&gt;=$D$129),1,0),IF(AND(AP46=AN$5,AO$6&gt;=$D$129),1,0),IF(AN46&amp;AQ46=AQ$5,4,0),IF(AND(AN46=AN$5,AO$6&lt;=$D$104),-0.5,0),IF(AND(AO46=AN$5,AO$6&lt;=$D$104),-0.5,0),IF(AND(AP46=AN$5,AO$6&lt;=$D$104),-0.5,0))</f>
        <v/>
      </c>
      <c r="AS46" s="416" t="n"/>
      <c r="AT46" s="418" t="n"/>
      <c r="AU46" s="418" t="n"/>
      <c r="AV46" s="418" t="n"/>
      <c r="AW46" s="602">
        <f>SUM(IF(AS46=AS$5,4,0),IF(AS46&amp;AT46=AS$5&amp;AT$5,1,0),
IF(AND(AS46=AS$5,AT$6&gt;=$D$115),1,0),
IF(AND(AT46=AS$5,AT$6&gt;=$D$115),1,0),
IF(AND(AU46=AS$5,AT$6&gt;=$D$115),1,0),
IF(AS46&amp;AV46=AW$5,1,0),
IF(AT46=AS$5,2,0),
IF(AU46=AS$5,1,0),
IF(OR(AS46&amp;AT46&amp;AU46=AS$5&amp;AT$5&amp;AU$5,AS46&amp;AT46&amp;AU46=AS$5&amp;AU$5&amp;AT$5,AS46&amp;AT46&amp;AU46=AT$5&amp;AS$5&amp;AU$5,AS46&amp;AT46&amp;AU46=AT$5&amp;AU$5&amp;AS$5,AS46&amp;AT46&amp;AU46=AU$5&amp;AS$5&amp;AT$5,AS46&amp;AT46&amp;AU46=AU$5&amp;AT$5&amp;AS$5),2,0),IF(AND(AS46=AS$5,AT$6&gt;=$D$129),1,0),IF(AND(AT46=AS$5,AT$6&gt;=$D$129),1,0),IF(AND(AU46=AS$5,AT$6&gt;=$D$129),1,0),IF(AS46&amp;AV46=AV$5,4,0),IF(AND(AS46=AS$5,AT$6&lt;=$D$104),-0.5,0),IF(AND(AT46=AS$5,AT$6&lt;=$D$104),-0.5,0),IF(AND(AU46=AS$5,AT$6&lt;=$D$104),-0.5,0))</f>
        <v/>
      </c>
      <c r="AX46" s="416" t="n"/>
      <c r="AY46" s="418" t="n"/>
      <c r="AZ46" s="418" t="n"/>
      <c r="BA46" s="418" t="n"/>
      <c r="BB46" s="602">
        <f>SUM(IF(AX46=AX$5,4,0),IF(AX46&amp;AY46=AX$5&amp;AY$5,1,0),
IF(AND(AX46=AX$5,AY$6&gt;=$D$115),1,0),
IF(AND(AY46=AX$5,AY$6&gt;=$D$115),1,0),
IF(AND(AZ46=AX$5,AY$6&gt;=$D$115),1,0),
IF(AX46&amp;BA46=BB$5,1,0),
IF(AY46=AX$5,2,0),
IF(AZ46=AX$5,1,0),
IF(OR(AX46&amp;AY46&amp;AZ46=AX$5&amp;AY$5&amp;AZ$5,AX46&amp;AY46&amp;AZ46=AX$5&amp;AZ$5&amp;AY$5,AX46&amp;AY46&amp;AZ46=AY$5&amp;AX$5&amp;AZ$5,AX46&amp;AY46&amp;AZ46=AY$5&amp;AZ$5&amp;AX$5,AX46&amp;AY46&amp;AZ46=AZ$5&amp;AX$5&amp;AY$5,AX46&amp;AY46&amp;AZ46=AZ$5&amp;AY$5&amp;AX$5),2,0),IF(AND(AX46=AX$5,AY$6&gt;=$D$129),1,0),IF(AND(AY46=AX$5,AY$6&gt;=$D$129),1,0),IF(AND(AZ46=AX$5,AY$6&gt;=$D$129),1,0),IF(AX46&amp;BA46=BA$5,4,0),IF(AND(AX46=AX$5,AY$6&lt;=$D$104),-0.5,0),IF(AND(AY46=AX$5,AY$6&lt;=$D$104),-0.5,0),IF(AND(AZ46=AX$5,AY$6&lt;=$D$104),-0.5,0))</f>
        <v/>
      </c>
      <c r="BC46" s="416" t="n"/>
      <c r="BD46" s="418" t="n"/>
      <c r="BE46" s="418" t="n"/>
      <c r="BF46" s="418" t="n"/>
      <c r="BG46" s="602">
        <f>SUM(IF(BC46=BC$5,4,0),IF(BC46&amp;BD46=BC$5&amp;BD$5,1,0),
IF(AND(BC46=BC$5,BD$6&gt;=$D$115),1,0),
IF(AND(BD46=BC$5,BD$6&gt;=$D$115),1,0),
IF(AND(BE46=BC$5,BD$6&gt;=$D$115),1,0),
IF(BC46&amp;BF46=BG$5,1,0),
IF(BD46=BC$5,2,0),
IF(BE46=BC$5,1,0),
IF(OR(BC46&amp;BD46&amp;BE46=BC$5&amp;BD$5&amp;BE$5,BC46&amp;BD46&amp;BE46=BC$5&amp;BE$5&amp;BD$5,BC46&amp;BD46&amp;BE46=BD$5&amp;BC$5&amp;BE$5,BC46&amp;BD46&amp;BE46=BD$5&amp;BE$5&amp;BC$5,BC46&amp;BD46&amp;BE46=BE$5&amp;BC$5&amp;BD$5,BC46&amp;BD46&amp;BE46=BE$5&amp;BD$5&amp;BC$5),2,0),IF(AND(BC46=BC$5,BD$6&gt;=$D$129),1,0),IF(AND(BD46=BC$5,BD$6&gt;=$D$129),1,0),IF(AND(BE46=BC$5,BD$6&gt;=$D$129),1,0),IF(BC46&amp;BF46=BF$5,4,0),IF(AND(BC46=BC$5,BD$6&lt;=$D$104),-0.5,0),IF(AND(BD46=BC$5,BD$6&lt;=$D$104),-0.5,0),IF(AND(BE46=BC$5,BD$6&lt;=$D$104),-0.5,0))</f>
        <v/>
      </c>
      <c r="BH46" s="416" t="n"/>
      <c r="BI46" s="418" t="n"/>
      <c r="BJ46" s="418" t="n"/>
      <c r="BK46" s="418" t="n"/>
      <c r="BL46" s="602">
        <f>SUM(IF(BH46=BH$5,4,0),IF(BH46&amp;BI46=BH$5&amp;BI$5,1,0),
IF(AND(BH46=BH$5,BI$6&gt;=$D$115),1,0),
IF(AND(BI46=BH$5,BI$6&gt;=$D$115),1,0),
IF(AND(BJ46=BH$5,BI$6&gt;=$D$115),1,0),
IF(BH46&amp;BK46=BL$5,1,0),
IF(BI46=BH$5,2,0),
IF(BJ46=BH$5,1,0),
IF(OR(BH46&amp;BI46&amp;BJ46=BH$5&amp;BI$5&amp;BJ$5,BH46&amp;BI46&amp;BJ46=BH$5&amp;BJ$5&amp;BI$5,BH46&amp;BI46&amp;BJ46=BI$5&amp;BH$5&amp;BJ$5,BH46&amp;BI46&amp;BJ46=BI$5&amp;BJ$5&amp;BH$5,BH46&amp;BI46&amp;BJ46=BJ$5&amp;BH$5&amp;BI$5,BH46&amp;BI46&amp;BJ46=BJ$5&amp;BI$5&amp;BH$5),2,0),IF(AND(BH46=BH$5,BI$6&gt;=$D$129),1,0),IF(AND(BI46=BH$5,BI$6&gt;=$D$129),1,0),IF(AND(BJ46=BH$5,BI$6&gt;=$D$129),1,0),IF(BH46&amp;BK46=BK$5,4,0),IF(AND(BH46=BH$5,BI$6&lt;=$D$104),-0.5,0),IF(AND(BI46=BH$5,BI$6&lt;=$D$104),-0.5,0),IF(AND(BJ46=BH$5,BI$6&lt;=$D$104),-0.5,0))</f>
        <v/>
      </c>
      <c r="BM46" s="416" t="n"/>
      <c r="BN46" s="418" t="n"/>
      <c r="BO46" s="418" t="n"/>
      <c r="BP46" s="418" t="n"/>
      <c r="BQ46" s="602">
        <f>SUM(IF(BM46=BM$5,4,0),IF(BM46&amp;BN46=BM$5&amp;BN$5,1,0),
IF(AND(BM46=BM$5,BN$6&gt;=$D$115),1,0),
IF(AND(BN46=BM$5,BN$6&gt;=$D$115),1,0),
IF(AND(BO46=BM$5,BN$6&gt;=$D$115),1,0),
IF(BM46&amp;BP46=BQ$5,1,0),
IF(BN46=BM$5,2,0),
IF(BO46=BM$5,1,0),
IF(OR(BM46&amp;BN46&amp;BO46=BM$5&amp;BN$5&amp;BO$5,BM46&amp;BN46&amp;BO46=BM$5&amp;BO$5&amp;BN$5,BM46&amp;BN46&amp;BO46=BN$5&amp;BM$5&amp;BO$5,BM46&amp;BN46&amp;BO46=BN$5&amp;BO$5&amp;BM$5,BM46&amp;BN46&amp;BO46=BO$5&amp;BM$5&amp;BN$5,BM46&amp;BN46&amp;BO46=BO$5&amp;BN$5&amp;BM$5),2,0),IF(AND(BM46=BM$5,BN$6&gt;=$D$129),1,0),IF(AND(BN46=BM$5,BN$6&gt;=$D$129),1,0),IF(AND(BO46=BM$5,BN$6&gt;=$D$129),1,0),IF(BM46&amp;BP46=BP$5,4,0),IF(AND(BM46=BM$5,BN$6&lt;=$D$104),-0.5,0),IF(AND(BN46=BM$5,BN$6&lt;=$D$104),-0.5,0),IF(AND(BO46=BM$5,BN$6&lt;=$D$104),-0.5,0))</f>
        <v/>
      </c>
      <c r="BR46" s="416" t="n"/>
      <c r="BS46" s="418" t="n"/>
      <c r="BT46" s="418" t="n"/>
      <c r="BU46" s="418" t="n"/>
      <c r="BV46" s="602">
        <f>SUM(IF(BR46=BR$5,4,0),IF(BR46&amp;BS46=BR$5&amp;BS$5,1,0),
IF(AND(BR46=BR$5,BS$6&gt;=$D$115),1,0),
IF(AND(BS46=BR$5,BS$6&gt;=$D$115),1,0),
IF(AND(BT46=BR$5,BS$6&gt;=$D$115),1,0),
IF(BR46&amp;BU46=BV$5,1,0),
IF(BS46=BR$5,2,0),
IF(BT46=BR$5,1,0),
IF(OR(BR46&amp;BS46&amp;BT46=BR$5&amp;BS$5&amp;BT$5,BR46&amp;BS46&amp;BT46=BR$5&amp;BT$5&amp;BS$5,BR46&amp;BS46&amp;BT46=BS$5&amp;BR$5&amp;BT$5,BR46&amp;BS46&amp;BT46=BS$5&amp;BT$5&amp;BR$5,BR46&amp;BS46&amp;BT46=BT$5&amp;BR$5&amp;BS$5,BR46&amp;BS46&amp;BT46=BT$5&amp;BS$5&amp;BR$5),2,0),IF(AND(BR46=BR$5,BS$6&gt;=$D$129),1,0),IF(AND(BS46=BR$5,BS$6&gt;=$D$129),1,0),IF(AND(BT46=BR$5,BS$6&gt;=$D$129),1,0),IF(BR46&amp;BU46=BU$5,4,0),IF(AND(BR46=BR$5,BS$6&lt;=$D$104),-0.5,0),IF(AND(BS46=BR$5,BS$6&lt;=$D$104),-0.5,0),IF(AND(BT46=BR$5,BS$6&lt;=$D$104),-0.5,0))</f>
        <v/>
      </c>
      <c r="BW46" s="416" t="n"/>
      <c r="BX46" s="418" t="n"/>
      <c r="BY46" s="418" t="n"/>
      <c r="BZ46" s="418" t="n"/>
      <c r="CA46" s="602">
        <f>SUM(IF(BW46=BW$5,4,0),IF(BW46&amp;BX46=BW$5&amp;BX$5,1,0),
IF(AND(BW46=BW$5,BX$6&gt;=$D$115),1,0),
IF(AND(BX46=BW$5,BX$6&gt;=$D$115),1,0),
IF(AND(BY46=BW$5,BX$6&gt;=$D$115),1,0),
IF(BW46&amp;BZ46=CA$5,1,0),
IF(BX46=BW$5,2,0),
IF(BY46=BW$5,1,0),
IF(OR(BW46&amp;BX46&amp;BY46=BW$5&amp;BX$5&amp;BY$5,BW46&amp;BX46&amp;BY46=BW$5&amp;BY$5&amp;BX$5,BW46&amp;BX46&amp;BY46=BX$5&amp;BW$5&amp;BY$5,BW46&amp;BX46&amp;BY46=BX$5&amp;BY$5&amp;BW$5,BW46&amp;BX46&amp;BY46=BY$5&amp;BW$5&amp;BX$5,BW46&amp;BX46&amp;BY46=BY$5&amp;BX$5&amp;BW$5),2,0),IF(AND(BW46=BW$5,BX$6&gt;=$D$129),1,0),IF(AND(BX46=BW$5,BX$6&gt;=$D$129),1,0),IF(AND(BY46=BW$5,BX$6&gt;=$D$129),1,0),IF(BW46&amp;BZ46=BZ$5,4,0),IF(AND(BW46=BW$5,BX$6&lt;=$D$104),-0.5,0),IF(AND(BX46=BW$5,BX$6&lt;=$D$104),-0.5,0),IF(AND(BY46=BW$5,BX$6&lt;=$D$104),-0.5,0))</f>
        <v/>
      </c>
      <c r="CB46" s="416" t="n"/>
      <c r="CC46" s="418" t="n"/>
      <c r="CD46" s="418" t="n"/>
      <c r="CE46" s="418" t="n"/>
      <c r="CF46" s="602">
        <f>SUM(IF(CB46=CB$5,4,0),IF(CB46&amp;CC46=CB$5&amp;CC$5,1,0),
IF(AND(CB46=CB$5,CC$6&gt;=$D$115),1,0),
IF(AND(CC46=CB$5,CC$6&gt;=$D$115),1,0),
IF(AND(CD46=CB$5,CC$6&gt;=$D$115),1,0),
IF(CB46&amp;CE46=CF$5,1,0),
IF(CC46=CB$5,2,0),
IF(CD46=CB$5,1,0),
IF(OR(CB46&amp;CC46&amp;CD46=CB$5&amp;CC$5&amp;CD$5,CB46&amp;CC46&amp;CD46=CB$5&amp;CD$5&amp;CC$5,CB46&amp;CC46&amp;CD46=CC$5&amp;CB$5&amp;CD$5,CB46&amp;CC46&amp;CD46=CC$5&amp;CD$5&amp;CB$5,CB46&amp;CC46&amp;CD46=CD$5&amp;CB$5&amp;CC$5,CB46&amp;CC46&amp;CD46=CD$5&amp;CC$5&amp;CB$5),2,0),IF(AND(CB46=CB$5,CC$6&gt;=$D$129),1,0),IF(AND(CC46=CB$5,CC$6&gt;=$D$129),1,0),IF(AND(CD46=CB$5,CC$6&gt;=$D$129),1,0),IF(CB46&amp;CE46=CE$5,4,0),IF(AND(CB46=CB$5,CC$6&lt;=$D$104),-0.5,0),IF(AND(CC46=CB$5,CC$6&lt;=$D$104),-0.5,0),IF(AND(CD46=CB$5,CC$6&lt;=$D$104),-0.5,0))</f>
        <v/>
      </c>
      <c r="CG46" s="164">
        <f>IF(SEMANA29[[#This Row],[1]]="",0,$B$4)</f>
        <v/>
      </c>
      <c r="CH46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6" s="166">
        <f>IF(SEMANA29[[#This Row],[Columna14]]=0,0,(CH46/CG46))</f>
        <v/>
      </c>
      <c r="CJ46" s="165">
        <f>IF(SEMANA29[[#This Row],[1]]="",0,$B$4)</f>
        <v/>
      </c>
      <c r="CK46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6" s="166">
        <f>IF(SEMANA29[[#This Row],[Columna14]]=0,0,(CK46/CJ46))</f>
        <v/>
      </c>
      <c r="CM46" s="164">
        <f>IF(SEMANA29[[#This Row],[1]]="",0,$B$4)</f>
        <v/>
      </c>
      <c r="CN46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6" s="166">
        <f>IF(SEMANA29[[#This Row],[Columna14]]=0,0,(CN46/CM46))</f>
        <v/>
      </c>
      <c r="CP46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6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Row],[Columna25]],$AX$5,BA46,"SF")+COUNTIFS(SEMANA29[[#This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6" s="166">
        <f>IFERROR(IF(SEMANA29[[#This Row],[Columna14]]=0,0,(CQ46/CP46)),0)</f>
        <v/>
      </c>
      <c r="CS46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6" s="95">
        <f>_xlfn.XLOOKUP(SEMANA29[[#This Row],[COD]],SEMANA2[COD],SEMANA2[Columna33])</f>
        <v/>
      </c>
      <c r="CU46" s="604">
        <f>SUM(CS46,CT46)</f>
        <v/>
      </c>
      <c r="CV46" s="450">
        <f>IF(SEMANA29[[#This Row],[TIPO]]="PREMIO",$O$3,"0,00")</f>
        <v/>
      </c>
      <c r="CW46" s="576" t="n"/>
      <c r="CY46" s="392">
        <f>IF(CZ46="","",$CZ$25)</f>
        <v/>
      </c>
      <c r="CZ46" s="392" t="n"/>
      <c r="DA46" s="392">
        <f t="array" ref="DA46">IF(CZ46="", "", IF((INDEX(E$8:CE$57, MATCH(CZ46, C$8:C$57, 0), ($CZ$25-1)*5 + 1) &amp; "") = (INDEX(E$5:CE$5, 1, ($CZ$25-1)*5 + 1) &amp; ""), 1, IF((INDEX(E$8:CE$57, MATCH(CZ46, C$8:C$57, 0), ($CZ$25-1)*5 + 2) &amp; "") = (INDEX(E$5:CE$5, 1, ($CZ$25-1)*5 + 1) &amp; ""), 2, IF((INDEX(E$8:CE$57, MATCH(CZ46, C$8:C$57, 0), ($CZ$25-1)*5 + 3) &amp; "") = (INDEX(E$5:CE$5, 1, ($CZ$25-1)*5 + 1) &amp; ""), 3, ""))))</f>
        <v/>
      </c>
      <c r="DB46" s="605">
        <f>SEMANA29[[#This Row],[COD]]</f>
        <v/>
      </c>
      <c r="DC46" s="395">
        <f t="array" ref="DC46">IFERROR(IF(AND(INDEX($E$8:$CE$57, MATCH($C46, $C$8:$C$57, 0), (COLUMNS($DC46:DC46)-1)*5 + 1) = INDEX($E$5:$CE$5, 1, (COLUMNS($DC46:DC46)-1)*5 + 1), INDEX($E$8:$CE$57, MATCH($C46, $C$8:$C$57, 0), (COLUMNS($DC46:DC46)-1)*5 + 4) = "F"), INDEX($CZ$8:$CZ$23, COLUMNS($DC46:DC46)), "0"), "")</f>
        <v/>
      </c>
      <c r="DD46" s="395">
        <f t="array" ref="DD46">IFERROR(IF(AND(INDEX($E$8:$CE$57, MATCH($C46, $C$8:$C$57, 0), (COLUMNS($DC46:DD46)-1)*5 + 1) = INDEX($E$5:$CE$5, 1, (COLUMNS($DC46:DD46)-1)*5 + 1), INDEX($E$8:$CE$57, MATCH($C46, $C$8:$C$57, 0), (COLUMNS($DC46:DD46)-1)*5 + 4) = "F"), INDEX($CZ$8:$CZ$23, COLUMNS($DC46:DD46)), "0"), "")</f>
        <v/>
      </c>
      <c r="DE46" s="395">
        <f t="array" ref="DE46">IFERROR(IF(AND(INDEX($E$8:$CE$57, MATCH($C46, $C$8:$C$57, 0), (COLUMNS($DC46:DE46)-1)*5 + 1) = INDEX($E$5:$CE$5, 1, (COLUMNS($DC46:DE46)-1)*5 + 1), INDEX($E$8:$CE$57, MATCH($C46, $C$8:$C$57, 0), (COLUMNS($DC46:DE46)-1)*5 + 4) = "F"), INDEX($CZ$8:$CZ$23, COLUMNS($DC46:DE46)), "0"), "")</f>
        <v/>
      </c>
      <c r="DF46" s="395">
        <f t="array" ref="DF46">IFERROR(IF(AND(INDEX($E$8:$CE$57, MATCH($C46, $C$8:$C$57, 0), (COLUMNS($DC46:DF46)-1)*5 + 1) = INDEX($E$5:$CE$5, 1, (COLUMNS($DC46:DF46)-1)*5 + 1), INDEX($E$8:$CE$57, MATCH($C46, $C$8:$C$57, 0), (COLUMNS($DC46:DF46)-1)*5 + 4) = "F"), INDEX($CZ$8:$CZ$23, COLUMNS($DC46:DF46)), "0"), "")</f>
        <v/>
      </c>
      <c r="DG46" s="395">
        <f t="array" ref="DG46">IFERROR(IF(AND(INDEX($E$8:$CE$57, MATCH($C46, $C$8:$C$57, 0), (COLUMNS($DC46:DG46)-1)*5 + 1) = INDEX($E$5:$CE$5, 1, (COLUMNS($DC46:DG46)-1)*5 + 1), INDEX($E$8:$CE$57, MATCH($C46, $C$8:$C$57, 0), (COLUMNS($DC46:DG46)-1)*5 + 4) = "F"), INDEX($CZ$8:$CZ$23, COLUMNS($DC46:DG46)), "0"), "")</f>
        <v/>
      </c>
      <c r="DH46" s="395">
        <f t="array" ref="DH46">IFERROR(IF(AND(INDEX($E$8:$CE$57, MATCH($C46, $C$8:$C$57, 0), (COLUMNS($DC46:DH46)-1)*5 + 1) = INDEX($E$5:$CE$5, 1, (COLUMNS($DC46:DH46)-1)*5 + 1), INDEX($E$8:$CE$57, MATCH($C46, $C$8:$C$57, 0), (COLUMNS($DC46:DH46)-1)*5 + 4) = "F"), INDEX($CZ$8:$CZ$23, COLUMNS($DC46:DH46)), "0"), "")</f>
        <v/>
      </c>
      <c r="DI46" s="395">
        <f t="array" ref="DI46">IFERROR(IF(AND(INDEX($E$8:$CE$57, MATCH($C46, $C$8:$C$57, 0), (COLUMNS($DC46:DI46)-1)*5 + 1) = INDEX($E$5:$CE$5, 1, (COLUMNS($DC46:DI46)-1)*5 + 1), INDEX($E$8:$CE$57, MATCH($C46, $C$8:$C$57, 0), (COLUMNS($DC46:DI46)-1)*5 + 4) = "F"), INDEX($CZ$8:$CZ$23, COLUMNS($DC46:DI46)), "0"), "")</f>
        <v/>
      </c>
      <c r="DJ46" s="395">
        <f t="array" ref="DJ46">IFERROR(IF(AND(INDEX($E$8:$CE$57, MATCH($C46, $C$8:$C$57, 0), (COLUMNS($DC46:DJ46)-1)*5 + 1) = INDEX($E$5:$CE$5, 1, (COLUMNS($DC46:DJ46)-1)*5 + 1), INDEX($E$8:$CE$57, MATCH($C46, $C$8:$C$57, 0), (COLUMNS($DC46:DJ46)-1)*5 + 4) = "F"), INDEX($CZ$8:$CZ$23, COLUMNS($DC46:DJ46)), "0"), "")</f>
        <v/>
      </c>
      <c r="DK46" s="395">
        <f t="array" ref="DK46">IFERROR(IF(AND(INDEX($E$8:$CE$57, MATCH($C46, $C$8:$C$57, 0), (COLUMNS($DC46:DK46)-1)*5 + 1) = INDEX($E$5:$CE$5, 1, (COLUMNS($DC46:DK46)-1)*5 + 1), INDEX($E$8:$CE$57, MATCH($C46, $C$8:$C$57, 0), (COLUMNS($DC46:DK46)-1)*5 + 4) = "F"), INDEX($CZ$8:$CZ$23, COLUMNS($DC46:DK46)), "0"), "")</f>
        <v/>
      </c>
      <c r="DL46" s="395">
        <f t="array" ref="DL46">IFERROR(IF(AND(INDEX($E$8:$CE$57, MATCH($C46, $C$8:$C$57, 0), (COLUMNS($DC46:DL46)-1)*5 + 1) = INDEX($E$5:$CE$5, 1, (COLUMNS($DC46:DL46)-1)*5 + 1), INDEX($E$8:$CE$57, MATCH($C46, $C$8:$C$57, 0), (COLUMNS($DC46:DL46)-1)*5 + 4) = "F"), INDEX($CZ$8:$CZ$23, COLUMNS($DC46:DL46)), "0"), "")</f>
        <v/>
      </c>
      <c r="DM46" s="395">
        <f t="array" ref="DM46">IFERROR(IF(AND(INDEX($E$8:$CE$57, MATCH($C46, $C$8:$C$57, 0), (COLUMNS($DC46:DM46)-1)*5 + 1) = INDEX($E$5:$CE$5, 1, (COLUMNS($DC46:DM46)-1)*5 + 1), INDEX($E$8:$CE$57, MATCH($C46, $C$8:$C$57, 0), (COLUMNS($DC46:DM46)-1)*5 + 4) = "F"), INDEX($CZ$8:$CZ$23, COLUMNS($DC46:DM46)), "0"), "")</f>
        <v/>
      </c>
      <c r="DN46" s="395">
        <f t="array" ref="DN46">IFERROR(IF(AND(INDEX($E$8:$CE$57, MATCH($C46, $C$8:$C$57, 0), (COLUMNS($DC46:DN46)-1)*5 + 1) = INDEX($E$5:$CE$5, 1, (COLUMNS($DC46:DN46)-1)*5 + 1), INDEX($E$8:$CE$57, MATCH($C46, $C$8:$C$57, 0), (COLUMNS($DC46:DN46)-1)*5 + 4) = "F"), INDEX($CZ$8:$CZ$23, COLUMNS($DC46:DN46)), "0"), "")</f>
        <v/>
      </c>
      <c r="DO46" s="395">
        <f t="array" ref="DO46">IFERROR(IF(AND(INDEX($E$8:$CE$57, MATCH($C46, $C$8:$C$57, 0), (COLUMNS($DC46:DO46)-1)*5 + 1) = INDEX($E$5:$CE$5, 1, (COLUMNS($DC46:DO46)-1)*5 + 1), INDEX($E$8:$CE$57, MATCH($C46, $C$8:$C$57, 0), (COLUMNS($DC46:DO46)-1)*5 + 4) = "F"), INDEX($CZ$8:$CZ$23, COLUMNS($DC46:DO46)), "0"), "")</f>
        <v/>
      </c>
      <c r="DP46" s="395">
        <f t="array" ref="DP46">IFERROR(IF(AND(INDEX($E$8:$CE$57, MATCH($C46, $C$8:$C$57, 0), (COLUMNS($DC46:DP46)-1)*5 + 1) = INDEX($E$5:$CE$5, 1, (COLUMNS($DC46:DP46)-1)*5 + 1), INDEX($E$8:$CE$57, MATCH($C46, $C$8:$C$57, 0), (COLUMNS($DC46:DP46)-1)*5 + 4) = "F"), INDEX($CZ$8:$CZ$23, COLUMNS($DC46:DP46)), "0"), "")</f>
        <v/>
      </c>
      <c r="DQ46" s="395">
        <f t="array" ref="DQ46">IFERROR(IF(AND(INDEX($E$8:$CE$57, MATCH($C46, $C$8:$C$57, 0), (COLUMNS($DC46:DQ46)-1)*5 + 1) = INDEX($E$5:$CE$5, 1, (COLUMNS($DC46:DQ46)-1)*5 + 1), INDEX($E$8:$CE$57, MATCH($C46, $C$8:$C$57, 0), (COLUMNS($DC46:DQ46)-1)*5 + 4) = "F"), INDEX($CZ$8:$CZ$23, COLUMNS($DC46:DQ46)), "0"), "")</f>
        <v/>
      </c>
      <c r="DR46" s="395">
        <f t="array" ref="DR46">IFERROR(IF(AND(INDEX($E$8:$CE$57, MATCH($C46, $C$8:$C$57, 0), (COLUMNS($DC46:DR46)-1)*5 + 1) = INDEX($E$5:$CE$5, 1, (COLUMNS($DC46:DR46)-1)*5 + 1), INDEX($E$8:$CE$57, MATCH($C46, $C$8:$C$57, 0), (COLUMNS($DC46:DR46)-1)*5 + 4) = "F"), INDEX($CZ$8:$CZ$23, COLUMNS($DC46:DR46)), "0"), "")</f>
        <v/>
      </c>
      <c r="DT46" s="605">
        <f>SEMANA29[[#This Row],[COD]]</f>
        <v/>
      </c>
      <c r="DU46" s="395">
        <f t="array" ref="DU46">IFERROR(IF(AND(INDEX($E$8:$CE$57, MATCH($C46, $C$8:$C$57, 0), (COLUMNS($DU46:DU46)-1)*5 + 1) = INDEX($E$5:$CE$5, 1, (COLUMNS($DU46:DU46)-1)*5 + 1), INDEX($E$8:$CE$57, MATCH($C46, $C$8:$C$57, 0), (COLUMNS($DU46:DU46)-1)*5 + 4) = "SF"), INDEX($CZ$8:$CZ$23, COLUMNS($DU46:DU46)), "0"), "")</f>
        <v/>
      </c>
      <c r="DV46" s="395">
        <f t="array" ref="DV46">IFERROR(IF(AND(INDEX($E$8:$CE$57, MATCH($C46, $C$8:$C$57, 0), (COLUMNS($DU46:DV46)-1)*5 + 1) = INDEX($E$5:$CE$5, 1, (COLUMNS($DU46:DV46)-1)*5 + 1), INDEX($E$8:$CE$57, MATCH($C46, $C$8:$C$57, 0), (COLUMNS($DU46:DV46)-1)*5 + 4) = "SF"), INDEX($CZ$8:$CZ$23, COLUMNS($DU46:DV46)), "0"), "")</f>
        <v/>
      </c>
      <c r="DW46" s="395">
        <f t="array" ref="DW46">IFERROR(IF(AND(INDEX($E$8:$CE$57, MATCH($C46, $C$8:$C$57, 0), (COLUMNS($DU46:DW46)-1)*5 + 1) = INDEX($E$5:$CE$5, 1, (COLUMNS($DU46:DW46)-1)*5 + 1), INDEX($E$8:$CE$57, MATCH($C46, $C$8:$C$57, 0), (COLUMNS($DU46:DW46)-1)*5 + 4) = "SF"), INDEX($CZ$8:$CZ$23, COLUMNS($DU46:DW46)), "0"), "")</f>
        <v/>
      </c>
      <c r="DX46" s="395">
        <f t="array" ref="DX46">IFERROR(IF(AND(INDEX($E$8:$CE$57, MATCH($C46, $C$8:$C$57, 0), (COLUMNS($DU46:DX46)-1)*5 + 1) = INDEX($E$5:$CE$5, 1, (COLUMNS($DU46:DX46)-1)*5 + 1), INDEX($E$8:$CE$57, MATCH($C46, $C$8:$C$57, 0), (COLUMNS($DU46:DX46)-1)*5 + 4) = "SF"), INDEX($CZ$8:$CZ$23, COLUMNS($DU46:DX46)), "0"), "")</f>
        <v/>
      </c>
      <c r="DY46" s="395">
        <f t="array" ref="DY46">IFERROR(IF(AND(INDEX($E$8:$CE$57, MATCH($C46, $C$8:$C$57, 0), (COLUMNS($DU46:DY46)-1)*5 + 1) = INDEX($E$5:$CE$5, 1, (COLUMNS($DU46:DY46)-1)*5 + 1), INDEX($E$8:$CE$57, MATCH($C46, $C$8:$C$57, 0), (COLUMNS($DU46:DY46)-1)*5 + 4) = "SF"), INDEX($CZ$8:$CZ$23, COLUMNS($DU46:DY46)), "0"), "")</f>
        <v/>
      </c>
      <c r="DZ46" s="395">
        <f t="array" ref="DZ46">IFERROR(IF(AND(INDEX($E$8:$CE$57, MATCH($C46, $C$8:$C$57, 0), (COLUMNS($DU46:DZ46)-1)*5 + 1) = INDEX($E$5:$CE$5, 1, (COLUMNS($DU46:DZ46)-1)*5 + 1), INDEX($E$8:$CE$57, MATCH($C46, $C$8:$C$57, 0), (COLUMNS($DU46:DZ46)-1)*5 + 4) = "SF"), INDEX($CZ$8:$CZ$23, COLUMNS($DU46:DZ46)), "0"), "")</f>
        <v/>
      </c>
      <c r="EA46" s="395">
        <f t="array" ref="EA46">IFERROR(IF(AND(INDEX($E$8:$CE$57, MATCH($C46, $C$8:$C$57, 0), (COLUMNS($DU46:EA46)-1)*5 + 1) = INDEX($E$5:$CE$5, 1, (COLUMNS($DU46:EA46)-1)*5 + 1), INDEX($E$8:$CE$57, MATCH($C46, $C$8:$C$57, 0), (COLUMNS($DU46:EA46)-1)*5 + 4) = "SF"), INDEX($CZ$8:$CZ$23, COLUMNS($DU46:EA46)), "0"), "")</f>
        <v/>
      </c>
      <c r="EB46" s="395">
        <f t="array" ref="EB46">IFERROR(IF(AND(INDEX($E$8:$CE$57, MATCH($C46, $C$8:$C$57, 0), (COLUMNS($DU46:EB46)-1)*5 + 1) = INDEX($E$5:$CE$5, 1, (COLUMNS($DU46:EB46)-1)*5 + 1), INDEX($E$8:$CE$57, MATCH($C46, $C$8:$C$57, 0), (COLUMNS($DU46:EB46)-1)*5 + 4) = "SF"), INDEX($CZ$8:$CZ$23, COLUMNS($DU46:EB46)), "0"), "")</f>
        <v/>
      </c>
      <c r="EC46" s="395">
        <f t="array" ref="EC46">IFERROR(IF(AND(INDEX($E$8:$CE$57, MATCH($C46, $C$8:$C$57, 0), (COLUMNS($DU46:EC46)-1)*5 + 1) = INDEX($E$5:$CE$5, 1, (COLUMNS($DU46:EC46)-1)*5 + 1), INDEX($E$8:$CE$57, MATCH($C46, $C$8:$C$57, 0), (COLUMNS($DU46:EC46)-1)*5 + 4) = "SF"), INDEX($CZ$8:$CZ$23, COLUMNS($DU46:EC46)), "0"), "")</f>
        <v/>
      </c>
      <c r="ED46" s="395">
        <f t="array" ref="ED46">IFERROR(IF(AND(INDEX($E$8:$CE$57, MATCH($C46, $C$8:$C$57, 0), (COLUMNS($DU46:ED46)-1)*5 + 1) = INDEX($E$5:$CE$5, 1, (COLUMNS($DU46:ED46)-1)*5 + 1), INDEX($E$8:$CE$57, MATCH($C46, $C$8:$C$57, 0), (COLUMNS($DU46:ED46)-1)*5 + 4) = "SF"), INDEX($CZ$8:$CZ$23, COLUMNS($DU46:ED46)), "0"), "")</f>
        <v/>
      </c>
      <c r="EE46" s="395">
        <f t="array" ref="EE46">IFERROR(IF(AND(INDEX($E$8:$CE$57, MATCH($C46, $C$8:$C$57, 0), (COLUMNS($DU46:EE46)-1)*5 + 1) = INDEX($E$5:$CE$5, 1, (COLUMNS($DU46:EE46)-1)*5 + 1), INDEX($E$8:$CE$57, MATCH($C46, $C$8:$C$57, 0), (COLUMNS($DU46:EE46)-1)*5 + 4) = "SF"), INDEX($CZ$8:$CZ$23, COLUMNS($DU46:EE46)), "0"), "")</f>
        <v/>
      </c>
      <c r="EF46" s="395">
        <f t="array" ref="EF46">IFERROR(IF(AND(INDEX($E$8:$CE$57, MATCH($C46, $C$8:$C$57, 0), (COLUMNS($DU46:EF46)-1)*5 + 1) = INDEX($E$5:$CE$5, 1, (COLUMNS($DU46:EF46)-1)*5 + 1), INDEX($E$8:$CE$57, MATCH($C46, $C$8:$C$57, 0), (COLUMNS($DU46:EF46)-1)*5 + 4) = "SF"), INDEX($CZ$8:$CZ$23, COLUMNS($DU46:EF46)), "0"), "")</f>
        <v/>
      </c>
      <c r="EG46" s="395">
        <f t="array" ref="EG46">IFERROR(IF(AND(INDEX($E$8:$CE$57, MATCH($C46, $C$8:$C$57, 0), (COLUMNS($DU46:EG46)-1)*5 + 1) = INDEX($E$5:$CE$5, 1, (COLUMNS($DU46:EG46)-1)*5 + 1), INDEX($E$8:$CE$57, MATCH($C46, $C$8:$C$57, 0), (COLUMNS($DU46:EG46)-1)*5 + 4) = "SF"), INDEX($CZ$8:$CZ$23, COLUMNS($DU46:EG46)), "0"), "")</f>
        <v/>
      </c>
      <c r="EH46" s="395">
        <f t="array" ref="EH46">IFERROR(IF(AND(INDEX($E$8:$CE$57, MATCH($C46, $C$8:$C$57, 0), (COLUMNS($DU46:EH46)-1)*5 + 1) = INDEX($E$5:$CE$5, 1, (COLUMNS($DU46:EH46)-1)*5 + 1), INDEX($E$8:$CE$57, MATCH($C46, $C$8:$C$57, 0), (COLUMNS($DU46:EH46)-1)*5 + 4) = "SF"), INDEX($CZ$8:$CZ$23, COLUMNS($DU46:EH46)), "0"), "")</f>
        <v/>
      </c>
      <c r="EI46" s="395">
        <f t="array" ref="EI46">IFERROR(IF(AND(INDEX($E$8:$CE$57, MATCH($C46, $C$8:$C$57, 0), (COLUMNS($DU46:EI46)-1)*5 + 1) = INDEX($E$5:$CE$5, 1, (COLUMNS($DU46:EI46)-1)*5 + 1), INDEX($E$8:$CE$57, MATCH($C46, $C$8:$C$57, 0), (COLUMNS($DU46:EI46)-1)*5 + 4) = "SF"), INDEX($CZ$8:$CZ$23, COLUMNS($DU46:EI46)), "0"), "")</f>
        <v/>
      </c>
      <c r="EJ46" s="395">
        <f t="array" ref="EJ46">IFERROR(IF(AND(INDEX($E$8:$CE$57, MATCH($C46, $C$8:$C$57, 0), (COLUMNS($DU46:EJ46)-1)*5 + 1) = INDEX($E$5:$CE$5, 1, (COLUMNS($DU46:EJ46)-1)*5 + 1), INDEX($E$8:$CE$57, MATCH($C46, $C$8:$C$57, 0), (COLUMNS($DU46:EJ46)-1)*5 + 4) = "SF"), INDEX($CZ$8:$CZ$23, COLUMNS($DU46:EJ46)), "0"), "")</f>
        <v/>
      </c>
    </row>
    <row r="47" ht="20.1" customHeight="1" s="568">
      <c r="A47" s="576" t="n"/>
      <c r="B47" s="449">
        <f>IF(SEMANA29[[#This Row],[COD]]&lt;&gt;"",B46+1,"")</f>
        <v/>
      </c>
      <c r="C47" s="622" t="inlineStr">
        <is>
          <t>COD 40</t>
        </is>
      </c>
      <c r="D47" s="415">
        <f t="array" ref="D47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7" s="416" t="n"/>
      <c r="F47" s="418" t="n"/>
      <c r="G47" s="418" t="n"/>
      <c r="H47" s="418" t="n"/>
      <c r="I47" s="602">
        <f>SUM(IF(E47=E$5,4,0),IF(E47&amp;F47=E$5&amp;F$5,1,0),
IF(AND(E47=E$5,F$6&gt;=$D$115),1,0),
IF(AND(F47=E$5,F$6&gt;=$D$115),1,0),
IF(AND(G47=E$5,F$6&gt;=$D$115),1,0),
IF(E47&amp;H47=I$5,1,0),
IF(F47=E$5,2,0),
IF(G47=E$5,1,0),
IF(OR(E47&amp;F47&amp;G47=E$5&amp;F$5&amp;G$5,E47&amp;F47&amp;G47=E$5&amp;G$5&amp;F$5,E47&amp;F47&amp;G47=F$5&amp;E$5&amp;G$5,E47&amp;F47&amp;G47=F$5&amp;G$5&amp;E$5,E47&amp;F47&amp;G47=G$5&amp;E$5&amp;F$5,E47&amp;F47&amp;G47=G$5&amp;F$5&amp;E$5),2,0),IF(AND(E47=E$5,F$6&gt;=$D$129),1,0),IF(AND(F47=E$5,F$6&gt;=$D$129),1,0),IF(AND(G47=E$5,F$6&gt;=$D$129),1,0),IF(E47&amp;H47=H$5,4,0),IF(AND(E47=E$5,F$6&lt;=$D$104),-0.5,0),IF(AND(F47=E$5,F$6&lt;=$D$104),-0.5,0),IF(AND(G47=E$5,F$6&lt;=$D$104),-0.5,0))</f>
        <v/>
      </c>
      <c r="J47" s="416" t="n"/>
      <c r="K47" s="418" t="n"/>
      <c r="L47" s="418" t="n"/>
      <c r="M47" s="418" t="n"/>
      <c r="N47" s="602">
        <f>SUM(IF(J47=J$5,4,0),IF(J47&amp;K47=J$5&amp;K$5,1,0),
IF(AND(J47=J$5,K$6&gt;=$D$115),1,0),
IF(AND(K47=J$5,K$6&gt;=$D$115),1,0),
IF(AND(L47=J$5,K$6&gt;=$D$115),1,0),
IF(J47&amp;M47=N$5,1,0),
IF(K47=J$5,2,0),
IF(L47=J$5,1,0),
IF(OR(J47&amp;K47&amp;L47=J$5&amp;K$5&amp;L$5,J47&amp;K47&amp;L47=J$5&amp;L$5&amp;K$5,J47&amp;K47&amp;L47=K$5&amp;J$5&amp;L$5,J47&amp;K47&amp;L47=K$5&amp;L$5&amp;J$5,J47&amp;K47&amp;L47=L$5&amp;J$5&amp;K$5,J47&amp;K47&amp;L47=L$5&amp;K$5&amp;J$5),2,0),IF(AND(J47=J$5,K$6&gt;=$D$129),1,0),IF(AND(K47=J$5,K$6&gt;=$D$129),1,0),IF(AND(L47=J$5,K$6&gt;=$D$129),1,0),IF(J47&amp;M47=M$5,4,0),IF(AND(J47=J$5,K$6&lt;=$D$104),-0.5,0),IF(AND(K47=J$5,K$6&lt;=$D$104),-0.5,0),IF(AND(L47=J$5,K$6&lt;=$D$104),-0.5,0))</f>
        <v/>
      </c>
      <c r="O47" s="416" t="n"/>
      <c r="P47" s="418" t="n"/>
      <c r="Q47" s="418" t="n"/>
      <c r="R47" s="418" t="n"/>
      <c r="S47" s="602">
        <f>SUM(IF(O47=O$5,4,0),IF(O47&amp;P47=O$5&amp;P$5,1,0),
IF(AND(O47=O$5,P$6&gt;=$D$115),1,0),
IF(AND(P47=O$5,P$6&gt;=$D$115),1,0),
IF(AND(Q47=O$5,P$6&gt;=$D$115),1,0),
IF(O47&amp;R47=S$5,1,0),
IF(P47=O$5,2,0),
IF(Q47=O$5,1,0),
IF(OR(O47&amp;P47&amp;Q47=O$5&amp;P$5&amp;Q$5,O47&amp;P47&amp;Q47=O$5&amp;Q$5&amp;P$5,O47&amp;P47&amp;Q47=P$5&amp;O$5&amp;Q$5,O47&amp;P47&amp;Q47=P$5&amp;Q$5&amp;O$5,O47&amp;P47&amp;Q47=Q$5&amp;O$5&amp;P$5,O47&amp;P47&amp;Q47=Q$5&amp;P$5&amp;O$5),2,0),IF(AND(O47=O$5,P$6&gt;=$D$129),1,0),IF(AND(P47=O$5,P$6&gt;=$D$129),1,0),IF(AND(Q47=O$5,P$6&gt;=$D$129),1,0),IF(O47&amp;R47=R$5,4,0),IF(AND(O47=O$5,P$6&lt;=$D$104),-0.5,0),IF(AND(P47=O$5,P$6&lt;=$D$104),-0.5,0),IF(AND(Q47=O$5,P$6&lt;=$D$104),-0.5,0))</f>
        <v/>
      </c>
      <c r="T47" s="416" t="n"/>
      <c r="U47" s="418" t="n"/>
      <c r="V47" s="418" t="n"/>
      <c r="W47" s="418" t="n"/>
      <c r="X47" s="602">
        <f>SUM(IF(T47=T$5,4,0),IF(T47&amp;U47=T$5&amp;U$5,1,0),
IF(AND(T47=T$5,U$6&gt;=$D$115),1,0),
IF(AND(U47=T$5,U$6&gt;=$D$115),1,0),
IF(AND(V47=T$5,U$6&gt;=$D$115),1,0),
IF(T47&amp;W47=X$5,1,0),
IF(U47=T$5,2,0),
IF(V47=T$5,1,0),
IF(OR(T47&amp;U47&amp;V47=T$5&amp;U$5&amp;V$5,T47&amp;U47&amp;V47=T$5&amp;V$5&amp;U$5,T47&amp;U47&amp;V47=U$5&amp;T$5&amp;V$5,T47&amp;U47&amp;V47=U$5&amp;V$5&amp;T$5,T47&amp;U47&amp;V47=V$5&amp;T$5&amp;U$5,T47&amp;U47&amp;V47=V$5&amp;U$5&amp;T$5),2,0),IF(AND(T47=T$5,U$6&gt;=$D$129),1,0),IF(AND(U47=T$5,U$6&gt;=$D$129),1,0),IF(AND(V47=T$5,U$6&gt;=$D$129),1,0),IF(T47&amp;W47=W$5,4,0),IF(AND(T47=T$5,U$6&lt;=$D$104),-0.5,0),IF(AND(U47=T$5,U$6&lt;=$D$104),-0.5,0),IF(AND(V47=T$5,U$6&lt;=$D$104),-0.5,0))</f>
        <v/>
      </c>
      <c r="Y47" s="416" t="n"/>
      <c r="Z47" s="418" t="n"/>
      <c r="AA47" s="418" t="n"/>
      <c r="AB47" s="418" t="n"/>
      <c r="AC47" s="602">
        <f>SUM(IF(Y47=Y$5,4,0),IF(Y47&amp;Z47=Y$5&amp;Z$5,1,0),
IF(AND(Y47=Y$5,Z$6&gt;=$D$115),1,0),
IF(AND(Z47=Y$5,Z$6&gt;=$D$115),1,0),
IF(AND(AA47=Y$5,Z$6&gt;=$D$115),1,0),
IF(Y47&amp;AB47=AC$5,1,0),
IF(Z47=Y$5,2,0),
IF(AA47=Y$5,1,0),
IF(OR(Y47&amp;Z47&amp;AA47=Y$5&amp;Z$5&amp;AA$5,Y47&amp;Z47&amp;AA47=Y$5&amp;AA$5&amp;Z$5,Y47&amp;Z47&amp;AA47=Z$5&amp;Y$5&amp;AA$5,Y47&amp;Z47&amp;AA47=Z$5&amp;AA$5&amp;Y$5,Y47&amp;Z47&amp;AA47=AA$5&amp;Y$5&amp;Z$5,Y47&amp;Z47&amp;AA47=AA$5&amp;Z$5&amp;Y$5),2,0),IF(AND(Y47=Y$5,Z$6&gt;=$D$129),1,0),IF(AND(Z47=Y$5,Z$6&gt;=$D$129),1,0),IF(AND(AA47=Y$5,Z$6&gt;=$D$129),1,0),IF(Y47&amp;AB47=AB$5,4,0),IF(AND(Y47=Y$5,Z$6&lt;=$D$104),-0.5,0),IF(AND(Z47=Y$5,Z$6&lt;=$D$104),-0.5,0),IF(AND(AA47=Y$5,Z$6&lt;=$D$104),-0.5,0))</f>
        <v/>
      </c>
      <c r="AD47" s="416" t="n"/>
      <c r="AE47" s="418" t="n"/>
      <c r="AF47" s="418" t="n"/>
      <c r="AG47" s="418" t="n"/>
      <c r="AH47" s="602">
        <f>SUM(IF(AD47=AD$5,4,0),IF(AD47&amp;AE47=AD$5&amp;AE$5,1,0),
IF(AND(AD47=AD$5,AE$6&gt;=$D$115),1,0),
IF(AND(AE47=AD$5,AE$6&gt;=$D$115),1,0),
IF(AND(AF47=AD$5,AE$6&gt;=$D$115),1,0),
IF(AD47&amp;AG47=AH$5,1,0),
IF(AE47=AD$5,2,0),
IF(AF47=AD$5,1,0),
IF(OR(AD47&amp;AE47&amp;AF47=AD$5&amp;AE$5&amp;AF$5,AD47&amp;AE47&amp;AF47=AD$5&amp;AF$5&amp;AE$5,AD47&amp;AE47&amp;AF47=AE$5&amp;AD$5&amp;AF$5,AD47&amp;AE47&amp;AF47=AE$5&amp;AF$5&amp;AD$5,AD47&amp;AE47&amp;AF47=AF$5&amp;AD$5&amp;AE$5,AD47&amp;AE47&amp;AF47=AF$5&amp;AE$5&amp;AD$5),2,0),IF(AND(AD47=AD$5,AE$6&gt;=$D$129),1,0),IF(AND(AE47=AD$5,AE$6&gt;=$D$129),1,0),IF(AND(AF47=AD$5,AE$6&gt;=$D$129),1,0),IF(AD47&amp;AG47=AG$5,4,0),IF(AND(AD47=AD$5,AE$6&lt;=$D$104),-0.5,0),IF(AND(AE47=AD$5,AE$6&lt;=$D$104),-0.5,0),IF(AND(AF47=AD$5,AE$6&lt;=$D$104),-0.5,0))</f>
        <v/>
      </c>
      <c r="AI47" s="416" t="n"/>
      <c r="AJ47" s="418" t="n"/>
      <c r="AK47" s="418" t="n"/>
      <c r="AL47" s="418" t="n"/>
      <c r="AM47" s="602">
        <f>SUM(IF(AI47=AI$5,4,0),IF(AI47&amp;AJ47=AI$5&amp;AJ$5,1,0),
IF(AND(AI47=AI$5,AJ$6&gt;=$D$115),1,0),
IF(AND(AJ47=AI$5,AJ$6&gt;=$D$115),1,0),
IF(AND(AK47=AI$5,AJ$6&gt;=$D$115),1,0),
IF(AI47&amp;AL47=AM$5,1,0),
IF(AJ47=AI$5,2,0),
IF(AK47=AI$5,1,0),
IF(OR(AI47&amp;AJ47&amp;AK47=AI$5&amp;AJ$5&amp;AK$5,AI47&amp;AJ47&amp;AK47=AI$5&amp;AK$5&amp;AJ$5,AI47&amp;AJ47&amp;AK47=AJ$5&amp;AI$5&amp;AK$5,AI47&amp;AJ47&amp;AK47=AJ$5&amp;AK$5&amp;AI$5,AI47&amp;AJ47&amp;AK47=AK$5&amp;AI$5&amp;AJ$5,AI47&amp;AJ47&amp;AK47=AK$5&amp;AJ$5&amp;AI$5),2,0),IF(AND(AI47=AI$5,AJ$6&gt;=$D$129),1,0),IF(AND(AJ47=AI$5,AJ$6&gt;=$D$129),1,0),IF(AND(AK47=AI$5,AJ$6&gt;=$D$129),1,0),IF(AI47&amp;AL47=AL$5,4,0),IF(AND(AI47=AI$5,AJ$6&lt;=$D$104),-0.5,0),IF(AND(AJ47=AI$5,AJ$6&lt;=$D$104),-0.5,0),IF(AND(AK47=AI$5,AJ$6&lt;=$D$104),-0.5,0))</f>
        <v/>
      </c>
      <c r="AN47" s="416" t="n"/>
      <c r="AO47" s="418" t="n"/>
      <c r="AP47" s="418" t="n"/>
      <c r="AQ47" s="418" t="n"/>
      <c r="AR47" s="602">
        <f>SUM(IF(AN47=AN$5,4,0),IF(AN47&amp;AO47=AN$5&amp;AO$5,1,0),
IF(AND(AN47=AN$5,AO$6&gt;=$D$115),1,0),
IF(AND(AO47=AN$5,AO$6&gt;=$D$115),1,0),
IF(AND(AP47=AN$5,AO$6&gt;=$D$115),1,0),
IF(AN47&amp;AQ47=AR$5,1,0),
IF(AO47=AN$5,2,0),
IF(AP47=AN$5,1,0),
IF(OR(AN47&amp;AO47&amp;AP47=AN$5&amp;AO$5&amp;AP$5,AN47&amp;AO47&amp;AP47=AN$5&amp;AP$5&amp;AO$5,AN47&amp;AO47&amp;AP47=AO$5&amp;AN$5&amp;AP$5,AN47&amp;AO47&amp;AP47=AO$5&amp;AP$5&amp;AN$5,AN47&amp;AO47&amp;AP47=AP$5&amp;AN$5&amp;AO$5,AN47&amp;AO47&amp;AP47=AP$5&amp;AO$5&amp;AN$5),2,0),IF(AND(AN47=AN$5,AO$6&gt;=$D$129),1,0),IF(AND(AO47=AN$5,AO$6&gt;=$D$129),1,0),IF(AND(AP47=AN$5,AO$6&gt;=$D$129),1,0),IF(AN47&amp;AQ47=AQ$5,4,0),IF(AND(AN47=AN$5,AO$6&lt;=$D$104),-0.5,0),IF(AND(AO47=AN$5,AO$6&lt;=$D$104),-0.5,0),IF(AND(AP47=AN$5,AO$6&lt;=$D$104),-0.5,0))</f>
        <v/>
      </c>
      <c r="AS47" s="416" t="n"/>
      <c r="AT47" s="418" t="n"/>
      <c r="AU47" s="418" t="n"/>
      <c r="AV47" s="418" t="n"/>
      <c r="AW47" s="602">
        <f>SUM(IF(AS47=AS$5,4,0),IF(AS47&amp;AT47=AS$5&amp;AT$5,1,0),
IF(AND(AS47=AS$5,AT$6&gt;=$D$115),1,0),
IF(AND(AT47=AS$5,AT$6&gt;=$D$115),1,0),
IF(AND(AU47=AS$5,AT$6&gt;=$D$115),1,0),
IF(AS47&amp;AV47=AW$5,1,0),
IF(AT47=AS$5,2,0),
IF(AU47=AS$5,1,0),
IF(OR(AS47&amp;AT47&amp;AU47=AS$5&amp;AT$5&amp;AU$5,AS47&amp;AT47&amp;AU47=AS$5&amp;AU$5&amp;AT$5,AS47&amp;AT47&amp;AU47=AT$5&amp;AS$5&amp;AU$5,AS47&amp;AT47&amp;AU47=AT$5&amp;AU$5&amp;AS$5,AS47&amp;AT47&amp;AU47=AU$5&amp;AS$5&amp;AT$5,AS47&amp;AT47&amp;AU47=AU$5&amp;AT$5&amp;AS$5),2,0),IF(AND(AS47=AS$5,AT$6&gt;=$D$129),1,0),IF(AND(AT47=AS$5,AT$6&gt;=$D$129),1,0),IF(AND(AU47=AS$5,AT$6&gt;=$D$129),1,0),IF(AS47&amp;AV47=AV$5,4,0),IF(AND(AS47=AS$5,AT$6&lt;=$D$104),-0.5,0),IF(AND(AT47=AS$5,AT$6&lt;=$D$104),-0.5,0),IF(AND(AU47=AS$5,AT$6&lt;=$D$104),-0.5,0))</f>
        <v/>
      </c>
      <c r="AX47" s="416" t="n"/>
      <c r="AY47" s="418" t="n"/>
      <c r="AZ47" s="418" t="n"/>
      <c r="BA47" s="418" t="n"/>
      <c r="BB47" s="602">
        <f>SUM(IF(AX47=AX$5,4,0),IF(AX47&amp;AY47=AX$5&amp;AY$5,1,0),
IF(AND(AX47=AX$5,AY$6&gt;=$D$115),1,0),
IF(AND(AY47=AX$5,AY$6&gt;=$D$115),1,0),
IF(AND(AZ47=AX$5,AY$6&gt;=$D$115),1,0),
IF(AX47&amp;BA47=BB$5,1,0),
IF(AY47=AX$5,2,0),
IF(AZ47=AX$5,1,0),
IF(OR(AX47&amp;AY47&amp;AZ47=AX$5&amp;AY$5&amp;AZ$5,AX47&amp;AY47&amp;AZ47=AX$5&amp;AZ$5&amp;AY$5,AX47&amp;AY47&amp;AZ47=AY$5&amp;AX$5&amp;AZ$5,AX47&amp;AY47&amp;AZ47=AY$5&amp;AZ$5&amp;AX$5,AX47&amp;AY47&amp;AZ47=AZ$5&amp;AX$5&amp;AY$5,AX47&amp;AY47&amp;AZ47=AZ$5&amp;AY$5&amp;AX$5),2,0),IF(AND(AX47=AX$5,AY$6&gt;=$D$129),1,0),IF(AND(AY47=AX$5,AY$6&gt;=$D$129),1,0),IF(AND(AZ47=AX$5,AY$6&gt;=$D$129),1,0),IF(AX47&amp;BA47=BA$5,4,0),IF(AND(AX47=AX$5,AY$6&lt;=$D$104),-0.5,0),IF(AND(AY47=AX$5,AY$6&lt;=$D$104),-0.5,0),IF(AND(AZ47=AX$5,AY$6&lt;=$D$104),-0.5,0))</f>
        <v/>
      </c>
      <c r="BC47" s="416" t="n"/>
      <c r="BD47" s="418" t="n"/>
      <c r="BE47" s="418" t="n"/>
      <c r="BF47" s="418" t="n"/>
      <c r="BG47" s="602">
        <f>SUM(IF(BC47=BC$5,4,0),IF(BC47&amp;BD47=BC$5&amp;BD$5,1,0),
IF(AND(BC47=BC$5,BD$6&gt;=$D$115),1,0),
IF(AND(BD47=BC$5,BD$6&gt;=$D$115),1,0),
IF(AND(BE47=BC$5,BD$6&gt;=$D$115),1,0),
IF(BC47&amp;BF47=BG$5,1,0),
IF(BD47=BC$5,2,0),
IF(BE47=BC$5,1,0),
IF(OR(BC47&amp;BD47&amp;BE47=BC$5&amp;BD$5&amp;BE$5,BC47&amp;BD47&amp;BE47=BC$5&amp;BE$5&amp;BD$5,BC47&amp;BD47&amp;BE47=BD$5&amp;BC$5&amp;BE$5,BC47&amp;BD47&amp;BE47=BD$5&amp;BE$5&amp;BC$5,BC47&amp;BD47&amp;BE47=BE$5&amp;BC$5&amp;BD$5,BC47&amp;BD47&amp;BE47=BE$5&amp;BD$5&amp;BC$5),2,0),IF(AND(BC47=BC$5,BD$6&gt;=$D$129),1,0),IF(AND(BD47=BC$5,BD$6&gt;=$D$129),1,0),IF(AND(BE47=BC$5,BD$6&gt;=$D$129),1,0),IF(BC47&amp;BF47=BF$5,4,0),IF(AND(BC47=BC$5,BD$6&lt;=$D$104),-0.5,0),IF(AND(BD47=BC$5,BD$6&lt;=$D$104),-0.5,0),IF(AND(BE47=BC$5,BD$6&lt;=$D$104),-0.5,0))</f>
        <v/>
      </c>
      <c r="BH47" s="416" t="n"/>
      <c r="BI47" s="418" t="n"/>
      <c r="BJ47" s="418" t="n"/>
      <c r="BK47" s="418" t="n"/>
      <c r="BL47" s="602">
        <f>SUM(IF(BH47=BH$5,4,0),IF(BH47&amp;BI47=BH$5&amp;BI$5,1,0),
IF(AND(BH47=BH$5,BI$6&gt;=$D$115),1,0),
IF(AND(BI47=BH$5,BI$6&gt;=$D$115),1,0),
IF(AND(BJ47=BH$5,BI$6&gt;=$D$115),1,0),
IF(BH47&amp;BK47=BL$5,1,0),
IF(BI47=BH$5,2,0),
IF(BJ47=BH$5,1,0),
IF(OR(BH47&amp;BI47&amp;BJ47=BH$5&amp;BI$5&amp;BJ$5,BH47&amp;BI47&amp;BJ47=BH$5&amp;BJ$5&amp;BI$5,BH47&amp;BI47&amp;BJ47=BI$5&amp;BH$5&amp;BJ$5,BH47&amp;BI47&amp;BJ47=BI$5&amp;BJ$5&amp;BH$5,BH47&amp;BI47&amp;BJ47=BJ$5&amp;BH$5&amp;BI$5,BH47&amp;BI47&amp;BJ47=BJ$5&amp;BI$5&amp;BH$5),2,0),IF(AND(BH47=BH$5,BI$6&gt;=$D$129),1,0),IF(AND(BI47=BH$5,BI$6&gt;=$D$129),1,0),IF(AND(BJ47=BH$5,BI$6&gt;=$D$129),1,0),IF(BH47&amp;BK47=BK$5,4,0),IF(AND(BH47=BH$5,BI$6&lt;=$D$104),-0.5,0),IF(AND(BI47=BH$5,BI$6&lt;=$D$104),-0.5,0),IF(AND(BJ47=BH$5,BI$6&lt;=$D$104),-0.5,0))</f>
        <v/>
      </c>
      <c r="BM47" s="416" t="n"/>
      <c r="BN47" s="418" t="n"/>
      <c r="BO47" s="418" t="n"/>
      <c r="BP47" s="418" t="n"/>
      <c r="BQ47" s="602">
        <f>SUM(IF(BM47=BM$5,4,0),IF(BM47&amp;BN47=BM$5&amp;BN$5,1,0),
IF(AND(BM47=BM$5,BN$6&gt;=$D$115),1,0),
IF(AND(BN47=BM$5,BN$6&gt;=$D$115),1,0),
IF(AND(BO47=BM$5,BN$6&gt;=$D$115),1,0),
IF(BM47&amp;BP47=BQ$5,1,0),
IF(BN47=BM$5,2,0),
IF(BO47=BM$5,1,0),
IF(OR(BM47&amp;BN47&amp;BO47=BM$5&amp;BN$5&amp;BO$5,BM47&amp;BN47&amp;BO47=BM$5&amp;BO$5&amp;BN$5,BM47&amp;BN47&amp;BO47=BN$5&amp;BM$5&amp;BO$5,BM47&amp;BN47&amp;BO47=BN$5&amp;BO$5&amp;BM$5,BM47&amp;BN47&amp;BO47=BO$5&amp;BM$5&amp;BN$5,BM47&amp;BN47&amp;BO47=BO$5&amp;BN$5&amp;BM$5),2,0),IF(AND(BM47=BM$5,BN$6&gt;=$D$129),1,0),IF(AND(BN47=BM$5,BN$6&gt;=$D$129),1,0),IF(AND(BO47=BM$5,BN$6&gt;=$D$129),1,0),IF(BM47&amp;BP47=BP$5,4,0),IF(AND(BM47=BM$5,BN$6&lt;=$D$104),-0.5,0),IF(AND(BN47=BM$5,BN$6&lt;=$D$104),-0.5,0),IF(AND(BO47=BM$5,BN$6&lt;=$D$104),-0.5,0))</f>
        <v/>
      </c>
      <c r="BR47" s="416" t="n"/>
      <c r="BS47" s="418" t="n"/>
      <c r="BT47" s="418" t="n"/>
      <c r="BU47" s="418" t="n"/>
      <c r="BV47" s="602">
        <f>SUM(IF(BR47=BR$5,4,0),IF(BR47&amp;BS47=BR$5&amp;BS$5,1,0),
IF(AND(BR47=BR$5,BS$6&gt;=$D$115),1,0),
IF(AND(BS47=BR$5,BS$6&gt;=$D$115),1,0),
IF(AND(BT47=BR$5,BS$6&gt;=$D$115),1,0),
IF(BR47&amp;BU47=BV$5,1,0),
IF(BS47=BR$5,2,0),
IF(BT47=BR$5,1,0),
IF(OR(BR47&amp;BS47&amp;BT47=BR$5&amp;BS$5&amp;BT$5,BR47&amp;BS47&amp;BT47=BR$5&amp;BT$5&amp;BS$5,BR47&amp;BS47&amp;BT47=BS$5&amp;BR$5&amp;BT$5,BR47&amp;BS47&amp;BT47=BS$5&amp;BT$5&amp;BR$5,BR47&amp;BS47&amp;BT47=BT$5&amp;BR$5&amp;BS$5,BR47&amp;BS47&amp;BT47=BT$5&amp;BS$5&amp;BR$5),2,0),IF(AND(BR47=BR$5,BS$6&gt;=$D$129),1,0),IF(AND(BS47=BR$5,BS$6&gt;=$D$129),1,0),IF(AND(BT47=BR$5,BS$6&gt;=$D$129),1,0),IF(BR47&amp;BU47=BU$5,4,0),IF(AND(BR47=BR$5,BS$6&lt;=$D$104),-0.5,0),IF(AND(BS47=BR$5,BS$6&lt;=$D$104),-0.5,0),IF(AND(BT47=BR$5,BS$6&lt;=$D$104),-0.5,0))</f>
        <v/>
      </c>
      <c r="BW47" s="416" t="n"/>
      <c r="BX47" s="418" t="n"/>
      <c r="BY47" s="418" t="n"/>
      <c r="BZ47" s="418" t="n"/>
      <c r="CA47" s="602">
        <f>SUM(IF(BW47=BW$5,4,0),IF(BW47&amp;BX47=BW$5&amp;BX$5,1,0),
IF(AND(BW47=BW$5,BX$6&gt;=$D$115),1,0),
IF(AND(BX47=BW$5,BX$6&gt;=$D$115),1,0),
IF(AND(BY47=BW$5,BX$6&gt;=$D$115),1,0),
IF(BW47&amp;BZ47=CA$5,1,0),
IF(BX47=BW$5,2,0),
IF(BY47=BW$5,1,0),
IF(OR(BW47&amp;BX47&amp;BY47=BW$5&amp;BX$5&amp;BY$5,BW47&amp;BX47&amp;BY47=BW$5&amp;BY$5&amp;BX$5,BW47&amp;BX47&amp;BY47=BX$5&amp;BW$5&amp;BY$5,BW47&amp;BX47&amp;BY47=BX$5&amp;BY$5&amp;BW$5,BW47&amp;BX47&amp;BY47=BY$5&amp;BW$5&amp;BX$5,BW47&amp;BX47&amp;BY47=BY$5&amp;BX$5&amp;BW$5),2,0),IF(AND(BW47=BW$5,BX$6&gt;=$D$129),1,0),IF(AND(BX47=BW$5,BX$6&gt;=$D$129),1,0),IF(AND(BY47=BW$5,BX$6&gt;=$D$129),1,0),IF(BW47&amp;BZ47=BZ$5,4,0),IF(AND(BW47=BW$5,BX$6&lt;=$D$104),-0.5,0),IF(AND(BX47=BW$5,BX$6&lt;=$D$104),-0.5,0),IF(AND(BY47=BW$5,BX$6&lt;=$D$104),-0.5,0))</f>
        <v/>
      </c>
      <c r="CB47" s="416" t="n"/>
      <c r="CC47" s="418" t="n"/>
      <c r="CD47" s="418" t="n"/>
      <c r="CE47" s="418" t="n"/>
      <c r="CF47" s="602">
        <f>SUM(IF(CB47=CB$5,4,0),IF(CB47&amp;CC47=CB$5&amp;CC$5,1,0),
IF(AND(CB47=CB$5,CC$6&gt;=$D$115),1,0),
IF(AND(CC47=CB$5,CC$6&gt;=$D$115),1,0),
IF(AND(CD47=CB$5,CC$6&gt;=$D$115),1,0),
IF(CB47&amp;CE47=CF$5,1,0),
IF(CC47=CB$5,2,0),
IF(CD47=CB$5,1,0),
IF(OR(CB47&amp;CC47&amp;CD47=CB$5&amp;CC$5&amp;CD$5,CB47&amp;CC47&amp;CD47=CB$5&amp;CD$5&amp;CC$5,CB47&amp;CC47&amp;CD47=CC$5&amp;CB$5&amp;CD$5,CB47&amp;CC47&amp;CD47=CC$5&amp;CD$5&amp;CB$5,CB47&amp;CC47&amp;CD47=CD$5&amp;CB$5&amp;CC$5,CB47&amp;CC47&amp;CD47=CD$5&amp;CC$5&amp;CB$5),2,0),IF(AND(CB47=CB$5,CC$6&gt;=$D$129),1,0),IF(AND(CC47=CB$5,CC$6&gt;=$D$129),1,0),IF(AND(CD47=CB$5,CC$6&gt;=$D$129),1,0),IF(CB47&amp;CE47=CE$5,4,0),IF(AND(CB47=CB$5,CC$6&lt;=$D$104),-0.5,0),IF(AND(CC47=CB$5,CC$6&lt;=$D$104),-0.5,0),IF(AND(CD47=CB$5,CC$6&lt;=$D$104),-0.5,0))</f>
        <v/>
      </c>
      <c r="CG47" s="164">
        <f>IF(SEMANA29[[#This Row],[1]]="",0,$B$4)</f>
        <v/>
      </c>
      <c r="CH47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7" s="166">
        <f>IF(SEMANA29[[#This Row],[Columna14]]=0,0,(CH47/CG47))</f>
        <v/>
      </c>
      <c r="CJ47" s="165">
        <f>IF(SEMANA29[[#This Row],[1]]="",0,$B$4)</f>
        <v/>
      </c>
      <c r="CK47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7" s="166">
        <f>IF(SEMANA29[[#This Row],[Columna14]]=0,0,(CK47/CJ47))</f>
        <v/>
      </c>
      <c r="CM47" s="164">
        <f>IF(SEMANA29[[#This Row],[1]]="",0,$B$4)</f>
        <v/>
      </c>
      <c r="CN47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7" s="166">
        <f>IF(SEMANA29[[#This Row],[Columna14]]=0,0,(CN47/CM47))</f>
        <v/>
      </c>
      <c r="CP47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7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Row],[Columna25]],$AX$5,BA47,"SF")+COUNTIFS(SEMANA29[[#This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7" s="166">
        <f>IFERROR(IF(SEMANA29[[#This Row],[Columna14]]=0,0,(CQ47/CP47)),0)</f>
        <v/>
      </c>
      <c r="CS47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7" s="95">
        <f>_xlfn.XLOOKUP(SEMANA29[[#This Row],[COD]],SEMANA2[COD],SEMANA2[Columna33])</f>
        <v/>
      </c>
      <c r="CU47" s="604">
        <f>SUM(CS47,CT47)</f>
        <v/>
      </c>
      <c r="CV47" s="450">
        <f>IF(SEMANA29[[#This Row],[TIPO]]="PREMIO",$O$3,"0,00")</f>
        <v/>
      </c>
      <c r="CW47" s="576" t="n"/>
      <c r="CY47" s="392">
        <f>IF(CZ47="","",$CZ$25)</f>
        <v/>
      </c>
      <c r="CZ47" s="392" t="n"/>
      <c r="DA47" s="392">
        <f t="array" ref="DA47">IF(CZ47="", "", IF((INDEX(E$8:CE$57, MATCH(CZ47, C$8:C$57, 0), ($CZ$25-1)*5 + 1) &amp; "") = (INDEX(E$5:CE$5, 1, ($CZ$25-1)*5 + 1) &amp; ""), 1, IF((INDEX(E$8:CE$57, MATCH(CZ47, C$8:C$57, 0), ($CZ$25-1)*5 + 2) &amp; "") = (INDEX(E$5:CE$5, 1, ($CZ$25-1)*5 + 1) &amp; ""), 2, IF((INDEX(E$8:CE$57, MATCH(CZ47, C$8:C$57, 0), ($CZ$25-1)*5 + 3) &amp; "") = (INDEX(E$5:CE$5, 1, ($CZ$25-1)*5 + 1) &amp; ""), 3, ""))))</f>
        <v/>
      </c>
      <c r="DB47" s="605">
        <f>SEMANA29[[#This Row],[COD]]</f>
        <v/>
      </c>
      <c r="DC47" s="395">
        <f t="array" ref="DC47">IFERROR(IF(AND(INDEX($E$8:$CE$57, MATCH($C47, $C$8:$C$57, 0), (COLUMNS($DC47:DC47)-1)*5 + 1) = INDEX($E$5:$CE$5, 1, (COLUMNS($DC47:DC47)-1)*5 + 1), INDEX($E$8:$CE$57, MATCH($C47, $C$8:$C$57, 0), (COLUMNS($DC47:DC47)-1)*5 + 4) = "F"), INDEX($CZ$8:$CZ$23, COLUMNS($DC47:DC47)), "0"), "")</f>
        <v/>
      </c>
      <c r="DD47" s="395">
        <f t="array" ref="DD47">IFERROR(IF(AND(INDEX($E$8:$CE$57, MATCH($C47, $C$8:$C$57, 0), (COLUMNS($DC47:DD47)-1)*5 + 1) = INDEX($E$5:$CE$5, 1, (COLUMNS($DC47:DD47)-1)*5 + 1), INDEX($E$8:$CE$57, MATCH($C47, $C$8:$C$57, 0), (COLUMNS($DC47:DD47)-1)*5 + 4) = "F"), INDEX($CZ$8:$CZ$23, COLUMNS($DC47:DD47)), "0"), "")</f>
        <v/>
      </c>
      <c r="DE47" s="395">
        <f t="array" ref="DE47">IFERROR(IF(AND(INDEX($E$8:$CE$57, MATCH($C47, $C$8:$C$57, 0), (COLUMNS($DC47:DE47)-1)*5 + 1) = INDEX($E$5:$CE$5, 1, (COLUMNS($DC47:DE47)-1)*5 + 1), INDEX($E$8:$CE$57, MATCH($C47, $C$8:$C$57, 0), (COLUMNS($DC47:DE47)-1)*5 + 4) = "F"), INDEX($CZ$8:$CZ$23, COLUMNS($DC47:DE47)), "0"), "")</f>
        <v/>
      </c>
      <c r="DF47" s="395">
        <f t="array" ref="DF47">IFERROR(IF(AND(INDEX($E$8:$CE$57, MATCH($C47, $C$8:$C$57, 0), (COLUMNS($DC47:DF47)-1)*5 + 1) = INDEX($E$5:$CE$5, 1, (COLUMNS($DC47:DF47)-1)*5 + 1), INDEX($E$8:$CE$57, MATCH($C47, $C$8:$C$57, 0), (COLUMNS($DC47:DF47)-1)*5 + 4) = "F"), INDEX($CZ$8:$CZ$23, COLUMNS($DC47:DF47)), "0"), "")</f>
        <v/>
      </c>
      <c r="DG47" s="395">
        <f t="array" ref="DG47">IFERROR(IF(AND(INDEX($E$8:$CE$57, MATCH($C47, $C$8:$C$57, 0), (COLUMNS($DC47:DG47)-1)*5 + 1) = INDEX($E$5:$CE$5, 1, (COLUMNS($DC47:DG47)-1)*5 + 1), INDEX($E$8:$CE$57, MATCH($C47, $C$8:$C$57, 0), (COLUMNS($DC47:DG47)-1)*5 + 4) = "F"), INDEX($CZ$8:$CZ$23, COLUMNS($DC47:DG47)), "0"), "")</f>
        <v/>
      </c>
      <c r="DH47" s="395">
        <f t="array" ref="DH47">IFERROR(IF(AND(INDEX($E$8:$CE$57, MATCH($C47, $C$8:$C$57, 0), (COLUMNS($DC47:DH47)-1)*5 + 1) = INDEX($E$5:$CE$5, 1, (COLUMNS($DC47:DH47)-1)*5 + 1), INDEX($E$8:$CE$57, MATCH($C47, $C$8:$C$57, 0), (COLUMNS($DC47:DH47)-1)*5 + 4) = "F"), INDEX($CZ$8:$CZ$23, COLUMNS($DC47:DH47)), "0"), "")</f>
        <v/>
      </c>
      <c r="DI47" s="395">
        <f t="array" ref="DI47">IFERROR(IF(AND(INDEX($E$8:$CE$57, MATCH($C47, $C$8:$C$57, 0), (COLUMNS($DC47:DI47)-1)*5 + 1) = INDEX($E$5:$CE$5, 1, (COLUMNS($DC47:DI47)-1)*5 + 1), INDEX($E$8:$CE$57, MATCH($C47, $C$8:$C$57, 0), (COLUMNS($DC47:DI47)-1)*5 + 4) = "F"), INDEX($CZ$8:$CZ$23, COLUMNS($DC47:DI47)), "0"), "")</f>
        <v/>
      </c>
      <c r="DJ47" s="395">
        <f t="array" ref="DJ47">IFERROR(IF(AND(INDEX($E$8:$CE$57, MATCH($C47, $C$8:$C$57, 0), (COLUMNS($DC47:DJ47)-1)*5 + 1) = INDEX($E$5:$CE$5, 1, (COLUMNS($DC47:DJ47)-1)*5 + 1), INDEX($E$8:$CE$57, MATCH($C47, $C$8:$C$57, 0), (COLUMNS($DC47:DJ47)-1)*5 + 4) = "F"), INDEX($CZ$8:$CZ$23, COLUMNS($DC47:DJ47)), "0"), "")</f>
        <v/>
      </c>
      <c r="DK47" s="395">
        <f t="array" ref="DK47">IFERROR(IF(AND(INDEX($E$8:$CE$57, MATCH($C47, $C$8:$C$57, 0), (COLUMNS($DC47:DK47)-1)*5 + 1) = INDEX($E$5:$CE$5, 1, (COLUMNS($DC47:DK47)-1)*5 + 1), INDEX($E$8:$CE$57, MATCH($C47, $C$8:$C$57, 0), (COLUMNS($DC47:DK47)-1)*5 + 4) = "F"), INDEX($CZ$8:$CZ$23, COLUMNS($DC47:DK47)), "0"), "")</f>
        <v/>
      </c>
      <c r="DL47" s="395">
        <f t="array" ref="DL47">IFERROR(IF(AND(INDEX($E$8:$CE$57, MATCH($C47, $C$8:$C$57, 0), (COLUMNS($DC47:DL47)-1)*5 + 1) = INDEX($E$5:$CE$5, 1, (COLUMNS($DC47:DL47)-1)*5 + 1), INDEX($E$8:$CE$57, MATCH($C47, $C$8:$C$57, 0), (COLUMNS($DC47:DL47)-1)*5 + 4) = "F"), INDEX($CZ$8:$CZ$23, COLUMNS($DC47:DL47)), "0"), "")</f>
        <v/>
      </c>
      <c r="DM47" s="395">
        <f t="array" ref="DM47">IFERROR(IF(AND(INDEX($E$8:$CE$57, MATCH($C47, $C$8:$C$57, 0), (COLUMNS($DC47:DM47)-1)*5 + 1) = INDEX($E$5:$CE$5, 1, (COLUMNS($DC47:DM47)-1)*5 + 1), INDEX($E$8:$CE$57, MATCH($C47, $C$8:$C$57, 0), (COLUMNS($DC47:DM47)-1)*5 + 4) = "F"), INDEX($CZ$8:$CZ$23, COLUMNS($DC47:DM47)), "0"), "")</f>
        <v/>
      </c>
      <c r="DN47" s="395">
        <f t="array" ref="DN47">IFERROR(IF(AND(INDEX($E$8:$CE$57, MATCH($C47, $C$8:$C$57, 0), (COLUMNS($DC47:DN47)-1)*5 + 1) = INDEX($E$5:$CE$5, 1, (COLUMNS($DC47:DN47)-1)*5 + 1), INDEX($E$8:$CE$57, MATCH($C47, $C$8:$C$57, 0), (COLUMNS($DC47:DN47)-1)*5 + 4) = "F"), INDEX($CZ$8:$CZ$23, COLUMNS($DC47:DN47)), "0"), "")</f>
        <v/>
      </c>
      <c r="DO47" s="395">
        <f t="array" ref="DO47">IFERROR(IF(AND(INDEX($E$8:$CE$57, MATCH($C47, $C$8:$C$57, 0), (COLUMNS($DC47:DO47)-1)*5 + 1) = INDEX($E$5:$CE$5, 1, (COLUMNS($DC47:DO47)-1)*5 + 1), INDEX($E$8:$CE$57, MATCH($C47, $C$8:$C$57, 0), (COLUMNS($DC47:DO47)-1)*5 + 4) = "F"), INDEX($CZ$8:$CZ$23, COLUMNS($DC47:DO47)), "0"), "")</f>
        <v/>
      </c>
      <c r="DP47" s="395">
        <f t="array" ref="DP47">IFERROR(IF(AND(INDEX($E$8:$CE$57, MATCH($C47, $C$8:$C$57, 0), (COLUMNS($DC47:DP47)-1)*5 + 1) = INDEX($E$5:$CE$5, 1, (COLUMNS($DC47:DP47)-1)*5 + 1), INDEX($E$8:$CE$57, MATCH($C47, $C$8:$C$57, 0), (COLUMNS($DC47:DP47)-1)*5 + 4) = "F"), INDEX($CZ$8:$CZ$23, COLUMNS($DC47:DP47)), "0"), "")</f>
        <v/>
      </c>
      <c r="DQ47" s="395">
        <f t="array" ref="DQ47">IFERROR(IF(AND(INDEX($E$8:$CE$57, MATCH($C47, $C$8:$C$57, 0), (COLUMNS($DC47:DQ47)-1)*5 + 1) = INDEX($E$5:$CE$5, 1, (COLUMNS($DC47:DQ47)-1)*5 + 1), INDEX($E$8:$CE$57, MATCH($C47, $C$8:$C$57, 0), (COLUMNS($DC47:DQ47)-1)*5 + 4) = "F"), INDEX($CZ$8:$CZ$23, COLUMNS($DC47:DQ47)), "0"), "")</f>
        <v/>
      </c>
      <c r="DR47" s="395">
        <f t="array" ref="DR47">IFERROR(IF(AND(INDEX($E$8:$CE$57, MATCH($C47, $C$8:$C$57, 0), (COLUMNS($DC47:DR47)-1)*5 + 1) = INDEX($E$5:$CE$5, 1, (COLUMNS($DC47:DR47)-1)*5 + 1), INDEX($E$8:$CE$57, MATCH($C47, $C$8:$C$57, 0), (COLUMNS($DC47:DR47)-1)*5 + 4) = "F"), INDEX($CZ$8:$CZ$23, COLUMNS($DC47:DR47)), "0"), "")</f>
        <v/>
      </c>
      <c r="DT47" s="605">
        <f>SEMANA29[[#This Row],[COD]]</f>
        <v/>
      </c>
      <c r="DU47" s="395">
        <f t="array" ref="DU47">IFERROR(IF(AND(INDEX($E$8:$CE$57, MATCH($C47, $C$8:$C$57, 0), (COLUMNS($DU47:DU47)-1)*5 + 1) = INDEX($E$5:$CE$5, 1, (COLUMNS($DU47:DU47)-1)*5 + 1), INDEX($E$8:$CE$57, MATCH($C47, $C$8:$C$57, 0), (COLUMNS($DU47:DU47)-1)*5 + 4) = "SF"), INDEX($CZ$8:$CZ$23, COLUMNS($DU47:DU47)), "0"), "")</f>
        <v/>
      </c>
      <c r="DV47" s="395">
        <f t="array" ref="DV47">IFERROR(IF(AND(INDEX($E$8:$CE$57, MATCH($C47, $C$8:$C$57, 0), (COLUMNS($DU47:DV47)-1)*5 + 1) = INDEX($E$5:$CE$5, 1, (COLUMNS($DU47:DV47)-1)*5 + 1), INDEX($E$8:$CE$57, MATCH($C47, $C$8:$C$57, 0), (COLUMNS($DU47:DV47)-1)*5 + 4) = "SF"), INDEX($CZ$8:$CZ$23, COLUMNS($DU47:DV47)), "0"), "")</f>
        <v/>
      </c>
      <c r="DW47" s="395">
        <f t="array" ref="DW47">IFERROR(IF(AND(INDEX($E$8:$CE$57, MATCH($C47, $C$8:$C$57, 0), (COLUMNS($DU47:DW47)-1)*5 + 1) = INDEX($E$5:$CE$5, 1, (COLUMNS($DU47:DW47)-1)*5 + 1), INDEX($E$8:$CE$57, MATCH($C47, $C$8:$C$57, 0), (COLUMNS($DU47:DW47)-1)*5 + 4) = "SF"), INDEX($CZ$8:$CZ$23, COLUMNS($DU47:DW47)), "0"), "")</f>
        <v/>
      </c>
      <c r="DX47" s="395">
        <f t="array" ref="DX47">IFERROR(IF(AND(INDEX($E$8:$CE$57, MATCH($C47, $C$8:$C$57, 0), (COLUMNS($DU47:DX47)-1)*5 + 1) = INDEX($E$5:$CE$5, 1, (COLUMNS($DU47:DX47)-1)*5 + 1), INDEX($E$8:$CE$57, MATCH($C47, $C$8:$C$57, 0), (COLUMNS($DU47:DX47)-1)*5 + 4) = "SF"), INDEX($CZ$8:$CZ$23, COLUMNS($DU47:DX47)), "0"), "")</f>
        <v/>
      </c>
      <c r="DY47" s="395">
        <f t="array" ref="DY47">IFERROR(IF(AND(INDEX($E$8:$CE$57, MATCH($C47, $C$8:$C$57, 0), (COLUMNS($DU47:DY47)-1)*5 + 1) = INDEX($E$5:$CE$5, 1, (COLUMNS($DU47:DY47)-1)*5 + 1), INDEX($E$8:$CE$57, MATCH($C47, $C$8:$C$57, 0), (COLUMNS($DU47:DY47)-1)*5 + 4) = "SF"), INDEX($CZ$8:$CZ$23, COLUMNS($DU47:DY47)), "0"), "")</f>
        <v/>
      </c>
      <c r="DZ47" s="395">
        <f t="array" ref="DZ47">IFERROR(IF(AND(INDEX($E$8:$CE$57, MATCH($C47, $C$8:$C$57, 0), (COLUMNS($DU47:DZ47)-1)*5 + 1) = INDEX($E$5:$CE$5, 1, (COLUMNS($DU47:DZ47)-1)*5 + 1), INDEX($E$8:$CE$57, MATCH($C47, $C$8:$C$57, 0), (COLUMNS($DU47:DZ47)-1)*5 + 4) = "SF"), INDEX($CZ$8:$CZ$23, COLUMNS($DU47:DZ47)), "0"), "")</f>
        <v/>
      </c>
      <c r="EA47" s="395">
        <f t="array" ref="EA47">IFERROR(IF(AND(INDEX($E$8:$CE$57, MATCH($C47, $C$8:$C$57, 0), (COLUMNS($DU47:EA47)-1)*5 + 1) = INDEX($E$5:$CE$5, 1, (COLUMNS($DU47:EA47)-1)*5 + 1), INDEX($E$8:$CE$57, MATCH($C47, $C$8:$C$57, 0), (COLUMNS($DU47:EA47)-1)*5 + 4) = "SF"), INDEX($CZ$8:$CZ$23, COLUMNS($DU47:EA47)), "0"), "")</f>
        <v/>
      </c>
      <c r="EB47" s="395">
        <f t="array" ref="EB47">IFERROR(IF(AND(INDEX($E$8:$CE$57, MATCH($C47, $C$8:$C$57, 0), (COLUMNS($DU47:EB47)-1)*5 + 1) = INDEX($E$5:$CE$5, 1, (COLUMNS($DU47:EB47)-1)*5 + 1), INDEX($E$8:$CE$57, MATCH($C47, $C$8:$C$57, 0), (COLUMNS($DU47:EB47)-1)*5 + 4) = "SF"), INDEX($CZ$8:$CZ$23, COLUMNS($DU47:EB47)), "0"), "")</f>
        <v/>
      </c>
      <c r="EC47" s="395">
        <f t="array" ref="EC47">IFERROR(IF(AND(INDEX($E$8:$CE$57, MATCH($C47, $C$8:$C$57, 0), (COLUMNS($DU47:EC47)-1)*5 + 1) = INDEX($E$5:$CE$5, 1, (COLUMNS($DU47:EC47)-1)*5 + 1), INDEX($E$8:$CE$57, MATCH($C47, $C$8:$C$57, 0), (COLUMNS($DU47:EC47)-1)*5 + 4) = "SF"), INDEX($CZ$8:$CZ$23, COLUMNS($DU47:EC47)), "0"), "")</f>
        <v/>
      </c>
      <c r="ED47" s="395">
        <f t="array" ref="ED47">IFERROR(IF(AND(INDEX($E$8:$CE$57, MATCH($C47, $C$8:$C$57, 0), (COLUMNS($DU47:ED47)-1)*5 + 1) = INDEX($E$5:$CE$5, 1, (COLUMNS($DU47:ED47)-1)*5 + 1), INDEX($E$8:$CE$57, MATCH($C47, $C$8:$C$57, 0), (COLUMNS($DU47:ED47)-1)*5 + 4) = "SF"), INDEX($CZ$8:$CZ$23, COLUMNS($DU47:ED47)), "0"), "")</f>
        <v/>
      </c>
      <c r="EE47" s="395">
        <f t="array" ref="EE47">IFERROR(IF(AND(INDEX($E$8:$CE$57, MATCH($C47, $C$8:$C$57, 0), (COLUMNS($DU47:EE47)-1)*5 + 1) = INDEX($E$5:$CE$5, 1, (COLUMNS($DU47:EE47)-1)*5 + 1), INDEX($E$8:$CE$57, MATCH($C47, $C$8:$C$57, 0), (COLUMNS($DU47:EE47)-1)*5 + 4) = "SF"), INDEX($CZ$8:$CZ$23, COLUMNS($DU47:EE47)), "0"), "")</f>
        <v/>
      </c>
      <c r="EF47" s="395">
        <f t="array" ref="EF47">IFERROR(IF(AND(INDEX($E$8:$CE$57, MATCH($C47, $C$8:$C$57, 0), (COLUMNS($DU47:EF47)-1)*5 + 1) = INDEX($E$5:$CE$5, 1, (COLUMNS($DU47:EF47)-1)*5 + 1), INDEX($E$8:$CE$57, MATCH($C47, $C$8:$C$57, 0), (COLUMNS($DU47:EF47)-1)*5 + 4) = "SF"), INDEX($CZ$8:$CZ$23, COLUMNS($DU47:EF47)), "0"), "")</f>
        <v/>
      </c>
      <c r="EG47" s="395">
        <f t="array" ref="EG47">IFERROR(IF(AND(INDEX($E$8:$CE$57, MATCH($C47, $C$8:$C$57, 0), (COLUMNS($DU47:EG47)-1)*5 + 1) = INDEX($E$5:$CE$5, 1, (COLUMNS($DU47:EG47)-1)*5 + 1), INDEX($E$8:$CE$57, MATCH($C47, $C$8:$C$57, 0), (COLUMNS($DU47:EG47)-1)*5 + 4) = "SF"), INDEX($CZ$8:$CZ$23, COLUMNS($DU47:EG47)), "0"), "")</f>
        <v/>
      </c>
      <c r="EH47" s="395">
        <f t="array" ref="EH47">IFERROR(IF(AND(INDEX($E$8:$CE$57, MATCH($C47, $C$8:$C$57, 0), (COLUMNS($DU47:EH47)-1)*5 + 1) = INDEX($E$5:$CE$5, 1, (COLUMNS($DU47:EH47)-1)*5 + 1), INDEX($E$8:$CE$57, MATCH($C47, $C$8:$C$57, 0), (COLUMNS($DU47:EH47)-1)*5 + 4) = "SF"), INDEX($CZ$8:$CZ$23, COLUMNS($DU47:EH47)), "0"), "")</f>
        <v/>
      </c>
      <c r="EI47" s="395">
        <f t="array" ref="EI47">IFERROR(IF(AND(INDEX($E$8:$CE$57, MATCH($C47, $C$8:$C$57, 0), (COLUMNS($DU47:EI47)-1)*5 + 1) = INDEX($E$5:$CE$5, 1, (COLUMNS($DU47:EI47)-1)*5 + 1), INDEX($E$8:$CE$57, MATCH($C47, $C$8:$C$57, 0), (COLUMNS($DU47:EI47)-1)*5 + 4) = "SF"), INDEX($CZ$8:$CZ$23, COLUMNS($DU47:EI47)), "0"), "")</f>
        <v/>
      </c>
      <c r="EJ47" s="395">
        <f t="array" ref="EJ47">IFERROR(IF(AND(INDEX($E$8:$CE$57, MATCH($C47, $C$8:$C$57, 0), (COLUMNS($DU47:EJ47)-1)*5 + 1) = INDEX($E$5:$CE$5, 1, (COLUMNS($DU47:EJ47)-1)*5 + 1), INDEX($E$8:$CE$57, MATCH($C47, $C$8:$C$57, 0), (COLUMNS($DU47:EJ47)-1)*5 + 4) = "SF"), INDEX($CZ$8:$CZ$23, COLUMNS($DU47:EJ47)), "0"), "")</f>
        <v/>
      </c>
    </row>
    <row r="48" ht="20.1" customHeight="1" s="568">
      <c r="A48" s="576" t="n"/>
      <c r="B48" s="449">
        <f>IF(SEMANA29[[#This Row],[COD]]&lt;&gt;"",B47+1,"")</f>
        <v/>
      </c>
      <c r="C48" s="622" t="inlineStr">
        <is>
          <t>COD 41</t>
        </is>
      </c>
      <c r="D48" s="415">
        <f t="array" ref="D48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8" s="416" t="n"/>
      <c r="F48" s="418" t="n"/>
      <c r="G48" s="418" t="n"/>
      <c r="H48" s="418" t="n"/>
      <c r="I48" s="602">
        <f>SUM(IF(E48=E$5,4,0),IF(E48&amp;F48=E$5&amp;F$5,1,0),
IF(AND(E48=E$5,F$6&gt;=$D$115),1,0),
IF(AND(F48=E$5,F$6&gt;=$D$115),1,0),
IF(AND(G48=E$5,F$6&gt;=$D$115),1,0),
IF(E48&amp;H48=I$5,1,0),
IF(F48=E$5,2,0),
IF(G48=E$5,1,0),
IF(OR(E48&amp;F48&amp;G48=E$5&amp;F$5&amp;G$5,E48&amp;F48&amp;G48=E$5&amp;G$5&amp;F$5,E48&amp;F48&amp;G48=F$5&amp;E$5&amp;G$5,E48&amp;F48&amp;G48=F$5&amp;G$5&amp;E$5,E48&amp;F48&amp;G48=G$5&amp;E$5&amp;F$5,E48&amp;F48&amp;G48=G$5&amp;F$5&amp;E$5),2,0),IF(AND(E48=E$5,F$6&gt;=$D$129),1,0),IF(AND(F48=E$5,F$6&gt;=$D$129),1,0),IF(AND(G48=E$5,F$6&gt;=$D$129),1,0),IF(E48&amp;H48=H$5,4,0),IF(AND(E48=E$5,F$6&lt;=$D$104),-0.5,0),IF(AND(F48=E$5,F$6&lt;=$D$104),-0.5,0),IF(AND(G48=E$5,F$6&lt;=$D$104),-0.5,0))</f>
        <v/>
      </c>
      <c r="J48" s="416" t="n"/>
      <c r="K48" s="418" t="n"/>
      <c r="L48" s="418" t="n"/>
      <c r="M48" s="418" t="n"/>
      <c r="N48" s="602">
        <f>SUM(IF(J48=J$5,4,0),IF(J48&amp;K48=J$5&amp;K$5,1,0),
IF(AND(J48=J$5,K$6&gt;=$D$115),1,0),
IF(AND(K48=J$5,K$6&gt;=$D$115),1,0),
IF(AND(L48=J$5,K$6&gt;=$D$115),1,0),
IF(J48&amp;M48=N$5,1,0),
IF(K48=J$5,2,0),
IF(L48=J$5,1,0),
IF(OR(J48&amp;K48&amp;L48=J$5&amp;K$5&amp;L$5,J48&amp;K48&amp;L48=J$5&amp;L$5&amp;K$5,J48&amp;K48&amp;L48=K$5&amp;J$5&amp;L$5,J48&amp;K48&amp;L48=K$5&amp;L$5&amp;J$5,J48&amp;K48&amp;L48=L$5&amp;J$5&amp;K$5,J48&amp;K48&amp;L48=L$5&amp;K$5&amp;J$5),2,0),IF(AND(J48=J$5,K$6&gt;=$D$129),1,0),IF(AND(K48=J$5,K$6&gt;=$D$129),1,0),IF(AND(L48=J$5,K$6&gt;=$D$129),1,0),IF(J48&amp;M48=M$5,4,0),IF(AND(J48=J$5,K$6&lt;=$D$104),-0.5,0),IF(AND(K48=J$5,K$6&lt;=$D$104),-0.5,0),IF(AND(L48=J$5,K$6&lt;=$D$104),-0.5,0))</f>
        <v/>
      </c>
      <c r="O48" s="416" t="n"/>
      <c r="P48" s="418" t="n"/>
      <c r="Q48" s="418" t="n"/>
      <c r="R48" s="418" t="n"/>
      <c r="S48" s="602">
        <f>SUM(IF(O48=O$5,4,0),IF(O48&amp;P48=O$5&amp;P$5,1,0),
IF(AND(O48=O$5,P$6&gt;=$D$115),1,0),
IF(AND(P48=O$5,P$6&gt;=$D$115),1,0),
IF(AND(Q48=O$5,P$6&gt;=$D$115),1,0),
IF(O48&amp;R48=S$5,1,0),
IF(P48=O$5,2,0),
IF(Q48=O$5,1,0),
IF(OR(O48&amp;P48&amp;Q48=O$5&amp;P$5&amp;Q$5,O48&amp;P48&amp;Q48=O$5&amp;Q$5&amp;P$5,O48&amp;P48&amp;Q48=P$5&amp;O$5&amp;Q$5,O48&amp;P48&amp;Q48=P$5&amp;Q$5&amp;O$5,O48&amp;P48&amp;Q48=Q$5&amp;O$5&amp;P$5,O48&amp;P48&amp;Q48=Q$5&amp;P$5&amp;O$5),2,0),IF(AND(O48=O$5,P$6&gt;=$D$129),1,0),IF(AND(P48=O$5,P$6&gt;=$D$129),1,0),IF(AND(Q48=O$5,P$6&gt;=$D$129),1,0),IF(O48&amp;R48=R$5,4,0),IF(AND(O48=O$5,P$6&lt;=$D$104),-0.5,0),IF(AND(P48=O$5,P$6&lt;=$D$104),-0.5,0),IF(AND(Q48=O$5,P$6&lt;=$D$104),-0.5,0))</f>
        <v/>
      </c>
      <c r="T48" s="416" t="n"/>
      <c r="U48" s="418" t="n"/>
      <c r="V48" s="418" t="n"/>
      <c r="W48" s="418" t="n"/>
      <c r="X48" s="602">
        <f>SUM(IF(T48=T$5,4,0),IF(T48&amp;U48=T$5&amp;U$5,1,0),
IF(AND(T48=T$5,U$6&gt;=$D$115),1,0),
IF(AND(U48=T$5,U$6&gt;=$D$115),1,0),
IF(AND(V48=T$5,U$6&gt;=$D$115),1,0),
IF(T48&amp;W48=X$5,1,0),
IF(U48=T$5,2,0),
IF(V48=T$5,1,0),
IF(OR(T48&amp;U48&amp;V48=T$5&amp;U$5&amp;V$5,T48&amp;U48&amp;V48=T$5&amp;V$5&amp;U$5,T48&amp;U48&amp;V48=U$5&amp;T$5&amp;V$5,T48&amp;U48&amp;V48=U$5&amp;V$5&amp;T$5,T48&amp;U48&amp;V48=V$5&amp;T$5&amp;U$5,T48&amp;U48&amp;V48=V$5&amp;U$5&amp;T$5),2,0),IF(AND(T48=T$5,U$6&gt;=$D$129),1,0),IF(AND(U48=T$5,U$6&gt;=$D$129),1,0),IF(AND(V48=T$5,U$6&gt;=$D$129),1,0),IF(T48&amp;W48=W$5,4,0),IF(AND(T48=T$5,U$6&lt;=$D$104),-0.5,0),IF(AND(U48=T$5,U$6&lt;=$D$104),-0.5,0),IF(AND(V48=T$5,U$6&lt;=$D$104),-0.5,0))</f>
        <v/>
      </c>
      <c r="Y48" s="416" t="n"/>
      <c r="Z48" s="418" t="n"/>
      <c r="AA48" s="418" t="n"/>
      <c r="AB48" s="418" t="n"/>
      <c r="AC48" s="602">
        <f>SUM(IF(Y48=Y$5,4,0),IF(Y48&amp;Z48=Y$5&amp;Z$5,1,0),
IF(AND(Y48=Y$5,Z$6&gt;=$D$115),1,0),
IF(AND(Z48=Y$5,Z$6&gt;=$D$115),1,0),
IF(AND(AA48=Y$5,Z$6&gt;=$D$115),1,0),
IF(Y48&amp;AB48=AC$5,1,0),
IF(Z48=Y$5,2,0),
IF(AA48=Y$5,1,0),
IF(OR(Y48&amp;Z48&amp;AA48=Y$5&amp;Z$5&amp;AA$5,Y48&amp;Z48&amp;AA48=Y$5&amp;AA$5&amp;Z$5,Y48&amp;Z48&amp;AA48=Z$5&amp;Y$5&amp;AA$5,Y48&amp;Z48&amp;AA48=Z$5&amp;AA$5&amp;Y$5,Y48&amp;Z48&amp;AA48=AA$5&amp;Y$5&amp;Z$5,Y48&amp;Z48&amp;AA48=AA$5&amp;Z$5&amp;Y$5),2,0),IF(AND(Y48=Y$5,Z$6&gt;=$D$129),1,0),IF(AND(Z48=Y$5,Z$6&gt;=$D$129),1,0),IF(AND(AA48=Y$5,Z$6&gt;=$D$129),1,0),IF(Y48&amp;AB48=AB$5,4,0),IF(AND(Y48=Y$5,Z$6&lt;=$D$104),-0.5,0),IF(AND(Z48=Y$5,Z$6&lt;=$D$104),-0.5,0),IF(AND(AA48=Y$5,Z$6&lt;=$D$104),-0.5,0))</f>
        <v/>
      </c>
      <c r="AD48" s="416" t="n"/>
      <c r="AE48" s="418" t="n"/>
      <c r="AF48" s="418" t="n"/>
      <c r="AG48" s="418" t="n"/>
      <c r="AH48" s="602">
        <f>SUM(IF(AD48=AD$5,4,0),IF(AD48&amp;AE48=AD$5&amp;AE$5,1,0),
IF(AND(AD48=AD$5,AE$6&gt;=$D$115),1,0),
IF(AND(AE48=AD$5,AE$6&gt;=$D$115),1,0),
IF(AND(AF48=AD$5,AE$6&gt;=$D$115),1,0),
IF(AD48&amp;AG48=AH$5,1,0),
IF(AE48=AD$5,2,0),
IF(AF48=AD$5,1,0),
IF(OR(AD48&amp;AE48&amp;AF48=AD$5&amp;AE$5&amp;AF$5,AD48&amp;AE48&amp;AF48=AD$5&amp;AF$5&amp;AE$5,AD48&amp;AE48&amp;AF48=AE$5&amp;AD$5&amp;AF$5,AD48&amp;AE48&amp;AF48=AE$5&amp;AF$5&amp;AD$5,AD48&amp;AE48&amp;AF48=AF$5&amp;AD$5&amp;AE$5,AD48&amp;AE48&amp;AF48=AF$5&amp;AE$5&amp;AD$5),2,0),IF(AND(AD48=AD$5,AE$6&gt;=$D$129),1,0),IF(AND(AE48=AD$5,AE$6&gt;=$D$129),1,0),IF(AND(AF48=AD$5,AE$6&gt;=$D$129),1,0),IF(AD48&amp;AG48=AG$5,4,0),IF(AND(AD48=AD$5,AE$6&lt;=$D$104),-0.5,0),IF(AND(AE48=AD$5,AE$6&lt;=$D$104),-0.5,0),IF(AND(AF48=AD$5,AE$6&lt;=$D$104),-0.5,0))</f>
        <v/>
      </c>
      <c r="AI48" s="416" t="n"/>
      <c r="AJ48" s="418" t="n"/>
      <c r="AK48" s="418" t="n"/>
      <c r="AL48" s="418" t="n"/>
      <c r="AM48" s="602">
        <f>SUM(IF(AI48=AI$5,4,0),IF(AI48&amp;AJ48=AI$5&amp;AJ$5,1,0),
IF(AND(AI48=AI$5,AJ$6&gt;=$D$115),1,0),
IF(AND(AJ48=AI$5,AJ$6&gt;=$D$115),1,0),
IF(AND(AK48=AI$5,AJ$6&gt;=$D$115),1,0),
IF(AI48&amp;AL48=AM$5,1,0),
IF(AJ48=AI$5,2,0),
IF(AK48=AI$5,1,0),
IF(OR(AI48&amp;AJ48&amp;AK48=AI$5&amp;AJ$5&amp;AK$5,AI48&amp;AJ48&amp;AK48=AI$5&amp;AK$5&amp;AJ$5,AI48&amp;AJ48&amp;AK48=AJ$5&amp;AI$5&amp;AK$5,AI48&amp;AJ48&amp;AK48=AJ$5&amp;AK$5&amp;AI$5,AI48&amp;AJ48&amp;AK48=AK$5&amp;AI$5&amp;AJ$5,AI48&amp;AJ48&amp;AK48=AK$5&amp;AJ$5&amp;AI$5),2,0),IF(AND(AI48=AI$5,AJ$6&gt;=$D$129),1,0),IF(AND(AJ48=AI$5,AJ$6&gt;=$D$129),1,0),IF(AND(AK48=AI$5,AJ$6&gt;=$D$129),1,0),IF(AI48&amp;AL48=AL$5,4,0),IF(AND(AI48=AI$5,AJ$6&lt;=$D$104),-0.5,0),IF(AND(AJ48=AI$5,AJ$6&lt;=$D$104),-0.5,0),IF(AND(AK48=AI$5,AJ$6&lt;=$D$104),-0.5,0))</f>
        <v/>
      </c>
      <c r="AN48" s="416" t="n"/>
      <c r="AO48" s="418" t="n"/>
      <c r="AP48" s="418" t="n"/>
      <c r="AQ48" s="418" t="n"/>
      <c r="AR48" s="602">
        <f>SUM(IF(AN48=AN$5,4,0),IF(AN48&amp;AO48=AN$5&amp;AO$5,1,0),
IF(AND(AN48=AN$5,AO$6&gt;=$D$115),1,0),
IF(AND(AO48=AN$5,AO$6&gt;=$D$115),1,0),
IF(AND(AP48=AN$5,AO$6&gt;=$D$115),1,0),
IF(AN48&amp;AQ48=AR$5,1,0),
IF(AO48=AN$5,2,0),
IF(AP48=AN$5,1,0),
IF(OR(AN48&amp;AO48&amp;AP48=AN$5&amp;AO$5&amp;AP$5,AN48&amp;AO48&amp;AP48=AN$5&amp;AP$5&amp;AO$5,AN48&amp;AO48&amp;AP48=AO$5&amp;AN$5&amp;AP$5,AN48&amp;AO48&amp;AP48=AO$5&amp;AP$5&amp;AN$5,AN48&amp;AO48&amp;AP48=AP$5&amp;AN$5&amp;AO$5,AN48&amp;AO48&amp;AP48=AP$5&amp;AO$5&amp;AN$5),2,0),IF(AND(AN48=AN$5,AO$6&gt;=$D$129),1,0),IF(AND(AO48=AN$5,AO$6&gt;=$D$129),1,0),IF(AND(AP48=AN$5,AO$6&gt;=$D$129),1,0),IF(AN48&amp;AQ48=AQ$5,4,0),IF(AND(AN48=AN$5,AO$6&lt;=$D$104),-0.5,0),IF(AND(AO48=AN$5,AO$6&lt;=$D$104),-0.5,0),IF(AND(AP48=AN$5,AO$6&lt;=$D$104),-0.5,0))</f>
        <v/>
      </c>
      <c r="AS48" s="416" t="n"/>
      <c r="AT48" s="418" t="n"/>
      <c r="AU48" s="418" t="n"/>
      <c r="AV48" s="418" t="n"/>
      <c r="AW48" s="602">
        <f>SUM(IF(AS48=AS$5,4,0),IF(AS48&amp;AT48=AS$5&amp;AT$5,1,0),
IF(AND(AS48=AS$5,AT$6&gt;=$D$115),1,0),
IF(AND(AT48=AS$5,AT$6&gt;=$D$115),1,0),
IF(AND(AU48=AS$5,AT$6&gt;=$D$115),1,0),
IF(AS48&amp;AV48=AW$5,1,0),
IF(AT48=AS$5,2,0),
IF(AU48=AS$5,1,0),
IF(OR(AS48&amp;AT48&amp;AU48=AS$5&amp;AT$5&amp;AU$5,AS48&amp;AT48&amp;AU48=AS$5&amp;AU$5&amp;AT$5,AS48&amp;AT48&amp;AU48=AT$5&amp;AS$5&amp;AU$5,AS48&amp;AT48&amp;AU48=AT$5&amp;AU$5&amp;AS$5,AS48&amp;AT48&amp;AU48=AU$5&amp;AS$5&amp;AT$5,AS48&amp;AT48&amp;AU48=AU$5&amp;AT$5&amp;AS$5),2,0),IF(AND(AS48=AS$5,AT$6&gt;=$D$129),1,0),IF(AND(AT48=AS$5,AT$6&gt;=$D$129),1,0),IF(AND(AU48=AS$5,AT$6&gt;=$D$129),1,0),IF(AS48&amp;AV48=AV$5,4,0),IF(AND(AS48=AS$5,AT$6&lt;=$D$104),-0.5,0),IF(AND(AT48=AS$5,AT$6&lt;=$D$104),-0.5,0),IF(AND(AU48=AS$5,AT$6&lt;=$D$104),-0.5,0))</f>
        <v/>
      </c>
      <c r="AX48" s="416" t="n"/>
      <c r="AY48" s="418" t="n"/>
      <c r="AZ48" s="418" t="n"/>
      <c r="BA48" s="418" t="n"/>
      <c r="BB48" s="602">
        <f>SUM(IF(AX48=AX$5,4,0),IF(AX48&amp;AY48=AX$5&amp;AY$5,1,0),
IF(AND(AX48=AX$5,AY$6&gt;=$D$115),1,0),
IF(AND(AY48=AX$5,AY$6&gt;=$D$115),1,0),
IF(AND(AZ48=AX$5,AY$6&gt;=$D$115),1,0),
IF(AX48&amp;BA48=BB$5,1,0),
IF(AY48=AX$5,2,0),
IF(AZ48=AX$5,1,0),
IF(OR(AX48&amp;AY48&amp;AZ48=AX$5&amp;AY$5&amp;AZ$5,AX48&amp;AY48&amp;AZ48=AX$5&amp;AZ$5&amp;AY$5,AX48&amp;AY48&amp;AZ48=AY$5&amp;AX$5&amp;AZ$5,AX48&amp;AY48&amp;AZ48=AY$5&amp;AZ$5&amp;AX$5,AX48&amp;AY48&amp;AZ48=AZ$5&amp;AX$5&amp;AY$5,AX48&amp;AY48&amp;AZ48=AZ$5&amp;AY$5&amp;AX$5),2,0),IF(AND(AX48=AX$5,AY$6&gt;=$D$129),1,0),IF(AND(AY48=AX$5,AY$6&gt;=$D$129),1,0),IF(AND(AZ48=AX$5,AY$6&gt;=$D$129),1,0),IF(AX48&amp;BA48=BA$5,4,0),IF(AND(AX48=AX$5,AY$6&lt;=$D$104),-0.5,0),IF(AND(AY48=AX$5,AY$6&lt;=$D$104),-0.5,0),IF(AND(AZ48=AX$5,AY$6&lt;=$D$104),-0.5,0))</f>
        <v/>
      </c>
      <c r="BC48" s="416" t="n"/>
      <c r="BD48" s="418" t="n"/>
      <c r="BE48" s="418" t="n"/>
      <c r="BF48" s="418" t="n"/>
      <c r="BG48" s="602">
        <f>SUM(IF(BC48=BC$5,4,0),IF(BC48&amp;BD48=BC$5&amp;BD$5,1,0),
IF(AND(BC48=BC$5,BD$6&gt;=$D$115),1,0),
IF(AND(BD48=BC$5,BD$6&gt;=$D$115),1,0),
IF(AND(BE48=BC$5,BD$6&gt;=$D$115),1,0),
IF(BC48&amp;BF48=BG$5,1,0),
IF(BD48=BC$5,2,0),
IF(BE48=BC$5,1,0),
IF(OR(BC48&amp;BD48&amp;BE48=BC$5&amp;BD$5&amp;BE$5,BC48&amp;BD48&amp;BE48=BC$5&amp;BE$5&amp;BD$5,BC48&amp;BD48&amp;BE48=BD$5&amp;BC$5&amp;BE$5,BC48&amp;BD48&amp;BE48=BD$5&amp;BE$5&amp;BC$5,BC48&amp;BD48&amp;BE48=BE$5&amp;BC$5&amp;BD$5,BC48&amp;BD48&amp;BE48=BE$5&amp;BD$5&amp;BC$5),2,0),IF(AND(BC48=BC$5,BD$6&gt;=$D$129),1,0),IF(AND(BD48=BC$5,BD$6&gt;=$D$129),1,0),IF(AND(BE48=BC$5,BD$6&gt;=$D$129),1,0),IF(BC48&amp;BF48=BF$5,4,0),IF(AND(BC48=BC$5,BD$6&lt;=$D$104),-0.5,0),IF(AND(BD48=BC$5,BD$6&lt;=$D$104),-0.5,0),IF(AND(BE48=BC$5,BD$6&lt;=$D$104),-0.5,0))</f>
        <v/>
      </c>
      <c r="BH48" s="416" t="n"/>
      <c r="BI48" s="418" t="n"/>
      <c r="BJ48" s="418" t="n"/>
      <c r="BK48" s="418" t="n"/>
      <c r="BL48" s="602">
        <f>SUM(IF(BH48=BH$5,4,0),IF(BH48&amp;BI48=BH$5&amp;BI$5,1,0),
IF(AND(BH48=BH$5,BI$6&gt;=$D$115),1,0),
IF(AND(BI48=BH$5,BI$6&gt;=$D$115),1,0),
IF(AND(BJ48=BH$5,BI$6&gt;=$D$115),1,0),
IF(BH48&amp;BK48=BL$5,1,0),
IF(BI48=BH$5,2,0),
IF(BJ48=BH$5,1,0),
IF(OR(BH48&amp;BI48&amp;BJ48=BH$5&amp;BI$5&amp;BJ$5,BH48&amp;BI48&amp;BJ48=BH$5&amp;BJ$5&amp;BI$5,BH48&amp;BI48&amp;BJ48=BI$5&amp;BH$5&amp;BJ$5,BH48&amp;BI48&amp;BJ48=BI$5&amp;BJ$5&amp;BH$5,BH48&amp;BI48&amp;BJ48=BJ$5&amp;BH$5&amp;BI$5,BH48&amp;BI48&amp;BJ48=BJ$5&amp;BI$5&amp;BH$5),2,0),IF(AND(BH48=BH$5,BI$6&gt;=$D$129),1,0),IF(AND(BI48=BH$5,BI$6&gt;=$D$129),1,0),IF(AND(BJ48=BH$5,BI$6&gt;=$D$129),1,0),IF(BH48&amp;BK48=BK$5,4,0),IF(AND(BH48=BH$5,BI$6&lt;=$D$104),-0.5,0),IF(AND(BI48=BH$5,BI$6&lt;=$D$104),-0.5,0),IF(AND(BJ48=BH$5,BI$6&lt;=$D$104),-0.5,0))</f>
        <v/>
      </c>
      <c r="BM48" s="416" t="n"/>
      <c r="BN48" s="418" t="n"/>
      <c r="BO48" s="418" t="n"/>
      <c r="BP48" s="418" t="n"/>
      <c r="BQ48" s="602">
        <f>SUM(IF(BM48=BM$5,4,0),IF(BM48&amp;BN48=BM$5&amp;BN$5,1,0),
IF(AND(BM48=BM$5,BN$6&gt;=$D$115),1,0),
IF(AND(BN48=BM$5,BN$6&gt;=$D$115),1,0),
IF(AND(BO48=BM$5,BN$6&gt;=$D$115),1,0),
IF(BM48&amp;BP48=BQ$5,1,0),
IF(BN48=BM$5,2,0),
IF(BO48=BM$5,1,0),
IF(OR(BM48&amp;BN48&amp;BO48=BM$5&amp;BN$5&amp;BO$5,BM48&amp;BN48&amp;BO48=BM$5&amp;BO$5&amp;BN$5,BM48&amp;BN48&amp;BO48=BN$5&amp;BM$5&amp;BO$5,BM48&amp;BN48&amp;BO48=BN$5&amp;BO$5&amp;BM$5,BM48&amp;BN48&amp;BO48=BO$5&amp;BM$5&amp;BN$5,BM48&amp;BN48&amp;BO48=BO$5&amp;BN$5&amp;BM$5),2,0),IF(AND(BM48=BM$5,BN$6&gt;=$D$129),1,0),IF(AND(BN48=BM$5,BN$6&gt;=$D$129),1,0),IF(AND(BO48=BM$5,BN$6&gt;=$D$129),1,0),IF(BM48&amp;BP48=BP$5,4,0),IF(AND(BM48=BM$5,BN$6&lt;=$D$104),-0.5,0),IF(AND(BN48=BM$5,BN$6&lt;=$D$104),-0.5,0),IF(AND(BO48=BM$5,BN$6&lt;=$D$104),-0.5,0))</f>
        <v/>
      </c>
      <c r="BR48" s="416" t="n"/>
      <c r="BS48" s="418" t="n"/>
      <c r="BT48" s="418" t="n"/>
      <c r="BU48" s="418" t="n"/>
      <c r="BV48" s="602">
        <f>SUM(IF(BR48=BR$5,4,0),IF(BR48&amp;BS48=BR$5&amp;BS$5,1,0),
IF(AND(BR48=BR$5,BS$6&gt;=$D$115),1,0),
IF(AND(BS48=BR$5,BS$6&gt;=$D$115),1,0),
IF(AND(BT48=BR$5,BS$6&gt;=$D$115),1,0),
IF(BR48&amp;BU48=BV$5,1,0),
IF(BS48=BR$5,2,0),
IF(BT48=BR$5,1,0),
IF(OR(BR48&amp;BS48&amp;BT48=BR$5&amp;BS$5&amp;BT$5,BR48&amp;BS48&amp;BT48=BR$5&amp;BT$5&amp;BS$5,BR48&amp;BS48&amp;BT48=BS$5&amp;BR$5&amp;BT$5,BR48&amp;BS48&amp;BT48=BS$5&amp;BT$5&amp;BR$5,BR48&amp;BS48&amp;BT48=BT$5&amp;BR$5&amp;BS$5,BR48&amp;BS48&amp;BT48=BT$5&amp;BS$5&amp;BR$5),2,0),IF(AND(BR48=BR$5,BS$6&gt;=$D$129),1,0),IF(AND(BS48=BR$5,BS$6&gt;=$D$129),1,0),IF(AND(BT48=BR$5,BS$6&gt;=$D$129),1,0),IF(BR48&amp;BU48=BU$5,4,0),IF(AND(BR48=BR$5,BS$6&lt;=$D$104),-0.5,0),IF(AND(BS48=BR$5,BS$6&lt;=$D$104),-0.5,0),IF(AND(BT48=BR$5,BS$6&lt;=$D$104),-0.5,0))</f>
        <v/>
      </c>
      <c r="BW48" s="416" t="n"/>
      <c r="BX48" s="418" t="n"/>
      <c r="BY48" s="418" t="n"/>
      <c r="BZ48" s="418" t="n"/>
      <c r="CA48" s="602">
        <f>SUM(IF(BW48=BW$5,4,0),IF(BW48&amp;BX48=BW$5&amp;BX$5,1,0),
IF(AND(BW48=BW$5,BX$6&gt;=$D$115),1,0),
IF(AND(BX48=BW$5,BX$6&gt;=$D$115),1,0),
IF(AND(BY48=BW$5,BX$6&gt;=$D$115),1,0),
IF(BW48&amp;BZ48=CA$5,1,0),
IF(BX48=BW$5,2,0),
IF(BY48=BW$5,1,0),
IF(OR(BW48&amp;BX48&amp;BY48=BW$5&amp;BX$5&amp;BY$5,BW48&amp;BX48&amp;BY48=BW$5&amp;BY$5&amp;BX$5,BW48&amp;BX48&amp;BY48=BX$5&amp;BW$5&amp;BY$5,BW48&amp;BX48&amp;BY48=BX$5&amp;BY$5&amp;BW$5,BW48&amp;BX48&amp;BY48=BY$5&amp;BW$5&amp;BX$5,BW48&amp;BX48&amp;BY48=BY$5&amp;BX$5&amp;BW$5),2,0),IF(AND(BW48=BW$5,BX$6&gt;=$D$129),1,0),IF(AND(BX48=BW$5,BX$6&gt;=$D$129),1,0),IF(AND(BY48=BW$5,BX$6&gt;=$D$129),1,0),IF(BW48&amp;BZ48=BZ$5,4,0),IF(AND(BW48=BW$5,BX$6&lt;=$D$104),-0.5,0),IF(AND(BX48=BW$5,BX$6&lt;=$D$104),-0.5,0),IF(AND(BY48=BW$5,BX$6&lt;=$D$104),-0.5,0))</f>
        <v/>
      </c>
      <c r="CB48" s="416" t="n"/>
      <c r="CC48" s="418" t="n"/>
      <c r="CD48" s="418" t="n"/>
      <c r="CE48" s="418" t="n"/>
      <c r="CF48" s="602">
        <f>SUM(IF(CB48=CB$5,4,0),IF(CB48&amp;CC48=CB$5&amp;CC$5,1,0),
IF(AND(CB48=CB$5,CC$6&gt;=$D$115),1,0),
IF(AND(CC48=CB$5,CC$6&gt;=$D$115),1,0),
IF(AND(CD48=CB$5,CC$6&gt;=$D$115),1,0),
IF(CB48&amp;CE48=CF$5,1,0),
IF(CC48=CB$5,2,0),
IF(CD48=CB$5,1,0),
IF(OR(CB48&amp;CC48&amp;CD48=CB$5&amp;CC$5&amp;CD$5,CB48&amp;CC48&amp;CD48=CB$5&amp;CD$5&amp;CC$5,CB48&amp;CC48&amp;CD48=CC$5&amp;CB$5&amp;CD$5,CB48&amp;CC48&amp;CD48=CC$5&amp;CD$5&amp;CB$5,CB48&amp;CC48&amp;CD48=CD$5&amp;CB$5&amp;CC$5,CB48&amp;CC48&amp;CD48=CD$5&amp;CC$5&amp;CB$5),2,0),IF(AND(CB48=CB$5,CC$6&gt;=$D$129),1,0),IF(AND(CC48=CB$5,CC$6&gt;=$D$129),1,0),IF(AND(CD48=CB$5,CC$6&gt;=$D$129),1,0),IF(CB48&amp;CE48=CE$5,4,0),IF(AND(CB48=CB$5,CC$6&lt;=$D$104),-0.5,0),IF(AND(CC48=CB$5,CC$6&lt;=$D$104),-0.5,0),IF(AND(CD48=CB$5,CC$6&lt;=$D$104),-0.5,0))</f>
        <v/>
      </c>
      <c r="CG48" s="164">
        <f>IF(SEMANA29[[#This Row],[1]]="",0,$B$4)</f>
        <v/>
      </c>
      <c r="CH48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8" s="166">
        <f>IF(SEMANA29[[#This Row],[Columna14]]=0,0,(CH48/CG48))</f>
        <v/>
      </c>
      <c r="CJ48" s="165">
        <f>IF(SEMANA29[[#This Row],[1]]="",0,$B$4)</f>
        <v/>
      </c>
      <c r="CK48" s="165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8" s="166">
        <f>IF(SEMANA29[[#This Row],[Columna14]]=0,0,(CK48/CJ48))</f>
        <v/>
      </c>
      <c r="CM48" s="164">
        <f>IF(SEMANA29[[#This Row],[1]]="",0,$B$4)</f>
        <v/>
      </c>
      <c r="CN48" s="165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8" s="166">
        <f>IF(SEMANA29[[#This Row],[Columna14]]=0,0,(CN48/CM48))</f>
        <v/>
      </c>
      <c r="CP48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8" s="165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Row],[Columna25]],$AX$5,BA48,"SF")+COUNTIFS(SEMANA29[[#This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8" s="166">
        <f>IFERROR(IF(SEMANA29[[#This Row],[Columna14]]=0,0,(CQ48/CP48)),0)</f>
        <v/>
      </c>
      <c r="CS48" s="603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8" s="95">
        <f>_xlfn.XLOOKUP(SEMANA29[[#This Row],[COD]],SEMANA2[COD],SEMANA2[Columna33])</f>
        <v/>
      </c>
      <c r="CU48" s="604">
        <f>SUM(CS48,CT48)</f>
        <v/>
      </c>
      <c r="CV48" s="450">
        <f>IF(SEMANA29[[#This Row],[TIPO]]="PREMIO",$O$3,"0,00")</f>
        <v/>
      </c>
      <c r="CW48" s="576" t="n"/>
      <c r="CY48" s="392">
        <f>IF(CZ48="","",$CZ$25)</f>
        <v/>
      </c>
      <c r="CZ48" s="392" t="n"/>
      <c r="DA48" s="392">
        <f t="array" ref="DA48">IF(CZ48="", "", IF((INDEX(E$8:CE$57, MATCH(CZ48, C$8:C$57, 0), ($CZ$25-1)*5 + 1) &amp; "") = (INDEX(E$5:CE$5, 1, ($CZ$25-1)*5 + 1) &amp; ""), 1, IF((INDEX(E$8:CE$57, MATCH(CZ48, C$8:C$57, 0), ($CZ$25-1)*5 + 2) &amp; "") = (INDEX(E$5:CE$5, 1, ($CZ$25-1)*5 + 1) &amp; ""), 2, IF((INDEX(E$8:CE$57, MATCH(CZ48, C$8:C$57, 0), ($CZ$25-1)*5 + 3) &amp; "") = (INDEX(E$5:CE$5, 1, ($CZ$25-1)*5 + 1) &amp; ""), 3, ""))))</f>
        <v/>
      </c>
      <c r="DB48" s="605">
        <f>SEMANA29[[#This Row],[COD]]</f>
        <v/>
      </c>
      <c r="DC48" s="395">
        <f t="array" ref="DC48">IFERROR(IF(AND(INDEX($E$8:$CE$57, MATCH($C48, $C$8:$C$57, 0), (COLUMNS($DC48:DC48)-1)*5 + 1) = INDEX($E$5:$CE$5, 1, (COLUMNS($DC48:DC48)-1)*5 + 1), INDEX($E$8:$CE$57, MATCH($C48, $C$8:$C$57, 0), (COLUMNS($DC48:DC48)-1)*5 + 4) = "F"), INDEX($CZ$8:$CZ$23, COLUMNS($DC48:DC48)), "0"), "")</f>
        <v/>
      </c>
      <c r="DD48" s="395">
        <f t="array" ref="DD48">IFERROR(IF(AND(INDEX($E$8:$CE$57, MATCH($C48, $C$8:$C$57, 0), (COLUMNS($DC48:DD48)-1)*5 + 1) = INDEX($E$5:$CE$5, 1, (COLUMNS($DC48:DD48)-1)*5 + 1), INDEX($E$8:$CE$57, MATCH($C48, $C$8:$C$57, 0), (COLUMNS($DC48:DD48)-1)*5 + 4) = "F"), INDEX($CZ$8:$CZ$23, COLUMNS($DC48:DD48)), "0"), "")</f>
        <v/>
      </c>
      <c r="DE48" s="395">
        <f t="array" ref="DE48">IFERROR(IF(AND(INDEX($E$8:$CE$57, MATCH($C48, $C$8:$C$57, 0), (COLUMNS($DC48:DE48)-1)*5 + 1) = INDEX($E$5:$CE$5, 1, (COLUMNS($DC48:DE48)-1)*5 + 1), INDEX($E$8:$CE$57, MATCH($C48, $C$8:$C$57, 0), (COLUMNS($DC48:DE48)-1)*5 + 4) = "F"), INDEX($CZ$8:$CZ$23, COLUMNS($DC48:DE48)), "0"), "")</f>
        <v/>
      </c>
      <c r="DF48" s="395">
        <f t="array" ref="DF48">IFERROR(IF(AND(INDEX($E$8:$CE$57, MATCH($C48, $C$8:$C$57, 0), (COLUMNS($DC48:DF48)-1)*5 + 1) = INDEX($E$5:$CE$5, 1, (COLUMNS($DC48:DF48)-1)*5 + 1), INDEX($E$8:$CE$57, MATCH($C48, $C$8:$C$57, 0), (COLUMNS($DC48:DF48)-1)*5 + 4) = "F"), INDEX($CZ$8:$CZ$23, COLUMNS($DC48:DF48)), "0"), "")</f>
        <v/>
      </c>
      <c r="DG48" s="395">
        <f t="array" ref="DG48">IFERROR(IF(AND(INDEX($E$8:$CE$57, MATCH($C48, $C$8:$C$57, 0), (COLUMNS($DC48:DG48)-1)*5 + 1) = INDEX($E$5:$CE$5, 1, (COLUMNS($DC48:DG48)-1)*5 + 1), INDEX($E$8:$CE$57, MATCH($C48, $C$8:$C$57, 0), (COLUMNS($DC48:DG48)-1)*5 + 4) = "F"), INDEX($CZ$8:$CZ$23, COLUMNS($DC48:DG48)), "0"), "")</f>
        <v/>
      </c>
      <c r="DH48" s="395">
        <f t="array" ref="DH48">IFERROR(IF(AND(INDEX($E$8:$CE$57, MATCH($C48, $C$8:$C$57, 0), (COLUMNS($DC48:DH48)-1)*5 + 1) = INDEX($E$5:$CE$5, 1, (COLUMNS($DC48:DH48)-1)*5 + 1), INDEX($E$8:$CE$57, MATCH($C48, $C$8:$C$57, 0), (COLUMNS($DC48:DH48)-1)*5 + 4) = "F"), INDEX($CZ$8:$CZ$23, COLUMNS($DC48:DH48)), "0"), "")</f>
        <v/>
      </c>
      <c r="DI48" s="395">
        <f t="array" ref="DI48">IFERROR(IF(AND(INDEX($E$8:$CE$57, MATCH($C48, $C$8:$C$57, 0), (COLUMNS($DC48:DI48)-1)*5 + 1) = INDEX($E$5:$CE$5, 1, (COLUMNS($DC48:DI48)-1)*5 + 1), INDEX($E$8:$CE$57, MATCH($C48, $C$8:$C$57, 0), (COLUMNS($DC48:DI48)-1)*5 + 4) = "F"), INDEX($CZ$8:$CZ$23, COLUMNS($DC48:DI48)), "0"), "")</f>
        <v/>
      </c>
      <c r="DJ48" s="395">
        <f t="array" ref="DJ48">IFERROR(IF(AND(INDEX($E$8:$CE$57, MATCH($C48, $C$8:$C$57, 0), (COLUMNS($DC48:DJ48)-1)*5 + 1) = INDEX($E$5:$CE$5, 1, (COLUMNS($DC48:DJ48)-1)*5 + 1), INDEX($E$8:$CE$57, MATCH($C48, $C$8:$C$57, 0), (COLUMNS($DC48:DJ48)-1)*5 + 4) = "F"), INDEX($CZ$8:$CZ$23, COLUMNS($DC48:DJ48)), "0"), "")</f>
        <v/>
      </c>
      <c r="DK48" s="395">
        <f t="array" ref="DK48">IFERROR(IF(AND(INDEX($E$8:$CE$57, MATCH($C48, $C$8:$C$57, 0), (COLUMNS($DC48:DK48)-1)*5 + 1) = INDEX($E$5:$CE$5, 1, (COLUMNS($DC48:DK48)-1)*5 + 1), INDEX($E$8:$CE$57, MATCH($C48, $C$8:$C$57, 0), (COLUMNS($DC48:DK48)-1)*5 + 4) = "F"), INDEX($CZ$8:$CZ$23, COLUMNS($DC48:DK48)), "0"), "")</f>
        <v/>
      </c>
      <c r="DL48" s="395">
        <f t="array" ref="DL48">IFERROR(IF(AND(INDEX($E$8:$CE$57, MATCH($C48, $C$8:$C$57, 0), (COLUMNS($DC48:DL48)-1)*5 + 1) = INDEX($E$5:$CE$5, 1, (COLUMNS($DC48:DL48)-1)*5 + 1), INDEX($E$8:$CE$57, MATCH($C48, $C$8:$C$57, 0), (COLUMNS($DC48:DL48)-1)*5 + 4) = "F"), INDEX($CZ$8:$CZ$23, COLUMNS($DC48:DL48)), "0"), "")</f>
        <v/>
      </c>
      <c r="DM48" s="395">
        <f t="array" ref="DM48">IFERROR(IF(AND(INDEX($E$8:$CE$57, MATCH($C48, $C$8:$C$57, 0), (COLUMNS($DC48:DM48)-1)*5 + 1) = INDEX($E$5:$CE$5, 1, (COLUMNS($DC48:DM48)-1)*5 + 1), INDEX($E$8:$CE$57, MATCH($C48, $C$8:$C$57, 0), (COLUMNS($DC48:DM48)-1)*5 + 4) = "F"), INDEX($CZ$8:$CZ$23, COLUMNS($DC48:DM48)), "0"), "")</f>
        <v/>
      </c>
      <c r="DN48" s="395">
        <f t="array" ref="DN48">IFERROR(IF(AND(INDEX($E$8:$CE$57, MATCH($C48, $C$8:$C$57, 0), (COLUMNS($DC48:DN48)-1)*5 + 1) = INDEX($E$5:$CE$5, 1, (COLUMNS($DC48:DN48)-1)*5 + 1), INDEX($E$8:$CE$57, MATCH($C48, $C$8:$C$57, 0), (COLUMNS($DC48:DN48)-1)*5 + 4) = "F"), INDEX($CZ$8:$CZ$23, COLUMNS($DC48:DN48)), "0"), "")</f>
        <v/>
      </c>
      <c r="DO48" s="395">
        <f t="array" ref="DO48">IFERROR(IF(AND(INDEX($E$8:$CE$57, MATCH($C48, $C$8:$C$57, 0), (COLUMNS($DC48:DO48)-1)*5 + 1) = INDEX($E$5:$CE$5, 1, (COLUMNS($DC48:DO48)-1)*5 + 1), INDEX($E$8:$CE$57, MATCH($C48, $C$8:$C$57, 0), (COLUMNS($DC48:DO48)-1)*5 + 4) = "F"), INDEX($CZ$8:$CZ$23, COLUMNS($DC48:DO48)), "0"), "")</f>
        <v/>
      </c>
      <c r="DP48" s="395">
        <f t="array" ref="DP48">IFERROR(IF(AND(INDEX($E$8:$CE$57, MATCH($C48, $C$8:$C$57, 0), (COLUMNS($DC48:DP48)-1)*5 + 1) = INDEX($E$5:$CE$5, 1, (COLUMNS($DC48:DP48)-1)*5 + 1), INDEX($E$8:$CE$57, MATCH($C48, $C$8:$C$57, 0), (COLUMNS($DC48:DP48)-1)*5 + 4) = "F"), INDEX($CZ$8:$CZ$23, COLUMNS($DC48:DP48)), "0"), "")</f>
        <v/>
      </c>
      <c r="DQ48" s="395">
        <f t="array" ref="DQ48">IFERROR(IF(AND(INDEX($E$8:$CE$57, MATCH($C48, $C$8:$C$57, 0), (COLUMNS($DC48:DQ48)-1)*5 + 1) = INDEX($E$5:$CE$5, 1, (COLUMNS($DC48:DQ48)-1)*5 + 1), INDEX($E$8:$CE$57, MATCH($C48, $C$8:$C$57, 0), (COLUMNS($DC48:DQ48)-1)*5 + 4) = "F"), INDEX($CZ$8:$CZ$23, COLUMNS($DC48:DQ48)), "0"), "")</f>
        <v/>
      </c>
      <c r="DR48" s="395">
        <f t="array" ref="DR48">IFERROR(IF(AND(INDEX($E$8:$CE$57, MATCH($C48, $C$8:$C$57, 0), (COLUMNS($DC48:DR48)-1)*5 + 1) = INDEX($E$5:$CE$5, 1, (COLUMNS($DC48:DR48)-1)*5 + 1), INDEX($E$8:$CE$57, MATCH($C48, $C$8:$C$57, 0), (COLUMNS($DC48:DR48)-1)*5 + 4) = "F"), INDEX($CZ$8:$CZ$23, COLUMNS($DC48:DR48)), "0"), "")</f>
        <v/>
      </c>
      <c r="DT48" s="605">
        <f>SEMANA29[[#This Row],[COD]]</f>
        <v/>
      </c>
      <c r="DU48" s="395">
        <f t="array" ref="DU48">IFERROR(IF(AND(INDEX($E$8:$CE$57, MATCH($C48, $C$8:$C$57, 0), (COLUMNS($DU48:DU48)-1)*5 + 1) = INDEX($E$5:$CE$5, 1, (COLUMNS($DU48:DU48)-1)*5 + 1), INDEX($E$8:$CE$57, MATCH($C48, $C$8:$C$57, 0), (COLUMNS($DU48:DU48)-1)*5 + 4) = "SF"), INDEX($CZ$8:$CZ$23, COLUMNS($DU48:DU48)), "0"), "")</f>
        <v/>
      </c>
      <c r="DV48" s="395">
        <f t="array" ref="DV48">IFERROR(IF(AND(INDEX($E$8:$CE$57, MATCH($C48, $C$8:$C$57, 0), (COLUMNS($DU48:DV48)-1)*5 + 1) = INDEX($E$5:$CE$5, 1, (COLUMNS($DU48:DV48)-1)*5 + 1), INDEX($E$8:$CE$57, MATCH($C48, $C$8:$C$57, 0), (COLUMNS($DU48:DV48)-1)*5 + 4) = "SF"), INDEX($CZ$8:$CZ$23, COLUMNS($DU48:DV48)), "0"), "")</f>
        <v/>
      </c>
      <c r="DW48" s="395">
        <f t="array" ref="DW48">IFERROR(IF(AND(INDEX($E$8:$CE$57, MATCH($C48, $C$8:$C$57, 0), (COLUMNS($DU48:DW48)-1)*5 + 1) = INDEX($E$5:$CE$5, 1, (COLUMNS($DU48:DW48)-1)*5 + 1), INDEX($E$8:$CE$57, MATCH($C48, $C$8:$C$57, 0), (COLUMNS($DU48:DW48)-1)*5 + 4) = "SF"), INDEX($CZ$8:$CZ$23, COLUMNS($DU48:DW48)), "0"), "")</f>
        <v/>
      </c>
      <c r="DX48" s="395">
        <f t="array" ref="DX48">IFERROR(IF(AND(INDEX($E$8:$CE$57, MATCH($C48, $C$8:$C$57, 0), (COLUMNS($DU48:DX48)-1)*5 + 1) = INDEX($E$5:$CE$5, 1, (COLUMNS($DU48:DX48)-1)*5 + 1), INDEX($E$8:$CE$57, MATCH($C48, $C$8:$C$57, 0), (COLUMNS($DU48:DX48)-1)*5 + 4) = "SF"), INDEX($CZ$8:$CZ$23, COLUMNS($DU48:DX48)), "0"), "")</f>
        <v/>
      </c>
      <c r="DY48" s="395">
        <f t="array" ref="DY48">IFERROR(IF(AND(INDEX($E$8:$CE$57, MATCH($C48, $C$8:$C$57, 0), (COLUMNS($DU48:DY48)-1)*5 + 1) = INDEX($E$5:$CE$5, 1, (COLUMNS($DU48:DY48)-1)*5 + 1), INDEX($E$8:$CE$57, MATCH($C48, $C$8:$C$57, 0), (COLUMNS($DU48:DY48)-1)*5 + 4) = "SF"), INDEX($CZ$8:$CZ$23, COLUMNS($DU48:DY48)), "0"), "")</f>
        <v/>
      </c>
      <c r="DZ48" s="395">
        <f t="array" ref="DZ48">IFERROR(IF(AND(INDEX($E$8:$CE$57, MATCH($C48, $C$8:$C$57, 0), (COLUMNS($DU48:DZ48)-1)*5 + 1) = INDEX($E$5:$CE$5, 1, (COLUMNS($DU48:DZ48)-1)*5 + 1), INDEX($E$8:$CE$57, MATCH($C48, $C$8:$C$57, 0), (COLUMNS($DU48:DZ48)-1)*5 + 4) = "SF"), INDEX($CZ$8:$CZ$23, COLUMNS($DU48:DZ48)), "0"), "")</f>
        <v/>
      </c>
      <c r="EA48" s="395">
        <f t="array" ref="EA48">IFERROR(IF(AND(INDEX($E$8:$CE$57, MATCH($C48, $C$8:$C$57, 0), (COLUMNS($DU48:EA48)-1)*5 + 1) = INDEX($E$5:$CE$5, 1, (COLUMNS($DU48:EA48)-1)*5 + 1), INDEX($E$8:$CE$57, MATCH($C48, $C$8:$C$57, 0), (COLUMNS($DU48:EA48)-1)*5 + 4) = "SF"), INDEX($CZ$8:$CZ$23, COLUMNS($DU48:EA48)), "0"), "")</f>
        <v/>
      </c>
      <c r="EB48" s="395">
        <f t="array" ref="EB48">IFERROR(IF(AND(INDEX($E$8:$CE$57, MATCH($C48, $C$8:$C$57, 0), (COLUMNS($DU48:EB48)-1)*5 + 1) = INDEX($E$5:$CE$5, 1, (COLUMNS($DU48:EB48)-1)*5 + 1), INDEX($E$8:$CE$57, MATCH($C48, $C$8:$C$57, 0), (COLUMNS($DU48:EB48)-1)*5 + 4) = "SF"), INDEX($CZ$8:$CZ$23, COLUMNS($DU48:EB48)), "0"), "")</f>
        <v/>
      </c>
      <c r="EC48" s="395">
        <f t="array" ref="EC48">IFERROR(IF(AND(INDEX($E$8:$CE$57, MATCH($C48, $C$8:$C$57, 0), (COLUMNS($DU48:EC48)-1)*5 + 1) = INDEX($E$5:$CE$5, 1, (COLUMNS($DU48:EC48)-1)*5 + 1), INDEX($E$8:$CE$57, MATCH($C48, $C$8:$C$57, 0), (COLUMNS($DU48:EC48)-1)*5 + 4) = "SF"), INDEX($CZ$8:$CZ$23, COLUMNS($DU48:EC48)), "0"), "")</f>
        <v/>
      </c>
      <c r="ED48" s="395">
        <f t="array" ref="ED48">IFERROR(IF(AND(INDEX($E$8:$CE$57, MATCH($C48, $C$8:$C$57, 0), (COLUMNS($DU48:ED48)-1)*5 + 1) = INDEX($E$5:$CE$5, 1, (COLUMNS($DU48:ED48)-1)*5 + 1), INDEX($E$8:$CE$57, MATCH($C48, $C$8:$C$57, 0), (COLUMNS($DU48:ED48)-1)*5 + 4) = "SF"), INDEX($CZ$8:$CZ$23, COLUMNS($DU48:ED48)), "0"), "")</f>
        <v/>
      </c>
      <c r="EE48" s="395">
        <f t="array" ref="EE48">IFERROR(IF(AND(INDEX($E$8:$CE$57, MATCH($C48, $C$8:$C$57, 0), (COLUMNS($DU48:EE48)-1)*5 + 1) = INDEX($E$5:$CE$5, 1, (COLUMNS($DU48:EE48)-1)*5 + 1), INDEX($E$8:$CE$57, MATCH($C48, $C$8:$C$57, 0), (COLUMNS($DU48:EE48)-1)*5 + 4) = "SF"), INDEX($CZ$8:$CZ$23, COLUMNS($DU48:EE48)), "0"), "")</f>
        <v/>
      </c>
      <c r="EF48" s="395">
        <f t="array" ref="EF48">IFERROR(IF(AND(INDEX($E$8:$CE$57, MATCH($C48, $C$8:$C$57, 0), (COLUMNS($DU48:EF48)-1)*5 + 1) = INDEX($E$5:$CE$5, 1, (COLUMNS($DU48:EF48)-1)*5 + 1), INDEX($E$8:$CE$57, MATCH($C48, $C$8:$C$57, 0), (COLUMNS($DU48:EF48)-1)*5 + 4) = "SF"), INDEX($CZ$8:$CZ$23, COLUMNS($DU48:EF48)), "0"), "")</f>
        <v/>
      </c>
      <c r="EG48" s="395">
        <f t="array" ref="EG48">IFERROR(IF(AND(INDEX($E$8:$CE$57, MATCH($C48, $C$8:$C$57, 0), (COLUMNS($DU48:EG48)-1)*5 + 1) = INDEX($E$5:$CE$5, 1, (COLUMNS($DU48:EG48)-1)*5 + 1), INDEX($E$8:$CE$57, MATCH($C48, $C$8:$C$57, 0), (COLUMNS($DU48:EG48)-1)*5 + 4) = "SF"), INDEX($CZ$8:$CZ$23, COLUMNS($DU48:EG48)), "0"), "")</f>
        <v/>
      </c>
      <c r="EH48" s="395">
        <f t="array" ref="EH48">IFERROR(IF(AND(INDEX($E$8:$CE$57, MATCH($C48, $C$8:$C$57, 0), (COLUMNS($DU48:EH48)-1)*5 + 1) = INDEX($E$5:$CE$5, 1, (COLUMNS($DU48:EH48)-1)*5 + 1), INDEX($E$8:$CE$57, MATCH($C48, $C$8:$C$57, 0), (COLUMNS($DU48:EH48)-1)*5 + 4) = "SF"), INDEX($CZ$8:$CZ$23, COLUMNS($DU48:EH48)), "0"), "")</f>
        <v/>
      </c>
      <c r="EI48" s="395">
        <f t="array" ref="EI48">IFERROR(IF(AND(INDEX($E$8:$CE$57, MATCH($C48, $C$8:$C$57, 0), (COLUMNS($DU48:EI48)-1)*5 + 1) = INDEX($E$5:$CE$5, 1, (COLUMNS($DU48:EI48)-1)*5 + 1), INDEX($E$8:$CE$57, MATCH($C48, $C$8:$C$57, 0), (COLUMNS($DU48:EI48)-1)*5 + 4) = "SF"), INDEX($CZ$8:$CZ$23, COLUMNS($DU48:EI48)), "0"), "")</f>
        <v/>
      </c>
      <c r="EJ48" s="395">
        <f t="array" ref="EJ48">IFERROR(IF(AND(INDEX($E$8:$CE$57, MATCH($C48, $C$8:$C$57, 0), (COLUMNS($DU48:EJ48)-1)*5 + 1) = INDEX($E$5:$CE$5, 1, (COLUMNS($DU48:EJ48)-1)*5 + 1), INDEX($E$8:$CE$57, MATCH($C48, $C$8:$C$57, 0), (COLUMNS($DU48:EJ48)-1)*5 + 4) = "SF"), INDEX($CZ$8:$CZ$23, COLUMNS($DU48:EJ48)), "0"), "")</f>
        <v/>
      </c>
    </row>
    <row r="49" ht="20.1" customHeight="1" s="568">
      <c r="A49" s="576" t="n"/>
      <c r="B49" s="449">
        <f>IF(SEMANA29[[#This Row],[COD]]&lt;&gt;"",B48+1,"")</f>
        <v/>
      </c>
      <c r="C49" s="622" t="inlineStr">
        <is>
          <t>COD 42</t>
        </is>
      </c>
      <c r="D49" s="415">
        <f t="array" ref="D49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49" s="416" t="n"/>
      <c r="F49" s="418" t="n"/>
      <c r="G49" s="418" t="n"/>
      <c r="H49" s="418" t="n"/>
      <c r="I49" s="602">
        <f>SUM(IF(E49=E$5,4,0),IF(E49&amp;F49=E$5&amp;F$5,1,0),
IF(AND(E49=E$5,F$6&gt;=$D$115),1,0),
IF(AND(F49=E$5,F$6&gt;=$D$115),1,0),
IF(AND(G49=E$5,F$6&gt;=$D$115),1,0),
IF(E49&amp;H49=I$5,1,0),
IF(F49=E$5,2,0),
IF(G49=E$5,1,0),
IF(OR(E49&amp;F49&amp;G49=E$5&amp;F$5&amp;G$5,E49&amp;F49&amp;G49=E$5&amp;G$5&amp;F$5,E49&amp;F49&amp;G49=F$5&amp;E$5&amp;G$5,E49&amp;F49&amp;G49=F$5&amp;G$5&amp;E$5,E49&amp;F49&amp;G49=G$5&amp;E$5&amp;F$5,E49&amp;F49&amp;G49=G$5&amp;F$5&amp;E$5),2,0),IF(AND(E49=E$5,F$6&gt;=$D$129),1,0),IF(AND(F49=E$5,F$6&gt;=$D$129),1,0),IF(AND(G49=E$5,F$6&gt;=$D$129),1,0),IF(E49&amp;H49=H$5,4,0),IF(AND(E49=E$5,F$6&lt;=$D$104),-0.5,0),IF(AND(F49=E$5,F$6&lt;=$D$104),-0.5,0),IF(AND(G49=E$5,F$6&lt;=$D$104),-0.5,0))</f>
        <v/>
      </c>
      <c r="J49" s="416" t="n"/>
      <c r="K49" s="418" t="n"/>
      <c r="L49" s="418" t="n"/>
      <c r="M49" s="418" t="n"/>
      <c r="N49" s="602">
        <f>SUM(IF(J49=J$5,4,0),IF(J49&amp;K49=J$5&amp;K$5,1,0),
IF(AND(J49=J$5,K$6&gt;=$D$115),1,0),
IF(AND(K49=J$5,K$6&gt;=$D$115),1,0),
IF(AND(L49=J$5,K$6&gt;=$D$115),1,0),
IF(J49&amp;M49=N$5,1,0),
IF(K49=J$5,2,0),
IF(L49=J$5,1,0),
IF(OR(J49&amp;K49&amp;L49=J$5&amp;K$5&amp;L$5,J49&amp;K49&amp;L49=J$5&amp;L$5&amp;K$5,J49&amp;K49&amp;L49=K$5&amp;J$5&amp;L$5,J49&amp;K49&amp;L49=K$5&amp;L$5&amp;J$5,J49&amp;K49&amp;L49=L$5&amp;J$5&amp;K$5,J49&amp;K49&amp;L49=L$5&amp;K$5&amp;J$5),2,0),IF(AND(J49=J$5,K$6&gt;=$D$129),1,0),IF(AND(K49=J$5,K$6&gt;=$D$129),1,0),IF(AND(L49=J$5,K$6&gt;=$D$129),1,0),IF(J49&amp;M49=M$5,4,0),IF(AND(J49=J$5,K$6&lt;=$D$104),-0.5,0),IF(AND(K49=J$5,K$6&lt;=$D$104),-0.5,0),IF(AND(L49=J$5,K$6&lt;=$D$104),-0.5,0))</f>
        <v/>
      </c>
      <c r="O49" s="416" t="n"/>
      <c r="P49" s="418" t="n"/>
      <c r="Q49" s="418" t="n"/>
      <c r="R49" s="418" t="n"/>
      <c r="S49" s="602">
        <f>SUM(IF(O49=O$5,4,0),IF(O49&amp;P49=O$5&amp;P$5,1,0),
IF(AND(O49=O$5,P$6&gt;=$D$115),1,0),
IF(AND(P49=O$5,P$6&gt;=$D$115),1,0),
IF(AND(Q49=O$5,P$6&gt;=$D$115),1,0),
IF(O49&amp;R49=S$5,1,0),
IF(P49=O$5,2,0),
IF(Q49=O$5,1,0),
IF(OR(O49&amp;P49&amp;Q49=O$5&amp;P$5&amp;Q$5,O49&amp;P49&amp;Q49=O$5&amp;Q$5&amp;P$5,O49&amp;P49&amp;Q49=P$5&amp;O$5&amp;Q$5,O49&amp;P49&amp;Q49=P$5&amp;Q$5&amp;O$5,O49&amp;P49&amp;Q49=Q$5&amp;O$5&amp;P$5,O49&amp;P49&amp;Q49=Q$5&amp;P$5&amp;O$5),2,0),IF(AND(O49=O$5,P$6&gt;=$D$129),1,0),IF(AND(P49=O$5,P$6&gt;=$D$129),1,0),IF(AND(Q49=O$5,P$6&gt;=$D$129),1,0),IF(O49&amp;R49=R$5,4,0),IF(AND(O49=O$5,P$6&lt;=$D$104),-0.5,0),IF(AND(P49=O$5,P$6&lt;=$D$104),-0.5,0),IF(AND(Q49=O$5,P$6&lt;=$D$104),-0.5,0))</f>
        <v/>
      </c>
      <c r="T49" s="416" t="n"/>
      <c r="U49" s="418" t="n"/>
      <c r="V49" s="418" t="n"/>
      <c r="W49" s="418" t="n"/>
      <c r="X49" s="602">
        <f>SUM(IF(T49=T$5,4,0),IF(T49&amp;U49=T$5&amp;U$5,1,0),
IF(AND(T49=T$5,U$6&gt;=$D$115),1,0),
IF(AND(U49=T$5,U$6&gt;=$D$115),1,0),
IF(AND(V49=T$5,U$6&gt;=$D$115),1,0),
IF(T49&amp;W49=X$5,1,0),
IF(U49=T$5,2,0),
IF(V49=T$5,1,0),
IF(OR(T49&amp;U49&amp;V49=T$5&amp;U$5&amp;V$5,T49&amp;U49&amp;V49=T$5&amp;V$5&amp;U$5,T49&amp;U49&amp;V49=U$5&amp;T$5&amp;V$5,T49&amp;U49&amp;V49=U$5&amp;V$5&amp;T$5,T49&amp;U49&amp;V49=V$5&amp;T$5&amp;U$5,T49&amp;U49&amp;V49=V$5&amp;U$5&amp;T$5),2,0),IF(AND(T49=T$5,U$6&gt;=$D$129),1,0),IF(AND(U49=T$5,U$6&gt;=$D$129),1,0),IF(AND(V49=T$5,U$6&gt;=$D$129),1,0),IF(T49&amp;W49=W$5,4,0),IF(AND(T49=T$5,U$6&lt;=$D$104),-0.5,0),IF(AND(U49=T$5,U$6&lt;=$D$104),-0.5,0),IF(AND(V49=T$5,U$6&lt;=$D$104),-0.5,0))</f>
        <v/>
      </c>
      <c r="Y49" s="416" t="n"/>
      <c r="Z49" s="418" t="n"/>
      <c r="AA49" s="418" t="n"/>
      <c r="AB49" s="418" t="n"/>
      <c r="AC49" s="602">
        <f>SUM(IF(Y49=Y$5,4,0),IF(Y49&amp;Z49=Y$5&amp;Z$5,1,0),
IF(AND(Y49=Y$5,Z$6&gt;=$D$115),1,0),
IF(AND(Z49=Y$5,Z$6&gt;=$D$115),1,0),
IF(AND(AA49=Y$5,Z$6&gt;=$D$115),1,0),
IF(Y49&amp;AB49=AC$5,1,0),
IF(Z49=Y$5,2,0),
IF(AA49=Y$5,1,0),
IF(OR(Y49&amp;Z49&amp;AA49=Y$5&amp;Z$5&amp;AA$5,Y49&amp;Z49&amp;AA49=Y$5&amp;AA$5&amp;Z$5,Y49&amp;Z49&amp;AA49=Z$5&amp;Y$5&amp;AA$5,Y49&amp;Z49&amp;AA49=Z$5&amp;AA$5&amp;Y$5,Y49&amp;Z49&amp;AA49=AA$5&amp;Y$5&amp;Z$5,Y49&amp;Z49&amp;AA49=AA$5&amp;Z$5&amp;Y$5),2,0),IF(AND(Y49=Y$5,Z$6&gt;=$D$129),1,0),IF(AND(Z49=Y$5,Z$6&gt;=$D$129),1,0),IF(AND(AA49=Y$5,Z$6&gt;=$D$129),1,0),IF(Y49&amp;AB49=AB$5,4,0),IF(AND(Y49=Y$5,Z$6&lt;=$D$104),-0.5,0),IF(AND(Z49=Y$5,Z$6&lt;=$D$104),-0.5,0),IF(AND(AA49=Y$5,Z$6&lt;=$D$104),-0.5,0))</f>
        <v/>
      </c>
      <c r="AD49" s="416" t="n"/>
      <c r="AE49" s="418" t="n"/>
      <c r="AF49" s="418" t="n"/>
      <c r="AG49" s="418" t="n"/>
      <c r="AH49" s="602">
        <f>SUM(IF(AD49=AD$5,4,0),IF(AD49&amp;AE49=AD$5&amp;AE$5,1,0),
IF(AND(AD49=AD$5,AE$6&gt;=$D$115),1,0),
IF(AND(AE49=AD$5,AE$6&gt;=$D$115),1,0),
IF(AND(AF49=AD$5,AE$6&gt;=$D$115),1,0),
IF(AD49&amp;AG49=AH$5,1,0),
IF(AE49=AD$5,2,0),
IF(AF49=AD$5,1,0),
IF(OR(AD49&amp;AE49&amp;AF49=AD$5&amp;AE$5&amp;AF$5,AD49&amp;AE49&amp;AF49=AD$5&amp;AF$5&amp;AE$5,AD49&amp;AE49&amp;AF49=AE$5&amp;AD$5&amp;AF$5,AD49&amp;AE49&amp;AF49=AE$5&amp;AF$5&amp;AD$5,AD49&amp;AE49&amp;AF49=AF$5&amp;AD$5&amp;AE$5,AD49&amp;AE49&amp;AF49=AF$5&amp;AE$5&amp;AD$5),2,0),IF(AND(AD49=AD$5,AE$6&gt;=$D$129),1,0),IF(AND(AE49=AD$5,AE$6&gt;=$D$129),1,0),IF(AND(AF49=AD$5,AE$6&gt;=$D$129),1,0),IF(AD49&amp;AG49=AG$5,4,0),IF(AND(AD49=AD$5,AE$6&lt;=$D$104),-0.5,0),IF(AND(AE49=AD$5,AE$6&lt;=$D$104),-0.5,0),IF(AND(AF49=AD$5,AE$6&lt;=$D$104),-0.5,0))</f>
        <v/>
      </c>
      <c r="AI49" s="416" t="n"/>
      <c r="AJ49" s="418" t="n"/>
      <c r="AK49" s="418" t="n"/>
      <c r="AL49" s="418" t="n"/>
      <c r="AM49" s="602">
        <f>SUM(IF(AI49=AI$5,4,0),IF(AI49&amp;AJ49=AI$5&amp;AJ$5,1,0),
IF(AND(AI49=AI$5,AJ$6&gt;=$D$115),1,0),
IF(AND(AJ49=AI$5,AJ$6&gt;=$D$115),1,0),
IF(AND(AK49=AI$5,AJ$6&gt;=$D$115),1,0),
IF(AI49&amp;AL49=AM$5,1,0),
IF(AJ49=AI$5,2,0),
IF(AK49=AI$5,1,0),
IF(OR(AI49&amp;AJ49&amp;AK49=AI$5&amp;AJ$5&amp;AK$5,AI49&amp;AJ49&amp;AK49=AI$5&amp;AK$5&amp;AJ$5,AI49&amp;AJ49&amp;AK49=AJ$5&amp;AI$5&amp;AK$5,AI49&amp;AJ49&amp;AK49=AJ$5&amp;AK$5&amp;AI$5,AI49&amp;AJ49&amp;AK49=AK$5&amp;AI$5&amp;AJ$5,AI49&amp;AJ49&amp;AK49=AK$5&amp;AJ$5&amp;AI$5),2,0),IF(AND(AI49=AI$5,AJ$6&gt;=$D$129),1,0),IF(AND(AJ49=AI$5,AJ$6&gt;=$D$129),1,0),IF(AND(AK49=AI$5,AJ$6&gt;=$D$129),1,0),IF(AI49&amp;AL49=AL$5,4,0),IF(AND(AI49=AI$5,AJ$6&lt;=$D$104),-0.5,0),IF(AND(AJ49=AI$5,AJ$6&lt;=$D$104),-0.5,0),IF(AND(AK49=AI$5,AJ$6&lt;=$D$104),-0.5,0))</f>
        <v/>
      </c>
      <c r="AN49" s="416" t="n"/>
      <c r="AO49" s="418" t="n"/>
      <c r="AP49" s="418" t="n"/>
      <c r="AQ49" s="418" t="n"/>
      <c r="AR49" s="602">
        <f>SUM(IF(AN49=AN$5,4,0),IF(AN49&amp;AO49=AN$5&amp;AO$5,1,0),
IF(AND(AN49=AN$5,AO$6&gt;=$D$115),1,0),
IF(AND(AO49=AN$5,AO$6&gt;=$D$115),1,0),
IF(AND(AP49=AN$5,AO$6&gt;=$D$115),1,0),
IF(AN49&amp;AQ49=AR$5,1,0),
IF(AO49=AN$5,2,0),
IF(AP49=AN$5,1,0),
IF(OR(AN49&amp;AO49&amp;AP49=AN$5&amp;AO$5&amp;AP$5,AN49&amp;AO49&amp;AP49=AN$5&amp;AP$5&amp;AO$5,AN49&amp;AO49&amp;AP49=AO$5&amp;AN$5&amp;AP$5,AN49&amp;AO49&amp;AP49=AO$5&amp;AP$5&amp;AN$5,AN49&amp;AO49&amp;AP49=AP$5&amp;AN$5&amp;AO$5,AN49&amp;AO49&amp;AP49=AP$5&amp;AO$5&amp;AN$5),2,0),IF(AND(AN49=AN$5,AO$6&gt;=$D$129),1,0),IF(AND(AO49=AN$5,AO$6&gt;=$D$129),1,0),IF(AND(AP49=AN$5,AO$6&gt;=$D$129),1,0),IF(AN49&amp;AQ49=AQ$5,4,0),IF(AND(AN49=AN$5,AO$6&lt;=$D$104),-0.5,0),IF(AND(AO49=AN$5,AO$6&lt;=$D$104),-0.5,0),IF(AND(AP49=AN$5,AO$6&lt;=$D$104),-0.5,0))</f>
        <v/>
      </c>
      <c r="AS49" s="416" t="n"/>
      <c r="AT49" s="418" t="n"/>
      <c r="AU49" s="418" t="n"/>
      <c r="AV49" s="418" t="n"/>
      <c r="AW49" s="602">
        <f>SUM(IF(AS49=AS$5,4,0),IF(AS49&amp;AT49=AS$5&amp;AT$5,1,0),
IF(AND(AS49=AS$5,AT$6&gt;=$D$115),1,0),
IF(AND(AT49=AS$5,AT$6&gt;=$D$115),1,0),
IF(AND(AU49=AS$5,AT$6&gt;=$D$115),1,0),
IF(AS49&amp;AV49=AW$5,1,0),
IF(AT49=AS$5,2,0),
IF(AU49=AS$5,1,0),
IF(OR(AS49&amp;AT49&amp;AU49=AS$5&amp;AT$5&amp;AU$5,AS49&amp;AT49&amp;AU49=AS$5&amp;AU$5&amp;AT$5,AS49&amp;AT49&amp;AU49=AT$5&amp;AS$5&amp;AU$5,AS49&amp;AT49&amp;AU49=AT$5&amp;AU$5&amp;AS$5,AS49&amp;AT49&amp;AU49=AU$5&amp;AS$5&amp;AT$5,AS49&amp;AT49&amp;AU49=AU$5&amp;AT$5&amp;AS$5),2,0),IF(AND(AS49=AS$5,AT$6&gt;=$D$129),1,0),IF(AND(AT49=AS$5,AT$6&gt;=$D$129),1,0),IF(AND(AU49=AS$5,AT$6&gt;=$D$129),1,0),IF(AS49&amp;AV49=AV$5,4,0),IF(AND(AS49=AS$5,AT$6&lt;=$D$104),-0.5,0),IF(AND(AT49=AS$5,AT$6&lt;=$D$104),-0.5,0),IF(AND(AU49=AS$5,AT$6&lt;=$D$104),-0.5,0))</f>
        <v/>
      </c>
      <c r="AX49" s="416" t="n"/>
      <c r="AY49" s="418" t="n"/>
      <c r="AZ49" s="418" t="n"/>
      <c r="BA49" s="418" t="n"/>
      <c r="BB49" s="602">
        <f>SUM(IF(AX49=AX$5,4,0),IF(AX49&amp;AY49=AX$5&amp;AY$5,1,0),
IF(AND(AX49=AX$5,AY$6&gt;=$D$115),1,0),
IF(AND(AY49=AX$5,AY$6&gt;=$D$115),1,0),
IF(AND(AZ49=AX$5,AY$6&gt;=$D$115),1,0),
IF(AX49&amp;BA49=BB$5,1,0),
IF(AY49=AX$5,2,0),
IF(AZ49=AX$5,1,0),
IF(OR(AX49&amp;AY49&amp;AZ49=AX$5&amp;AY$5&amp;AZ$5,AX49&amp;AY49&amp;AZ49=AX$5&amp;AZ$5&amp;AY$5,AX49&amp;AY49&amp;AZ49=AY$5&amp;AX$5&amp;AZ$5,AX49&amp;AY49&amp;AZ49=AY$5&amp;AZ$5&amp;AX$5,AX49&amp;AY49&amp;AZ49=AZ$5&amp;AX$5&amp;AY$5,AX49&amp;AY49&amp;AZ49=AZ$5&amp;AY$5&amp;AX$5),2,0),IF(AND(AX49=AX$5,AY$6&gt;=$D$129),1,0),IF(AND(AY49=AX$5,AY$6&gt;=$D$129),1,0),IF(AND(AZ49=AX$5,AY$6&gt;=$D$129),1,0),IF(AX49&amp;BA49=BA$5,4,0),IF(AND(AX49=AX$5,AY$6&lt;=$D$104),-0.5,0),IF(AND(AY49=AX$5,AY$6&lt;=$D$104),-0.5,0),IF(AND(AZ49=AX$5,AY$6&lt;=$D$104),-0.5,0))</f>
        <v/>
      </c>
      <c r="BC49" s="416" t="n"/>
      <c r="BD49" s="418" t="n"/>
      <c r="BE49" s="418" t="n"/>
      <c r="BF49" s="418" t="n"/>
      <c r="BG49" s="602">
        <f>SUM(IF(BC49=BC$5,4,0),IF(BC49&amp;BD49=BC$5&amp;BD$5,1,0),
IF(AND(BC49=BC$5,BD$6&gt;=$D$115),1,0),
IF(AND(BD49=BC$5,BD$6&gt;=$D$115),1,0),
IF(AND(BE49=BC$5,BD$6&gt;=$D$115),1,0),
IF(BC49&amp;BF49=BG$5,1,0),
IF(BD49=BC$5,2,0),
IF(BE49=BC$5,1,0),
IF(OR(BC49&amp;BD49&amp;BE49=BC$5&amp;BD$5&amp;BE$5,BC49&amp;BD49&amp;BE49=BC$5&amp;BE$5&amp;BD$5,BC49&amp;BD49&amp;BE49=BD$5&amp;BC$5&amp;BE$5,BC49&amp;BD49&amp;BE49=BD$5&amp;BE$5&amp;BC$5,BC49&amp;BD49&amp;BE49=BE$5&amp;BC$5&amp;BD$5,BC49&amp;BD49&amp;BE49=BE$5&amp;BD$5&amp;BC$5),2,0),IF(AND(BC49=BC$5,BD$6&gt;=$D$129),1,0),IF(AND(BD49=BC$5,BD$6&gt;=$D$129),1,0),IF(AND(BE49=BC$5,BD$6&gt;=$D$129),1,0),IF(BC49&amp;BF49=BF$5,4,0),IF(AND(BC49=BC$5,BD$6&lt;=$D$104),-0.5,0),IF(AND(BD49=BC$5,BD$6&lt;=$D$104),-0.5,0),IF(AND(BE49=BC$5,BD$6&lt;=$D$104),-0.5,0))</f>
        <v/>
      </c>
      <c r="BH49" s="416" t="n"/>
      <c r="BI49" s="418" t="n"/>
      <c r="BJ49" s="418" t="n"/>
      <c r="BK49" s="418" t="n"/>
      <c r="BL49" s="602">
        <f>SUM(IF(BH49=BH$5,4,0),IF(BH49&amp;BI49=BH$5&amp;BI$5,1,0),
IF(AND(BH49=BH$5,BI$6&gt;=$D$115),1,0),
IF(AND(BI49=BH$5,BI$6&gt;=$D$115),1,0),
IF(AND(BJ49=BH$5,BI$6&gt;=$D$115),1,0),
IF(BH49&amp;BK49=BL$5,1,0),
IF(BI49=BH$5,2,0),
IF(BJ49=BH$5,1,0),
IF(OR(BH49&amp;BI49&amp;BJ49=BH$5&amp;BI$5&amp;BJ$5,BH49&amp;BI49&amp;BJ49=BH$5&amp;BJ$5&amp;BI$5,BH49&amp;BI49&amp;BJ49=BI$5&amp;BH$5&amp;BJ$5,BH49&amp;BI49&amp;BJ49=BI$5&amp;BJ$5&amp;BH$5,BH49&amp;BI49&amp;BJ49=BJ$5&amp;BH$5&amp;BI$5,BH49&amp;BI49&amp;BJ49=BJ$5&amp;BI$5&amp;BH$5),2,0),IF(AND(BH49=BH$5,BI$6&gt;=$D$129),1,0),IF(AND(BI49=BH$5,BI$6&gt;=$D$129),1,0),IF(AND(BJ49=BH$5,BI$6&gt;=$D$129),1,0),IF(BH49&amp;BK49=BK$5,4,0),IF(AND(BH49=BH$5,BI$6&lt;=$D$104),-0.5,0),IF(AND(BI49=BH$5,BI$6&lt;=$D$104),-0.5,0),IF(AND(BJ49=BH$5,BI$6&lt;=$D$104),-0.5,0))</f>
        <v/>
      </c>
      <c r="BM49" s="416" t="n"/>
      <c r="BN49" s="418" t="n"/>
      <c r="BO49" s="418" t="n"/>
      <c r="BP49" s="418" t="n"/>
      <c r="BQ49" s="602">
        <f>SUM(IF(BM49=BM$5,4,0),IF(BM49&amp;BN49=BM$5&amp;BN$5,1,0),
IF(AND(BM49=BM$5,BN$6&gt;=$D$115),1,0),
IF(AND(BN49=BM$5,BN$6&gt;=$D$115),1,0),
IF(AND(BO49=BM$5,BN$6&gt;=$D$115),1,0),
IF(BM49&amp;BP49=BQ$5,1,0),
IF(BN49=BM$5,2,0),
IF(BO49=BM$5,1,0),
IF(OR(BM49&amp;BN49&amp;BO49=BM$5&amp;BN$5&amp;BO$5,BM49&amp;BN49&amp;BO49=BM$5&amp;BO$5&amp;BN$5,BM49&amp;BN49&amp;BO49=BN$5&amp;BM$5&amp;BO$5,BM49&amp;BN49&amp;BO49=BN$5&amp;BO$5&amp;BM$5,BM49&amp;BN49&amp;BO49=BO$5&amp;BM$5&amp;BN$5,BM49&amp;BN49&amp;BO49=BO$5&amp;BN$5&amp;BM$5),2,0),IF(AND(BM49=BM$5,BN$6&gt;=$D$129),1,0),IF(AND(BN49=BM$5,BN$6&gt;=$D$129),1,0),IF(AND(BO49=BM$5,BN$6&gt;=$D$129),1,0),IF(BM49&amp;BP49=BP$5,4,0),IF(AND(BM49=BM$5,BN$6&lt;=$D$104),-0.5,0),IF(AND(BN49=BM$5,BN$6&lt;=$D$104),-0.5,0),IF(AND(BO49=BM$5,BN$6&lt;=$D$104),-0.5,0))</f>
        <v/>
      </c>
      <c r="BR49" s="416" t="n"/>
      <c r="BS49" s="418" t="n"/>
      <c r="BT49" s="418" t="n"/>
      <c r="BU49" s="418" t="n"/>
      <c r="BV49" s="602">
        <f>SUM(IF(BR49=BR$5,4,0),IF(BR49&amp;BS49=BR$5&amp;BS$5,1,0),
IF(AND(BR49=BR$5,BS$6&gt;=$D$115),1,0),
IF(AND(BS49=BR$5,BS$6&gt;=$D$115),1,0),
IF(AND(BT49=BR$5,BS$6&gt;=$D$115),1,0),
IF(BR49&amp;BU49=BV$5,1,0),
IF(BS49=BR$5,2,0),
IF(BT49=BR$5,1,0),
IF(OR(BR49&amp;BS49&amp;BT49=BR$5&amp;BS$5&amp;BT$5,BR49&amp;BS49&amp;BT49=BR$5&amp;BT$5&amp;BS$5,BR49&amp;BS49&amp;BT49=BS$5&amp;BR$5&amp;BT$5,BR49&amp;BS49&amp;BT49=BS$5&amp;BT$5&amp;BR$5,BR49&amp;BS49&amp;BT49=BT$5&amp;BR$5&amp;BS$5,BR49&amp;BS49&amp;BT49=BT$5&amp;BS$5&amp;BR$5),2,0),IF(AND(BR49=BR$5,BS$6&gt;=$D$129),1,0),IF(AND(BS49=BR$5,BS$6&gt;=$D$129),1,0),IF(AND(BT49=BR$5,BS$6&gt;=$D$129),1,0),IF(BR49&amp;BU49=BU$5,4,0),IF(AND(BR49=BR$5,BS$6&lt;=$D$104),-0.5,0),IF(AND(BS49=BR$5,BS$6&lt;=$D$104),-0.5,0),IF(AND(BT49=BR$5,BS$6&lt;=$D$104),-0.5,0))</f>
        <v/>
      </c>
      <c r="BW49" s="416" t="n"/>
      <c r="BX49" s="418" t="n"/>
      <c r="BY49" s="418" t="n"/>
      <c r="BZ49" s="418" t="n"/>
      <c r="CA49" s="602">
        <f>SUM(IF(BW49=BW$5,4,0),IF(BW49&amp;BX49=BW$5&amp;BX$5,1,0),
IF(AND(BW49=BW$5,BX$6&gt;=$D$115),1,0),
IF(AND(BX49=BW$5,BX$6&gt;=$D$115),1,0),
IF(AND(BY49=BW$5,BX$6&gt;=$D$115),1,0),
IF(BW49&amp;BZ49=CA$5,1,0),
IF(BX49=BW$5,2,0),
IF(BY49=BW$5,1,0),
IF(OR(BW49&amp;BX49&amp;BY49=BW$5&amp;BX$5&amp;BY$5,BW49&amp;BX49&amp;BY49=BW$5&amp;BY$5&amp;BX$5,BW49&amp;BX49&amp;BY49=BX$5&amp;BW$5&amp;BY$5,BW49&amp;BX49&amp;BY49=BX$5&amp;BY$5&amp;BW$5,BW49&amp;BX49&amp;BY49=BY$5&amp;BW$5&amp;BX$5,BW49&amp;BX49&amp;BY49=BY$5&amp;BX$5&amp;BW$5),2,0),IF(AND(BW49=BW$5,BX$6&gt;=$D$129),1,0),IF(AND(BX49=BW$5,BX$6&gt;=$D$129),1,0),IF(AND(BY49=BW$5,BX$6&gt;=$D$129),1,0),IF(BW49&amp;BZ49=BZ$5,4,0),IF(AND(BW49=BW$5,BX$6&lt;=$D$104),-0.5,0),IF(AND(BX49=BW$5,BX$6&lt;=$D$104),-0.5,0),IF(AND(BY49=BW$5,BX$6&lt;=$D$104),-0.5,0))</f>
        <v/>
      </c>
      <c r="CB49" s="416" t="n"/>
      <c r="CC49" s="418" t="n"/>
      <c r="CD49" s="418" t="n"/>
      <c r="CE49" s="418" t="n"/>
      <c r="CF49" s="602">
        <f>SUM(IF(CB49=CB$5,4,0),IF(CB49&amp;CC49=CB$5&amp;CC$5,1,0),
IF(AND(CB49=CB$5,CC$6&gt;=$D$115),1,0),
IF(AND(CC49=CB$5,CC$6&gt;=$D$115),1,0),
IF(AND(CD49=CB$5,CC$6&gt;=$D$115),1,0),
IF(CB49&amp;CE49=CF$5,1,0),
IF(CC49=CB$5,2,0),
IF(CD49=CB$5,1,0),
IF(OR(CB49&amp;CC49&amp;CD49=CB$5&amp;CC$5&amp;CD$5,CB49&amp;CC49&amp;CD49=CB$5&amp;CD$5&amp;CC$5,CB49&amp;CC49&amp;CD49=CC$5&amp;CB$5&amp;CD$5,CB49&amp;CC49&amp;CD49=CC$5&amp;CD$5&amp;CB$5,CB49&amp;CC49&amp;CD49=CD$5&amp;CB$5&amp;CC$5,CB49&amp;CC49&amp;CD49=CD$5&amp;CC$5&amp;CB$5),2,0),IF(AND(CB49=CB$5,CC$6&gt;=$D$129),1,0),IF(AND(CC49=CB$5,CC$6&gt;=$D$129),1,0),IF(AND(CD49=CB$5,CC$6&gt;=$D$129),1,0),IF(CB49&amp;CE49=CE$5,4,0),IF(AND(CB49=CB$5,CC$6&lt;=$D$104),-0.5,0),IF(AND(CC49=CB$5,CC$6&lt;=$D$104),-0.5,0),IF(AND(CD49=CB$5,CC$6&lt;=$D$104),-0.5,0))</f>
        <v/>
      </c>
      <c r="CG49" s="164">
        <f>IF(SEMANA29[[#This Row],[1]]="",0,$B$4)</f>
        <v/>
      </c>
      <c r="CH49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49" s="189">
        <f>IF(SEMANA29[[#This Row],[Columna14]]=0,0,(CH49/CG49))</f>
        <v/>
      </c>
      <c r="CJ49" s="165">
        <f>IF(SEMANA29[[#This Row],[1]]="",0,$B$4)</f>
        <v/>
      </c>
      <c r="CK49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49" s="189">
        <f>IF(SEMANA29[[#This Row],[Columna14]]=0,0,(CK49/CJ49))</f>
        <v/>
      </c>
      <c r="CM49" s="164">
        <f>IF(SEMANA29[[#This Row],[1]]="",0,$B$4)</f>
        <v/>
      </c>
      <c r="CN49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49" s="189">
        <f>IF(SEMANA29[[#This Row],[Columna14]]=0,0,(CN49/CM49))</f>
        <v/>
      </c>
      <c r="CP49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49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Row],[Columna25]],$AX$5,BA49,"SF")+COUNTIFS(SEMANA29[[#This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49" s="189">
        <f>IFERROR(IF(SEMANA29[[#This Row],[Columna14]]=0,0,(CQ49/CP49)),0)</f>
        <v/>
      </c>
      <c r="CS49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49" s="95">
        <f>_xlfn.XLOOKUP(SEMANA29[[#This Row],[COD]],SEMANA2[COD],SEMANA2[Columna33])</f>
        <v/>
      </c>
      <c r="CU49" s="604">
        <f>SUM(CS49,CT49)</f>
        <v/>
      </c>
      <c r="CV49" s="450">
        <f>IF(SEMANA29[[#This Row],[TIPO]]="PREMIO",$O$3,"0,00")</f>
        <v/>
      </c>
      <c r="CW49" s="576" t="n"/>
      <c r="CY49" s="392">
        <f>IF(CZ49="","",$CZ$25)</f>
        <v/>
      </c>
      <c r="CZ49" s="392" t="n"/>
      <c r="DA49" s="392">
        <f t="array" ref="DA49">IF(CZ49="", "", IF((INDEX(E$8:CE$57, MATCH(CZ49, C$8:C$57, 0), ($CZ$25-1)*5 + 1) &amp; "") = (INDEX(E$5:CE$5, 1, ($CZ$25-1)*5 + 1) &amp; ""), 1, IF((INDEX(E$8:CE$57, MATCH(CZ49, C$8:C$57, 0), ($CZ$25-1)*5 + 2) &amp; "") = (INDEX(E$5:CE$5, 1, ($CZ$25-1)*5 + 1) &amp; ""), 2, IF((INDEX(E$8:CE$57, MATCH(CZ49, C$8:C$57, 0), ($CZ$25-1)*5 + 3) &amp; "") = (INDEX(E$5:CE$5, 1, ($CZ$25-1)*5 + 1) &amp; ""), 3, ""))))</f>
        <v/>
      </c>
      <c r="DB49" s="605">
        <f>SEMANA29[[#This Row],[COD]]</f>
        <v/>
      </c>
      <c r="DC49" s="395">
        <f t="array" ref="DC49">IFERROR(IF(AND(INDEX($E$8:$CE$57, MATCH($C49, $C$8:$C$57, 0), (COLUMNS($DC49:DC49)-1)*5 + 1) = INDEX($E$5:$CE$5, 1, (COLUMNS($DC49:DC49)-1)*5 + 1), INDEX($E$8:$CE$57, MATCH($C49, $C$8:$C$57, 0), (COLUMNS($DC49:DC49)-1)*5 + 4) = "F"), INDEX($CZ$8:$CZ$23, COLUMNS($DC49:DC49)), "0"), "")</f>
        <v/>
      </c>
      <c r="DD49" s="395">
        <f t="array" ref="DD49">IFERROR(IF(AND(INDEX($E$8:$CE$57, MATCH($C49, $C$8:$C$57, 0), (COLUMNS($DC49:DD49)-1)*5 + 1) = INDEX($E$5:$CE$5, 1, (COLUMNS($DC49:DD49)-1)*5 + 1), INDEX($E$8:$CE$57, MATCH($C49, $C$8:$C$57, 0), (COLUMNS($DC49:DD49)-1)*5 + 4) = "F"), INDEX($CZ$8:$CZ$23, COLUMNS($DC49:DD49)), "0"), "")</f>
        <v/>
      </c>
      <c r="DE49" s="395">
        <f t="array" ref="DE49">IFERROR(IF(AND(INDEX($E$8:$CE$57, MATCH($C49, $C$8:$C$57, 0), (COLUMNS($DC49:DE49)-1)*5 + 1) = INDEX($E$5:$CE$5, 1, (COLUMNS($DC49:DE49)-1)*5 + 1), INDEX($E$8:$CE$57, MATCH($C49, $C$8:$C$57, 0), (COLUMNS($DC49:DE49)-1)*5 + 4) = "F"), INDEX($CZ$8:$CZ$23, COLUMNS($DC49:DE49)), "0"), "")</f>
        <v/>
      </c>
      <c r="DF49" s="395">
        <f t="array" ref="DF49">IFERROR(IF(AND(INDEX($E$8:$CE$57, MATCH($C49, $C$8:$C$57, 0), (COLUMNS($DC49:DF49)-1)*5 + 1) = INDEX($E$5:$CE$5, 1, (COLUMNS($DC49:DF49)-1)*5 + 1), INDEX($E$8:$CE$57, MATCH($C49, $C$8:$C$57, 0), (COLUMNS($DC49:DF49)-1)*5 + 4) = "F"), INDEX($CZ$8:$CZ$23, COLUMNS($DC49:DF49)), "0"), "")</f>
        <v/>
      </c>
      <c r="DG49" s="395">
        <f t="array" ref="DG49">IFERROR(IF(AND(INDEX($E$8:$CE$57, MATCH($C49, $C$8:$C$57, 0), (COLUMNS($DC49:DG49)-1)*5 + 1) = INDEX($E$5:$CE$5, 1, (COLUMNS($DC49:DG49)-1)*5 + 1), INDEX($E$8:$CE$57, MATCH($C49, $C$8:$C$57, 0), (COLUMNS($DC49:DG49)-1)*5 + 4) = "F"), INDEX($CZ$8:$CZ$23, COLUMNS($DC49:DG49)), "0"), "")</f>
        <v/>
      </c>
      <c r="DH49" s="395">
        <f t="array" ref="DH49">IFERROR(IF(AND(INDEX($E$8:$CE$57, MATCH($C49, $C$8:$C$57, 0), (COLUMNS($DC49:DH49)-1)*5 + 1) = INDEX($E$5:$CE$5, 1, (COLUMNS($DC49:DH49)-1)*5 + 1), INDEX($E$8:$CE$57, MATCH($C49, $C$8:$C$57, 0), (COLUMNS($DC49:DH49)-1)*5 + 4) = "F"), INDEX($CZ$8:$CZ$23, COLUMNS($DC49:DH49)), "0"), "")</f>
        <v/>
      </c>
      <c r="DI49" s="395">
        <f t="array" ref="DI49">IFERROR(IF(AND(INDEX($E$8:$CE$57, MATCH($C49, $C$8:$C$57, 0), (COLUMNS($DC49:DI49)-1)*5 + 1) = INDEX($E$5:$CE$5, 1, (COLUMNS($DC49:DI49)-1)*5 + 1), INDEX($E$8:$CE$57, MATCH($C49, $C$8:$C$57, 0), (COLUMNS($DC49:DI49)-1)*5 + 4) = "F"), INDEX($CZ$8:$CZ$23, COLUMNS($DC49:DI49)), "0"), "")</f>
        <v/>
      </c>
      <c r="DJ49" s="395">
        <f t="array" ref="DJ49">IFERROR(IF(AND(INDEX($E$8:$CE$57, MATCH($C49, $C$8:$C$57, 0), (COLUMNS($DC49:DJ49)-1)*5 + 1) = INDEX($E$5:$CE$5, 1, (COLUMNS($DC49:DJ49)-1)*5 + 1), INDEX($E$8:$CE$57, MATCH($C49, $C$8:$C$57, 0), (COLUMNS($DC49:DJ49)-1)*5 + 4) = "F"), INDEX($CZ$8:$CZ$23, COLUMNS($DC49:DJ49)), "0"), "")</f>
        <v/>
      </c>
      <c r="DK49" s="395">
        <f t="array" ref="DK49">IFERROR(IF(AND(INDEX($E$8:$CE$57, MATCH($C49, $C$8:$C$57, 0), (COLUMNS($DC49:DK49)-1)*5 + 1) = INDEX($E$5:$CE$5, 1, (COLUMNS($DC49:DK49)-1)*5 + 1), INDEX($E$8:$CE$57, MATCH($C49, $C$8:$C$57, 0), (COLUMNS($DC49:DK49)-1)*5 + 4) = "F"), INDEX($CZ$8:$CZ$23, COLUMNS($DC49:DK49)), "0"), "")</f>
        <v/>
      </c>
      <c r="DL49" s="395">
        <f t="array" ref="DL49">IFERROR(IF(AND(INDEX($E$8:$CE$57, MATCH($C49, $C$8:$C$57, 0), (COLUMNS($DC49:DL49)-1)*5 + 1) = INDEX($E$5:$CE$5, 1, (COLUMNS($DC49:DL49)-1)*5 + 1), INDEX($E$8:$CE$57, MATCH($C49, $C$8:$C$57, 0), (COLUMNS($DC49:DL49)-1)*5 + 4) = "F"), INDEX($CZ$8:$CZ$23, COLUMNS($DC49:DL49)), "0"), "")</f>
        <v/>
      </c>
      <c r="DM49" s="395">
        <f t="array" ref="DM49">IFERROR(IF(AND(INDEX($E$8:$CE$57, MATCH($C49, $C$8:$C$57, 0), (COLUMNS($DC49:DM49)-1)*5 + 1) = INDEX($E$5:$CE$5, 1, (COLUMNS($DC49:DM49)-1)*5 + 1), INDEX($E$8:$CE$57, MATCH($C49, $C$8:$C$57, 0), (COLUMNS($DC49:DM49)-1)*5 + 4) = "F"), INDEX($CZ$8:$CZ$23, COLUMNS($DC49:DM49)), "0"), "")</f>
        <v/>
      </c>
      <c r="DN49" s="395">
        <f t="array" ref="DN49">IFERROR(IF(AND(INDEX($E$8:$CE$57, MATCH($C49, $C$8:$C$57, 0), (COLUMNS($DC49:DN49)-1)*5 + 1) = INDEX($E$5:$CE$5, 1, (COLUMNS($DC49:DN49)-1)*5 + 1), INDEX($E$8:$CE$57, MATCH($C49, $C$8:$C$57, 0), (COLUMNS($DC49:DN49)-1)*5 + 4) = "F"), INDEX($CZ$8:$CZ$23, COLUMNS($DC49:DN49)), "0"), "")</f>
        <v/>
      </c>
      <c r="DO49" s="395">
        <f t="array" ref="DO49">IFERROR(IF(AND(INDEX($E$8:$CE$57, MATCH($C49, $C$8:$C$57, 0), (COLUMNS($DC49:DO49)-1)*5 + 1) = INDEX($E$5:$CE$5, 1, (COLUMNS($DC49:DO49)-1)*5 + 1), INDEX($E$8:$CE$57, MATCH($C49, $C$8:$C$57, 0), (COLUMNS($DC49:DO49)-1)*5 + 4) = "F"), INDEX($CZ$8:$CZ$23, COLUMNS($DC49:DO49)), "0"), "")</f>
        <v/>
      </c>
      <c r="DP49" s="395">
        <f t="array" ref="DP49">IFERROR(IF(AND(INDEX($E$8:$CE$57, MATCH($C49, $C$8:$C$57, 0), (COLUMNS($DC49:DP49)-1)*5 + 1) = INDEX($E$5:$CE$5, 1, (COLUMNS($DC49:DP49)-1)*5 + 1), INDEX($E$8:$CE$57, MATCH($C49, $C$8:$C$57, 0), (COLUMNS($DC49:DP49)-1)*5 + 4) = "F"), INDEX($CZ$8:$CZ$23, COLUMNS($DC49:DP49)), "0"), "")</f>
        <v/>
      </c>
      <c r="DQ49" s="395">
        <f t="array" ref="DQ49">IFERROR(IF(AND(INDEX($E$8:$CE$57, MATCH($C49, $C$8:$C$57, 0), (COLUMNS($DC49:DQ49)-1)*5 + 1) = INDEX($E$5:$CE$5, 1, (COLUMNS($DC49:DQ49)-1)*5 + 1), INDEX($E$8:$CE$57, MATCH($C49, $C$8:$C$57, 0), (COLUMNS($DC49:DQ49)-1)*5 + 4) = "F"), INDEX($CZ$8:$CZ$23, COLUMNS($DC49:DQ49)), "0"), "")</f>
        <v/>
      </c>
      <c r="DR49" s="395">
        <f t="array" ref="DR49">IFERROR(IF(AND(INDEX($E$8:$CE$57, MATCH($C49, $C$8:$C$57, 0), (COLUMNS($DC49:DR49)-1)*5 + 1) = INDEX($E$5:$CE$5, 1, (COLUMNS($DC49:DR49)-1)*5 + 1), INDEX($E$8:$CE$57, MATCH($C49, $C$8:$C$57, 0), (COLUMNS($DC49:DR49)-1)*5 + 4) = "F"), INDEX($CZ$8:$CZ$23, COLUMNS($DC49:DR49)), "0"), "")</f>
        <v/>
      </c>
      <c r="DT49" s="605">
        <f>SEMANA29[[#This Row],[COD]]</f>
        <v/>
      </c>
      <c r="DU49" s="395">
        <f t="array" ref="DU49">IFERROR(IF(AND(INDEX($E$8:$CE$57, MATCH($C49, $C$8:$C$57, 0), (COLUMNS($DU49:DU49)-1)*5 + 1) = INDEX($E$5:$CE$5, 1, (COLUMNS($DU49:DU49)-1)*5 + 1), INDEX($E$8:$CE$57, MATCH($C49, $C$8:$C$57, 0), (COLUMNS($DU49:DU49)-1)*5 + 4) = "SF"), INDEX($CZ$8:$CZ$23, COLUMNS($DU49:DU49)), "0"), "")</f>
        <v/>
      </c>
      <c r="DV49" s="395">
        <f t="array" ref="DV49">IFERROR(IF(AND(INDEX($E$8:$CE$57, MATCH($C49, $C$8:$C$57, 0), (COLUMNS($DU49:DV49)-1)*5 + 1) = INDEX($E$5:$CE$5, 1, (COLUMNS($DU49:DV49)-1)*5 + 1), INDEX($E$8:$CE$57, MATCH($C49, $C$8:$C$57, 0), (COLUMNS($DU49:DV49)-1)*5 + 4) = "SF"), INDEX($CZ$8:$CZ$23, COLUMNS($DU49:DV49)), "0"), "")</f>
        <v/>
      </c>
      <c r="DW49" s="395">
        <f t="array" ref="DW49">IFERROR(IF(AND(INDEX($E$8:$CE$57, MATCH($C49, $C$8:$C$57, 0), (COLUMNS($DU49:DW49)-1)*5 + 1) = INDEX($E$5:$CE$5, 1, (COLUMNS($DU49:DW49)-1)*5 + 1), INDEX($E$8:$CE$57, MATCH($C49, $C$8:$C$57, 0), (COLUMNS($DU49:DW49)-1)*5 + 4) = "SF"), INDEX($CZ$8:$CZ$23, COLUMNS($DU49:DW49)), "0"), "")</f>
        <v/>
      </c>
      <c r="DX49" s="395">
        <f t="array" ref="DX49">IFERROR(IF(AND(INDEX($E$8:$CE$57, MATCH($C49, $C$8:$C$57, 0), (COLUMNS($DU49:DX49)-1)*5 + 1) = INDEX($E$5:$CE$5, 1, (COLUMNS($DU49:DX49)-1)*5 + 1), INDEX($E$8:$CE$57, MATCH($C49, $C$8:$C$57, 0), (COLUMNS($DU49:DX49)-1)*5 + 4) = "SF"), INDEX($CZ$8:$CZ$23, COLUMNS($DU49:DX49)), "0"), "")</f>
        <v/>
      </c>
      <c r="DY49" s="395">
        <f t="array" ref="DY49">IFERROR(IF(AND(INDEX($E$8:$CE$57, MATCH($C49, $C$8:$C$57, 0), (COLUMNS($DU49:DY49)-1)*5 + 1) = INDEX($E$5:$CE$5, 1, (COLUMNS($DU49:DY49)-1)*5 + 1), INDEX($E$8:$CE$57, MATCH($C49, $C$8:$C$57, 0), (COLUMNS($DU49:DY49)-1)*5 + 4) = "SF"), INDEX($CZ$8:$CZ$23, COLUMNS($DU49:DY49)), "0"), "")</f>
        <v/>
      </c>
      <c r="DZ49" s="395">
        <f t="array" ref="DZ49">IFERROR(IF(AND(INDEX($E$8:$CE$57, MATCH($C49, $C$8:$C$57, 0), (COLUMNS($DU49:DZ49)-1)*5 + 1) = INDEX($E$5:$CE$5, 1, (COLUMNS($DU49:DZ49)-1)*5 + 1), INDEX($E$8:$CE$57, MATCH($C49, $C$8:$C$57, 0), (COLUMNS($DU49:DZ49)-1)*5 + 4) = "SF"), INDEX($CZ$8:$CZ$23, COLUMNS($DU49:DZ49)), "0"), "")</f>
        <v/>
      </c>
      <c r="EA49" s="395">
        <f t="array" ref="EA49">IFERROR(IF(AND(INDEX($E$8:$CE$57, MATCH($C49, $C$8:$C$57, 0), (COLUMNS($DU49:EA49)-1)*5 + 1) = INDEX($E$5:$CE$5, 1, (COLUMNS($DU49:EA49)-1)*5 + 1), INDEX($E$8:$CE$57, MATCH($C49, $C$8:$C$57, 0), (COLUMNS($DU49:EA49)-1)*5 + 4) = "SF"), INDEX($CZ$8:$CZ$23, COLUMNS($DU49:EA49)), "0"), "")</f>
        <v/>
      </c>
      <c r="EB49" s="395">
        <f t="array" ref="EB49">IFERROR(IF(AND(INDEX($E$8:$CE$57, MATCH($C49, $C$8:$C$57, 0), (COLUMNS($DU49:EB49)-1)*5 + 1) = INDEX($E$5:$CE$5, 1, (COLUMNS($DU49:EB49)-1)*5 + 1), INDEX($E$8:$CE$57, MATCH($C49, $C$8:$C$57, 0), (COLUMNS($DU49:EB49)-1)*5 + 4) = "SF"), INDEX($CZ$8:$CZ$23, COLUMNS($DU49:EB49)), "0"), "")</f>
        <v/>
      </c>
      <c r="EC49" s="395">
        <f t="array" ref="EC49">IFERROR(IF(AND(INDEX($E$8:$CE$57, MATCH($C49, $C$8:$C$57, 0), (COLUMNS($DU49:EC49)-1)*5 + 1) = INDEX($E$5:$CE$5, 1, (COLUMNS($DU49:EC49)-1)*5 + 1), INDEX($E$8:$CE$57, MATCH($C49, $C$8:$C$57, 0), (COLUMNS($DU49:EC49)-1)*5 + 4) = "SF"), INDEX($CZ$8:$CZ$23, COLUMNS($DU49:EC49)), "0"), "")</f>
        <v/>
      </c>
      <c r="ED49" s="395">
        <f t="array" ref="ED49">IFERROR(IF(AND(INDEX($E$8:$CE$57, MATCH($C49, $C$8:$C$57, 0), (COLUMNS($DU49:ED49)-1)*5 + 1) = INDEX($E$5:$CE$5, 1, (COLUMNS($DU49:ED49)-1)*5 + 1), INDEX($E$8:$CE$57, MATCH($C49, $C$8:$C$57, 0), (COLUMNS($DU49:ED49)-1)*5 + 4) = "SF"), INDEX($CZ$8:$CZ$23, COLUMNS($DU49:ED49)), "0"), "")</f>
        <v/>
      </c>
      <c r="EE49" s="395">
        <f t="array" ref="EE49">IFERROR(IF(AND(INDEX($E$8:$CE$57, MATCH($C49, $C$8:$C$57, 0), (COLUMNS($DU49:EE49)-1)*5 + 1) = INDEX($E$5:$CE$5, 1, (COLUMNS($DU49:EE49)-1)*5 + 1), INDEX($E$8:$CE$57, MATCH($C49, $C$8:$C$57, 0), (COLUMNS($DU49:EE49)-1)*5 + 4) = "SF"), INDEX($CZ$8:$CZ$23, COLUMNS($DU49:EE49)), "0"), "")</f>
        <v/>
      </c>
      <c r="EF49" s="395">
        <f t="array" ref="EF49">IFERROR(IF(AND(INDEX($E$8:$CE$57, MATCH($C49, $C$8:$C$57, 0), (COLUMNS($DU49:EF49)-1)*5 + 1) = INDEX($E$5:$CE$5, 1, (COLUMNS($DU49:EF49)-1)*5 + 1), INDEX($E$8:$CE$57, MATCH($C49, $C$8:$C$57, 0), (COLUMNS($DU49:EF49)-1)*5 + 4) = "SF"), INDEX($CZ$8:$CZ$23, COLUMNS($DU49:EF49)), "0"), "")</f>
        <v/>
      </c>
      <c r="EG49" s="395">
        <f t="array" ref="EG49">IFERROR(IF(AND(INDEX($E$8:$CE$57, MATCH($C49, $C$8:$C$57, 0), (COLUMNS($DU49:EG49)-1)*5 + 1) = INDEX($E$5:$CE$5, 1, (COLUMNS($DU49:EG49)-1)*5 + 1), INDEX($E$8:$CE$57, MATCH($C49, $C$8:$C$57, 0), (COLUMNS($DU49:EG49)-1)*5 + 4) = "SF"), INDEX($CZ$8:$CZ$23, COLUMNS($DU49:EG49)), "0"), "")</f>
        <v/>
      </c>
      <c r="EH49" s="395">
        <f t="array" ref="EH49">IFERROR(IF(AND(INDEX($E$8:$CE$57, MATCH($C49, $C$8:$C$57, 0), (COLUMNS($DU49:EH49)-1)*5 + 1) = INDEX($E$5:$CE$5, 1, (COLUMNS($DU49:EH49)-1)*5 + 1), INDEX($E$8:$CE$57, MATCH($C49, $C$8:$C$57, 0), (COLUMNS($DU49:EH49)-1)*5 + 4) = "SF"), INDEX($CZ$8:$CZ$23, COLUMNS($DU49:EH49)), "0"), "")</f>
        <v/>
      </c>
      <c r="EI49" s="395">
        <f t="array" ref="EI49">IFERROR(IF(AND(INDEX($E$8:$CE$57, MATCH($C49, $C$8:$C$57, 0), (COLUMNS($DU49:EI49)-1)*5 + 1) = INDEX($E$5:$CE$5, 1, (COLUMNS($DU49:EI49)-1)*5 + 1), INDEX($E$8:$CE$57, MATCH($C49, $C$8:$C$57, 0), (COLUMNS($DU49:EI49)-1)*5 + 4) = "SF"), INDEX($CZ$8:$CZ$23, COLUMNS($DU49:EI49)), "0"), "")</f>
        <v/>
      </c>
      <c r="EJ49" s="395">
        <f t="array" ref="EJ49">IFERROR(IF(AND(INDEX($E$8:$CE$57, MATCH($C49, $C$8:$C$57, 0), (COLUMNS($DU49:EJ49)-1)*5 + 1) = INDEX($E$5:$CE$5, 1, (COLUMNS($DU49:EJ49)-1)*5 + 1), INDEX($E$8:$CE$57, MATCH($C49, $C$8:$C$57, 0), (COLUMNS($DU49:EJ49)-1)*5 + 4) = "SF"), INDEX($CZ$8:$CZ$23, COLUMNS($DU49:EJ49)), "0"), "")</f>
        <v/>
      </c>
    </row>
    <row r="50" ht="20.1" customHeight="1" s="568">
      <c r="A50" s="576" t="n"/>
      <c r="B50" s="449">
        <f>IF(SEMANA29[[#This Row],[COD]]&lt;&gt;"",B49+1,"")</f>
        <v/>
      </c>
      <c r="C50" s="622" t="inlineStr">
        <is>
          <t>COD 43</t>
        </is>
      </c>
      <c r="D50" s="415">
        <f t="array" ref="D50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0" s="416" t="n"/>
      <c r="F50" s="418" t="n"/>
      <c r="G50" s="418" t="n"/>
      <c r="H50" s="418" t="n"/>
      <c r="I50" s="602">
        <f>SUM(IF(E50=E$5,4,0),IF(E50&amp;F50=E$5&amp;F$5,1,0),
IF(AND(E50=E$5,F$6&gt;=$D$115),1,0),
IF(AND(F50=E$5,F$6&gt;=$D$115),1,0),
IF(AND(G50=E$5,F$6&gt;=$D$115),1,0),
IF(E50&amp;H50=I$5,1,0),
IF(F50=E$5,2,0),
IF(G50=E$5,1,0),
IF(OR(E50&amp;F50&amp;G50=E$5&amp;F$5&amp;G$5,E50&amp;F50&amp;G50=E$5&amp;G$5&amp;F$5,E50&amp;F50&amp;G50=F$5&amp;E$5&amp;G$5,E50&amp;F50&amp;G50=F$5&amp;G$5&amp;E$5,E50&amp;F50&amp;G50=G$5&amp;E$5&amp;F$5,E50&amp;F50&amp;G50=G$5&amp;F$5&amp;E$5),2,0),IF(AND(E50=E$5,F$6&gt;=$D$129),1,0),IF(AND(F50=E$5,F$6&gt;=$D$129),1,0),IF(AND(G50=E$5,F$6&gt;=$D$129),1,0),IF(E50&amp;H50=H$5,4,0),IF(AND(E50=E$5,F$6&lt;=$D$104),-0.5,0),IF(AND(F50=E$5,F$6&lt;=$D$104),-0.5,0),IF(AND(G50=E$5,F$6&lt;=$D$104),-0.5,0))</f>
        <v/>
      </c>
      <c r="J50" s="416" t="n"/>
      <c r="K50" s="418" t="n"/>
      <c r="L50" s="418" t="n"/>
      <c r="M50" s="418" t="n"/>
      <c r="N50" s="602">
        <f>SUM(IF(J50=J$5,4,0),IF(J50&amp;K50=J$5&amp;K$5,1,0),
IF(AND(J50=J$5,K$6&gt;=$D$115),1,0),
IF(AND(K50=J$5,K$6&gt;=$D$115),1,0),
IF(AND(L50=J$5,K$6&gt;=$D$115),1,0),
IF(J50&amp;M50=N$5,1,0),
IF(K50=J$5,2,0),
IF(L50=J$5,1,0),
IF(OR(J50&amp;K50&amp;L50=J$5&amp;K$5&amp;L$5,J50&amp;K50&amp;L50=J$5&amp;L$5&amp;K$5,J50&amp;K50&amp;L50=K$5&amp;J$5&amp;L$5,J50&amp;K50&amp;L50=K$5&amp;L$5&amp;J$5,J50&amp;K50&amp;L50=L$5&amp;J$5&amp;K$5,J50&amp;K50&amp;L50=L$5&amp;K$5&amp;J$5),2,0),IF(AND(J50=J$5,K$6&gt;=$D$129),1,0),IF(AND(K50=J$5,K$6&gt;=$D$129),1,0),IF(AND(L50=J$5,K$6&gt;=$D$129),1,0),IF(J50&amp;M50=M$5,4,0),IF(AND(J50=J$5,K$6&lt;=$D$104),-0.5,0),IF(AND(K50=J$5,K$6&lt;=$D$104),-0.5,0),IF(AND(L50=J$5,K$6&lt;=$D$104),-0.5,0))</f>
        <v/>
      </c>
      <c r="O50" s="416" t="n"/>
      <c r="P50" s="418" t="n"/>
      <c r="Q50" s="418" t="n"/>
      <c r="R50" s="418" t="n"/>
      <c r="S50" s="602">
        <f>SUM(IF(O50=O$5,4,0),IF(O50&amp;P50=O$5&amp;P$5,1,0),
IF(AND(O50=O$5,P$6&gt;=$D$115),1,0),
IF(AND(P50=O$5,P$6&gt;=$D$115),1,0),
IF(AND(Q50=O$5,P$6&gt;=$D$115),1,0),
IF(O50&amp;R50=S$5,1,0),
IF(P50=O$5,2,0),
IF(Q50=O$5,1,0),
IF(OR(O50&amp;P50&amp;Q50=O$5&amp;P$5&amp;Q$5,O50&amp;P50&amp;Q50=O$5&amp;Q$5&amp;P$5,O50&amp;P50&amp;Q50=P$5&amp;O$5&amp;Q$5,O50&amp;P50&amp;Q50=P$5&amp;Q$5&amp;O$5,O50&amp;P50&amp;Q50=Q$5&amp;O$5&amp;P$5,O50&amp;P50&amp;Q50=Q$5&amp;P$5&amp;O$5),2,0),IF(AND(O50=O$5,P$6&gt;=$D$129),1,0),IF(AND(P50=O$5,P$6&gt;=$D$129),1,0),IF(AND(Q50=O$5,P$6&gt;=$D$129),1,0),IF(O50&amp;R50=R$5,4,0),IF(AND(O50=O$5,P$6&lt;=$D$104),-0.5,0),IF(AND(P50=O$5,P$6&lt;=$D$104),-0.5,0),IF(AND(Q50=O$5,P$6&lt;=$D$104),-0.5,0))</f>
        <v/>
      </c>
      <c r="T50" s="416" t="n"/>
      <c r="U50" s="418" t="n"/>
      <c r="V50" s="418" t="n"/>
      <c r="W50" s="418" t="n"/>
      <c r="X50" s="602">
        <f>SUM(IF(T50=T$5,4,0),IF(T50&amp;U50=T$5&amp;U$5,1,0),
IF(AND(T50=T$5,U$6&gt;=$D$115),1,0),
IF(AND(U50=T$5,U$6&gt;=$D$115),1,0),
IF(AND(V50=T$5,U$6&gt;=$D$115),1,0),
IF(T50&amp;W50=X$5,1,0),
IF(U50=T$5,2,0),
IF(V50=T$5,1,0),
IF(OR(T50&amp;U50&amp;V50=T$5&amp;U$5&amp;V$5,T50&amp;U50&amp;V50=T$5&amp;V$5&amp;U$5,T50&amp;U50&amp;V50=U$5&amp;T$5&amp;V$5,T50&amp;U50&amp;V50=U$5&amp;V$5&amp;T$5,T50&amp;U50&amp;V50=V$5&amp;T$5&amp;U$5,T50&amp;U50&amp;V50=V$5&amp;U$5&amp;T$5),2,0),IF(AND(T50=T$5,U$6&gt;=$D$129),1,0),IF(AND(U50=T$5,U$6&gt;=$D$129),1,0),IF(AND(V50=T$5,U$6&gt;=$D$129),1,0),IF(T50&amp;W50=W$5,4,0),IF(AND(T50=T$5,U$6&lt;=$D$104),-0.5,0),IF(AND(U50=T$5,U$6&lt;=$D$104),-0.5,0),IF(AND(V50=T$5,U$6&lt;=$D$104),-0.5,0))</f>
        <v/>
      </c>
      <c r="Y50" s="416" t="n"/>
      <c r="Z50" s="418" t="n"/>
      <c r="AA50" s="418" t="n"/>
      <c r="AB50" s="418" t="n"/>
      <c r="AC50" s="602">
        <f>SUM(IF(Y50=Y$5,4,0),IF(Y50&amp;Z50=Y$5&amp;Z$5,1,0),
IF(AND(Y50=Y$5,Z$6&gt;=$D$115),1,0),
IF(AND(Z50=Y$5,Z$6&gt;=$D$115),1,0),
IF(AND(AA50=Y$5,Z$6&gt;=$D$115),1,0),
IF(Y50&amp;AB50=AC$5,1,0),
IF(Z50=Y$5,2,0),
IF(AA50=Y$5,1,0),
IF(OR(Y50&amp;Z50&amp;AA50=Y$5&amp;Z$5&amp;AA$5,Y50&amp;Z50&amp;AA50=Y$5&amp;AA$5&amp;Z$5,Y50&amp;Z50&amp;AA50=Z$5&amp;Y$5&amp;AA$5,Y50&amp;Z50&amp;AA50=Z$5&amp;AA$5&amp;Y$5,Y50&amp;Z50&amp;AA50=AA$5&amp;Y$5&amp;Z$5,Y50&amp;Z50&amp;AA50=AA$5&amp;Z$5&amp;Y$5),2,0),IF(AND(Y50=Y$5,Z$6&gt;=$D$129),1,0),IF(AND(Z50=Y$5,Z$6&gt;=$D$129),1,0),IF(AND(AA50=Y$5,Z$6&gt;=$D$129),1,0),IF(Y50&amp;AB50=AB$5,4,0),IF(AND(Y50=Y$5,Z$6&lt;=$D$104),-0.5,0),IF(AND(Z50=Y$5,Z$6&lt;=$D$104),-0.5,0),IF(AND(AA50=Y$5,Z$6&lt;=$D$104),-0.5,0))</f>
        <v/>
      </c>
      <c r="AD50" s="416" t="n"/>
      <c r="AE50" s="418" t="n"/>
      <c r="AF50" s="418" t="n"/>
      <c r="AG50" s="418" t="n"/>
      <c r="AH50" s="602">
        <f>SUM(IF(AD50=AD$5,4,0),IF(AD50&amp;AE50=AD$5&amp;AE$5,1,0),
IF(AND(AD50=AD$5,AE$6&gt;=$D$115),1,0),
IF(AND(AE50=AD$5,AE$6&gt;=$D$115),1,0),
IF(AND(AF50=AD$5,AE$6&gt;=$D$115),1,0),
IF(AD50&amp;AG50=AH$5,1,0),
IF(AE50=AD$5,2,0),
IF(AF50=AD$5,1,0),
IF(OR(AD50&amp;AE50&amp;AF50=AD$5&amp;AE$5&amp;AF$5,AD50&amp;AE50&amp;AF50=AD$5&amp;AF$5&amp;AE$5,AD50&amp;AE50&amp;AF50=AE$5&amp;AD$5&amp;AF$5,AD50&amp;AE50&amp;AF50=AE$5&amp;AF$5&amp;AD$5,AD50&amp;AE50&amp;AF50=AF$5&amp;AD$5&amp;AE$5,AD50&amp;AE50&amp;AF50=AF$5&amp;AE$5&amp;AD$5),2,0),IF(AND(AD50=AD$5,AE$6&gt;=$D$129),1,0),IF(AND(AE50=AD$5,AE$6&gt;=$D$129),1,0),IF(AND(AF50=AD$5,AE$6&gt;=$D$129),1,0),IF(AD50&amp;AG50=AG$5,4,0),IF(AND(AD50=AD$5,AE$6&lt;=$D$104),-0.5,0),IF(AND(AE50=AD$5,AE$6&lt;=$D$104),-0.5,0),IF(AND(AF50=AD$5,AE$6&lt;=$D$104),-0.5,0))</f>
        <v/>
      </c>
      <c r="AI50" s="416" t="n"/>
      <c r="AJ50" s="418" t="n"/>
      <c r="AK50" s="418" t="n"/>
      <c r="AL50" s="418" t="n"/>
      <c r="AM50" s="602">
        <f>SUM(IF(AI50=AI$5,4,0),IF(AI50&amp;AJ50=AI$5&amp;AJ$5,1,0),
IF(AND(AI50=AI$5,AJ$6&gt;=$D$115),1,0),
IF(AND(AJ50=AI$5,AJ$6&gt;=$D$115),1,0),
IF(AND(AK50=AI$5,AJ$6&gt;=$D$115),1,0),
IF(AI50&amp;AL50=AM$5,1,0),
IF(AJ50=AI$5,2,0),
IF(AK50=AI$5,1,0),
IF(OR(AI50&amp;AJ50&amp;AK50=AI$5&amp;AJ$5&amp;AK$5,AI50&amp;AJ50&amp;AK50=AI$5&amp;AK$5&amp;AJ$5,AI50&amp;AJ50&amp;AK50=AJ$5&amp;AI$5&amp;AK$5,AI50&amp;AJ50&amp;AK50=AJ$5&amp;AK$5&amp;AI$5,AI50&amp;AJ50&amp;AK50=AK$5&amp;AI$5&amp;AJ$5,AI50&amp;AJ50&amp;AK50=AK$5&amp;AJ$5&amp;AI$5),2,0),IF(AND(AI50=AI$5,AJ$6&gt;=$D$129),1,0),IF(AND(AJ50=AI$5,AJ$6&gt;=$D$129),1,0),IF(AND(AK50=AI$5,AJ$6&gt;=$D$129),1,0),IF(AI50&amp;AL50=AL$5,4,0),IF(AND(AI50=AI$5,AJ$6&lt;=$D$104),-0.5,0),IF(AND(AJ50=AI$5,AJ$6&lt;=$D$104),-0.5,0),IF(AND(AK50=AI$5,AJ$6&lt;=$D$104),-0.5,0))</f>
        <v/>
      </c>
      <c r="AN50" s="416" t="n"/>
      <c r="AO50" s="418" t="n"/>
      <c r="AP50" s="418" t="n"/>
      <c r="AQ50" s="418" t="n"/>
      <c r="AR50" s="602">
        <f>SUM(IF(AN50=AN$5,4,0),IF(AN50&amp;AO50=AN$5&amp;AO$5,1,0),
IF(AND(AN50=AN$5,AO$6&gt;=$D$115),1,0),
IF(AND(AO50=AN$5,AO$6&gt;=$D$115),1,0),
IF(AND(AP50=AN$5,AO$6&gt;=$D$115),1,0),
IF(AN50&amp;AQ50=AR$5,1,0),
IF(AO50=AN$5,2,0),
IF(AP50=AN$5,1,0),
IF(OR(AN50&amp;AO50&amp;AP50=AN$5&amp;AO$5&amp;AP$5,AN50&amp;AO50&amp;AP50=AN$5&amp;AP$5&amp;AO$5,AN50&amp;AO50&amp;AP50=AO$5&amp;AN$5&amp;AP$5,AN50&amp;AO50&amp;AP50=AO$5&amp;AP$5&amp;AN$5,AN50&amp;AO50&amp;AP50=AP$5&amp;AN$5&amp;AO$5,AN50&amp;AO50&amp;AP50=AP$5&amp;AO$5&amp;AN$5),2,0),IF(AND(AN50=AN$5,AO$6&gt;=$D$129),1,0),IF(AND(AO50=AN$5,AO$6&gt;=$D$129),1,0),IF(AND(AP50=AN$5,AO$6&gt;=$D$129),1,0),IF(AN50&amp;AQ50=AQ$5,4,0),IF(AND(AN50=AN$5,AO$6&lt;=$D$104),-0.5,0),IF(AND(AO50=AN$5,AO$6&lt;=$D$104),-0.5,0),IF(AND(AP50=AN$5,AO$6&lt;=$D$104),-0.5,0))</f>
        <v/>
      </c>
      <c r="AS50" s="416" t="n"/>
      <c r="AT50" s="418" t="n"/>
      <c r="AU50" s="418" t="n"/>
      <c r="AV50" s="418" t="n"/>
      <c r="AW50" s="602">
        <f>SUM(IF(AS50=AS$5,4,0),IF(AS50&amp;AT50=AS$5&amp;AT$5,1,0),
IF(AND(AS50=AS$5,AT$6&gt;=$D$115),1,0),
IF(AND(AT50=AS$5,AT$6&gt;=$D$115),1,0),
IF(AND(AU50=AS$5,AT$6&gt;=$D$115),1,0),
IF(AS50&amp;AV50=AW$5,1,0),
IF(AT50=AS$5,2,0),
IF(AU50=AS$5,1,0),
IF(OR(AS50&amp;AT50&amp;AU50=AS$5&amp;AT$5&amp;AU$5,AS50&amp;AT50&amp;AU50=AS$5&amp;AU$5&amp;AT$5,AS50&amp;AT50&amp;AU50=AT$5&amp;AS$5&amp;AU$5,AS50&amp;AT50&amp;AU50=AT$5&amp;AU$5&amp;AS$5,AS50&amp;AT50&amp;AU50=AU$5&amp;AS$5&amp;AT$5,AS50&amp;AT50&amp;AU50=AU$5&amp;AT$5&amp;AS$5),2,0),IF(AND(AS50=AS$5,AT$6&gt;=$D$129),1,0),IF(AND(AT50=AS$5,AT$6&gt;=$D$129),1,0),IF(AND(AU50=AS$5,AT$6&gt;=$D$129),1,0),IF(AS50&amp;AV50=AV$5,4,0),IF(AND(AS50=AS$5,AT$6&lt;=$D$104),-0.5,0),IF(AND(AT50=AS$5,AT$6&lt;=$D$104),-0.5,0),IF(AND(AU50=AS$5,AT$6&lt;=$D$104),-0.5,0))</f>
        <v/>
      </c>
      <c r="AX50" s="416" t="n"/>
      <c r="AY50" s="418" t="n"/>
      <c r="AZ50" s="418" t="n"/>
      <c r="BA50" s="418" t="n"/>
      <c r="BB50" s="602">
        <f>SUM(IF(AX50=AX$5,4,0),IF(AX50&amp;AY50=AX$5&amp;AY$5,1,0),
IF(AND(AX50=AX$5,AY$6&gt;=$D$115),1,0),
IF(AND(AY50=AX$5,AY$6&gt;=$D$115),1,0),
IF(AND(AZ50=AX$5,AY$6&gt;=$D$115),1,0),
IF(AX50&amp;BA50=BB$5,1,0),
IF(AY50=AX$5,2,0),
IF(AZ50=AX$5,1,0),
IF(OR(AX50&amp;AY50&amp;AZ50=AX$5&amp;AY$5&amp;AZ$5,AX50&amp;AY50&amp;AZ50=AX$5&amp;AZ$5&amp;AY$5,AX50&amp;AY50&amp;AZ50=AY$5&amp;AX$5&amp;AZ$5,AX50&amp;AY50&amp;AZ50=AY$5&amp;AZ$5&amp;AX$5,AX50&amp;AY50&amp;AZ50=AZ$5&amp;AX$5&amp;AY$5,AX50&amp;AY50&amp;AZ50=AZ$5&amp;AY$5&amp;AX$5),2,0),IF(AND(AX50=AX$5,AY$6&gt;=$D$129),1,0),IF(AND(AY50=AX$5,AY$6&gt;=$D$129),1,0),IF(AND(AZ50=AX$5,AY$6&gt;=$D$129),1,0),IF(AX50&amp;BA50=BA$5,4,0),IF(AND(AX50=AX$5,AY$6&lt;=$D$104),-0.5,0),IF(AND(AY50=AX$5,AY$6&lt;=$D$104),-0.5,0),IF(AND(AZ50=AX$5,AY$6&lt;=$D$104),-0.5,0))</f>
        <v/>
      </c>
      <c r="BC50" s="416" t="n"/>
      <c r="BD50" s="418" t="n"/>
      <c r="BE50" s="418" t="n"/>
      <c r="BF50" s="418" t="n"/>
      <c r="BG50" s="602">
        <f>SUM(IF(BC50=BC$5,4,0),IF(BC50&amp;BD50=BC$5&amp;BD$5,1,0),
IF(AND(BC50=BC$5,BD$6&gt;=$D$115),1,0),
IF(AND(BD50=BC$5,BD$6&gt;=$D$115),1,0),
IF(AND(BE50=BC$5,BD$6&gt;=$D$115),1,0),
IF(BC50&amp;BF50=BG$5,1,0),
IF(BD50=BC$5,2,0),
IF(BE50=BC$5,1,0),
IF(OR(BC50&amp;BD50&amp;BE50=BC$5&amp;BD$5&amp;BE$5,BC50&amp;BD50&amp;BE50=BC$5&amp;BE$5&amp;BD$5,BC50&amp;BD50&amp;BE50=BD$5&amp;BC$5&amp;BE$5,BC50&amp;BD50&amp;BE50=BD$5&amp;BE$5&amp;BC$5,BC50&amp;BD50&amp;BE50=BE$5&amp;BC$5&amp;BD$5,BC50&amp;BD50&amp;BE50=BE$5&amp;BD$5&amp;BC$5),2,0),IF(AND(BC50=BC$5,BD$6&gt;=$D$129),1,0),IF(AND(BD50=BC$5,BD$6&gt;=$D$129),1,0),IF(AND(BE50=BC$5,BD$6&gt;=$D$129),1,0),IF(BC50&amp;BF50=BF$5,4,0),IF(AND(BC50=BC$5,BD$6&lt;=$D$104),-0.5,0),IF(AND(BD50=BC$5,BD$6&lt;=$D$104),-0.5,0),IF(AND(BE50=BC$5,BD$6&lt;=$D$104),-0.5,0))</f>
        <v/>
      </c>
      <c r="BH50" s="416" t="n"/>
      <c r="BI50" s="418" t="n"/>
      <c r="BJ50" s="418" t="n"/>
      <c r="BK50" s="418" t="n"/>
      <c r="BL50" s="602">
        <f>SUM(IF(BH50=BH$5,4,0),IF(BH50&amp;BI50=BH$5&amp;BI$5,1,0),
IF(AND(BH50=BH$5,BI$6&gt;=$D$115),1,0),
IF(AND(BI50=BH$5,BI$6&gt;=$D$115),1,0),
IF(AND(BJ50=BH$5,BI$6&gt;=$D$115),1,0),
IF(BH50&amp;BK50=BL$5,1,0),
IF(BI50=BH$5,2,0),
IF(BJ50=BH$5,1,0),
IF(OR(BH50&amp;BI50&amp;BJ50=BH$5&amp;BI$5&amp;BJ$5,BH50&amp;BI50&amp;BJ50=BH$5&amp;BJ$5&amp;BI$5,BH50&amp;BI50&amp;BJ50=BI$5&amp;BH$5&amp;BJ$5,BH50&amp;BI50&amp;BJ50=BI$5&amp;BJ$5&amp;BH$5,BH50&amp;BI50&amp;BJ50=BJ$5&amp;BH$5&amp;BI$5,BH50&amp;BI50&amp;BJ50=BJ$5&amp;BI$5&amp;BH$5),2,0),IF(AND(BH50=BH$5,BI$6&gt;=$D$129),1,0),IF(AND(BI50=BH$5,BI$6&gt;=$D$129),1,0),IF(AND(BJ50=BH$5,BI$6&gt;=$D$129),1,0),IF(BH50&amp;BK50=BK$5,4,0),IF(AND(BH50=BH$5,BI$6&lt;=$D$104),-0.5,0),IF(AND(BI50=BH$5,BI$6&lt;=$D$104),-0.5,0),IF(AND(BJ50=BH$5,BI$6&lt;=$D$104),-0.5,0))</f>
        <v/>
      </c>
      <c r="BM50" s="416" t="n"/>
      <c r="BN50" s="418" t="n"/>
      <c r="BO50" s="418" t="n"/>
      <c r="BP50" s="418" t="n"/>
      <c r="BQ50" s="602">
        <f>SUM(IF(BM50=BM$5,4,0),IF(BM50&amp;BN50=BM$5&amp;BN$5,1,0),
IF(AND(BM50=BM$5,BN$6&gt;=$D$115),1,0),
IF(AND(BN50=BM$5,BN$6&gt;=$D$115),1,0),
IF(AND(BO50=BM$5,BN$6&gt;=$D$115),1,0),
IF(BM50&amp;BP50=BQ$5,1,0),
IF(BN50=BM$5,2,0),
IF(BO50=BM$5,1,0),
IF(OR(BM50&amp;BN50&amp;BO50=BM$5&amp;BN$5&amp;BO$5,BM50&amp;BN50&amp;BO50=BM$5&amp;BO$5&amp;BN$5,BM50&amp;BN50&amp;BO50=BN$5&amp;BM$5&amp;BO$5,BM50&amp;BN50&amp;BO50=BN$5&amp;BO$5&amp;BM$5,BM50&amp;BN50&amp;BO50=BO$5&amp;BM$5&amp;BN$5,BM50&amp;BN50&amp;BO50=BO$5&amp;BN$5&amp;BM$5),2,0),IF(AND(BM50=BM$5,BN$6&gt;=$D$129),1,0),IF(AND(BN50=BM$5,BN$6&gt;=$D$129),1,0),IF(AND(BO50=BM$5,BN$6&gt;=$D$129),1,0),IF(BM50&amp;BP50=BP$5,4,0),IF(AND(BM50=BM$5,BN$6&lt;=$D$104),-0.5,0),IF(AND(BN50=BM$5,BN$6&lt;=$D$104),-0.5,0),IF(AND(BO50=BM$5,BN$6&lt;=$D$104),-0.5,0))</f>
        <v/>
      </c>
      <c r="BR50" s="416" t="n"/>
      <c r="BS50" s="418" t="n"/>
      <c r="BT50" s="418" t="n"/>
      <c r="BU50" s="418" t="n"/>
      <c r="BV50" s="602">
        <f>SUM(IF(BR50=BR$5,4,0),IF(BR50&amp;BS50=BR$5&amp;BS$5,1,0),
IF(AND(BR50=BR$5,BS$6&gt;=$D$115),1,0),
IF(AND(BS50=BR$5,BS$6&gt;=$D$115),1,0),
IF(AND(BT50=BR$5,BS$6&gt;=$D$115),1,0),
IF(BR50&amp;BU50=BV$5,1,0),
IF(BS50=BR$5,2,0),
IF(BT50=BR$5,1,0),
IF(OR(BR50&amp;BS50&amp;BT50=BR$5&amp;BS$5&amp;BT$5,BR50&amp;BS50&amp;BT50=BR$5&amp;BT$5&amp;BS$5,BR50&amp;BS50&amp;BT50=BS$5&amp;BR$5&amp;BT$5,BR50&amp;BS50&amp;BT50=BS$5&amp;BT$5&amp;BR$5,BR50&amp;BS50&amp;BT50=BT$5&amp;BR$5&amp;BS$5,BR50&amp;BS50&amp;BT50=BT$5&amp;BS$5&amp;BR$5),2,0),IF(AND(BR50=BR$5,BS$6&gt;=$D$129),1,0),IF(AND(BS50=BR$5,BS$6&gt;=$D$129),1,0),IF(AND(BT50=BR$5,BS$6&gt;=$D$129),1,0),IF(BR50&amp;BU50=BU$5,4,0),IF(AND(BR50=BR$5,BS$6&lt;=$D$104),-0.5,0),IF(AND(BS50=BR$5,BS$6&lt;=$D$104),-0.5,0),IF(AND(BT50=BR$5,BS$6&lt;=$D$104),-0.5,0))</f>
        <v/>
      </c>
      <c r="BW50" s="416" t="n"/>
      <c r="BX50" s="418" t="n"/>
      <c r="BY50" s="418" t="n"/>
      <c r="BZ50" s="418" t="n"/>
      <c r="CA50" s="602">
        <f>SUM(IF(BW50=BW$5,4,0),IF(BW50&amp;BX50=BW$5&amp;BX$5,1,0),
IF(AND(BW50=BW$5,BX$6&gt;=$D$115),1,0),
IF(AND(BX50=BW$5,BX$6&gt;=$D$115),1,0),
IF(AND(BY50=BW$5,BX$6&gt;=$D$115),1,0),
IF(BW50&amp;BZ50=CA$5,1,0),
IF(BX50=BW$5,2,0),
IF(BY50=BW$5,1,0),
IF(OR(BW50&amp;BX50&amp;BY50=BW$5&amp;BX$5&amp;BY$5,BW50&amp;BX50&amp;BY50=BW$5&amp;BY$5&amp;BX$5,BW50&amp;BX50&amp;BY50=BX$5&amp;BW$5&amp;BY$5,BW50&amp;BX50&amp;BY50=BX$5&amp;BY$5&amp;BW$5,BW50&amp;BX50&amp;BY50=BY$5&amp;BW$5&amp;BX$5,BW50&amp;BX50&amp;BY50=BY$5&amp;BX$5&amp;BW$5),2,0),IF(AND(BW50=BW$5,BX$6&gt;=$D$129),1,0),IF(AND(BX50=BW$5,BX$6&gt;=$D$129),1,0),IF(AND(BY50=BW$5,BX$6&gt;=$D$129),1,0),IF(BW50&amp;BZ50=BZ$5,4,0),IF(AND(BW50=BW$5,BX$6&lt;=$D$104),-0.5,0),IF(AND(BX50=BW$5,BX$6&lt;=$D$104),-0.5,0),IF(AND(BY50=BW$5,BX$6&lt;=$D$104),-0.5,0))</f>
        <v/>
      </c>
      <c r="CB50" s="416" t="n"/>
      <c r="CC50" s="418" t="n"/>
      <c r="CD50" s="418" t="n"/>
      <c r="CE50" s="418" t="n"/>
      <c r="CF50" s="602">
        <f>SUM(IF(CB50=CB$5,4,0),IF(CB50&amp;CC50=CB$5&amp;CC$5,1,0),
IF(AND(CB50=CB$5,CC$6&gt;=$D$115),1,0),
IF(AND(CC50=CB$5,CC$6&gt;=$D$115),1,0),
IF(AND(CD50=CB$5,CC$6&gt;=$D$115),1,0),
IF(CB50&amp;CE50=CF$5,1,0),
IF(CC50=CB$5,2,0),
IF(CD50=CB$5,1,0),
IF(OR(CB50&amp;CC50&amp;CD50=CB$5&amp;CC$5&amp;CD$5,CB50&amp;CC50&amp;CD50=CB$5&amp;CD$5&amp;CC$5,CB50&amp;CC50&amp;CD50=CC$5&amp;CB$5&amp;CD$5,CB50&amp;CC50&amp;CD50=CC$5&amp;CD$5&amp;CB$5,CB50&amp;CC50&amp;CD50=CD$5&amp;CB$5&amp;CC$5,CB50&amp;CC50&amp;CD50=CD$5&amp;CC$5&amp;CB$5),2,0),IF(AND(CB50=CB$5,CC$6&gt;=$D$129),1,0),IF(AND(CC50=CB$5,CC$6&gt;=$D$129),1,0),IF(AND(CD50=CB$5,CC$6&gt;=$D$129),1,0),IF(CB50&amp;CE50=CE$5,4,0),IF(AND(CB50=CB$5,CC$6&lt;=$D$104),-0.5,0),IF(AND(CC50=CB$5,CC$6&lt;=$D$104),-0.5,0),IF(AND(CD50=CB$5,CC$6&lt;=$D$104),-0.5,0))</f>
        <v/>
      </c>
      <c r="CG50" s="164">
        <f>IF(SEMANA29[[#This Row],[1]]="",0,$B$4)</f>
        <v/>
      </c>
      <c r="CH50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0" s="189">
        <f>IF(SEMANA29[[#This Row],[Columna14]]=0,0,(CH50/CG50))</f>
        <v/>
      </c>
      <c r="CJ50" s="165">
        <f>IF(SEMANA29[[#This Row],[1]]="",0,$B$4)</f>
        <v/>
      </c>
      <c r="CK50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0" s="189">
        <f>IF(SEMANA29[[#This Row],[Columna14]]=0,0,(CK50/CJ50))</f>
        <v/>
      </c>
      <c r="CM50" s="164">
        <f>IF(SEMANA29[[#This Row],[1]]="",0,$B$4)</f>
        <v/>
      </c>
      <c r="CN50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0" s="189">
        <f>IF(SEMANA29[[#This Row],[Columna14]]=0,0,(CN50/CM50))</f>
        <v/>
      </c>
      <c r="CP50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0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Row],[Columna25]],$AX$5,BA50,"SF")+COUNTIFS(SEMANA29[[#This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0" s="189">
        <f>IFERROR(IF(SEMANA29[[#This Row],[Columna14]]=0,0,(CQ50/CP50)),0)</f>
        <v/>
      </c>
      <c r="CS50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0" s="95">
        <f>_xlfn.XLOOKUP(SEMANA29[[#This Row],[COD]],SEMANA2[COD],SEMANA2[Columna33])</f>
        <v/>
      </c>
      <c r="CU50" s="604">
        <f>SUM(CS50,CT50)</f>
        <v/>
      </c>
      <c r="CV50" s="450">
        <f>IF(SEMANA29[[#This Row],[TIPO]]="PREMIO",$O$3,"0,00")</f>
        <v/>
      </c>
      <c r="CW50" s="576" t="n"/>
      <c r="CY50" s="392">
        <f>IF(CZ50="","",$CZ$25)</f>
        <v/>
      </c>
      <c r="CZ50" s="392" t="n"/>
      <c r="DA50" s="392">
        <f t="array" ref="DA50">IF(CZ50="", "", IF((INDEX(E$8:CE$57, MATCH(CZ50, C$8:C$57, 0), ($CZ$25-1)*5 + 1) &amp; "") = (INDEX(E$5:CE$5, 1, ($CZ$25-1)*5 + 1) &amp; ""), 1, IF((INDEX(E$8:CE$57, MATCH(CZ50, C$8:C$57, 0), ($CZ$25-1)*5 + 2) &amp; "") = (INDEX(E$5:CE$5, 1, ($CZ$25-1)*5 + 1) &amp; ""), 2, IF((INDEX(E$8:CE$57, MATCH(CZ50, C$8:C$57, 0), ($CZ$25-1)*5 + 3) &amp; "") = (INDEX(E$5:CE$5, 1, ($CZ$25-1)*5 + 1) &amp; ""), 3, ""))))</f>
        <v/>
      </c>
      <c r="DB50" s="605">
        <f>SEMANA29[[#This Row],[COD]]</f>
        <v/>
      </c>
      <c r="DC50" s="395">
        <f t="array" ref="DC50">IFERROR(IF(AND(INDEX($E$8:$CE$57, MATCH($C50, $C$8:$C$57, 0), (COLUMNS($DC50:DC50)-1)*5 + 1) = INDEX($E$5:$CE$5, 1, (COLUMNS($DC50:DC50)-1)*5 + 1), INDEX($E$8:$CE$57, MATCH($C50, $C$8:$C$57, 0), (COLUMNS($DC50:DC50)-1)*5 + 4) = "F"), INDEX($CZ$8:$CZ$23, COLUMNS($DC50:DC50)), "0"), "")</f>
        <v/>
      </c>
      <c r="DD50" s="395">
        <f t="array" ref="DD50">IFERROR(IF(AND(INDEX($E$8:$CE$57, MATCH($C50, $C$8:$C$57, 0), (COLUMNS($DC50:DD50)-1)*5 + 1) = INDEX($E$5:$CE$5, 1, (COLUMNS($DC50:DD50)-1)*5 + 1), INDEX($E$8:$CE$57, MATCH($C50, $C$8:$C$57, 0), (COLUMNS($DC50:DD50)-1)*5 + 4) = "F"), INDEX($CZ$8:$CZ$23, COLUMNS($DC50:DD50)), "0"), "")</f>
        <v/>
      </c>
      <c r="DE50" s="395">
        <f t="array" ref="DE50">IFERROR(IF(AND(INDEX($E$8:$CE$57, MATCH($C50, $C$8:$C$57, 0), (COLUMNS($DC50:DE50)-1)*5 + 1) = INDEX($E$5:$CE$5, 1, (COLUMNS($DC50:DE50)-1)*5 + 1), INDEX($E$8:$CE$57, MATCH($C50, $C$8:$C$57, 0), (COLUMNS($DC50:DE50)-1)*5 + 4) = "F"), INDEX($CZ$8:$CZ$23, COLUMNS($DC50:DE50)), "0"), "")</f>
        <v/>
      </c>
      <c r="DF50" s="395">
        <f t="array" ref="DF50">IFERROR(IF(AND(INDEX($E$8:$CE$57, MATCH($C50, $C$8:$C$57, 0), (COLUMNS($DC50:DF50)-1)*5 + 1) = INDEX($E$5:$CE$5, 1, (COLUMNS($DC50:DF50)-1)*5 + 1), INDEX($E$8:$CE$57, MATCH($C50, $C$8:$C$57, 0), (COLUMNS($DC50:DF50)-1)*5 + 4) = "F"), INDEX($CZ$8:$CZ$23, COLUMNS($DC50:DF50)), "0"), "")</f>
        <v/>
      </c>
      <c r="DG50" s="395">
        <f t="array" ref="DG50">IFERROR(IF(AND(INDEX($E$8:$CE$57, MATCH($C50, $C$8:$C$57, 0), (COLUMNS($DC50:DG50)-1)*5 + 1) = INDEX($E$5:$CE$5, 1, (COLUMNS($DC50:DG50)-1)*5 + 1), INDEX($E$8:$CE$57, MATCH($C50, $C$8:$C$57, 0), (COLUMNS($DC50:DG50)-1)*5 + 4) = "F"), INDEX($CZ$8:$CZ$23, COLUMNS($DC50:DG50)), "0"), "")</f>
        <v/>
      </c>
      <c r="DH50" s="395">
        <f t="array" ref="DH50">IFERROR(IF(AND(INDEX($E$8:$CE$57, MATCH($C50, $C$8:$C$57, 0), (COLUMNS($DC50:DH50)-1)*5 + 1) = INDEX($E$5:$CE$5, 1, (COLUMNS($DC50:DH50)-1)*5 + 1), INDEX($E$8:$CE$57, MATCH($C50, $C$8:$C$57, 0), (COLUMNS($DC50:DH50)-1)*5 + 4) = "F"), INDEX($CZ$8:$CZ$23, COLUMNS($DC50:DH50)), "0"), "")</f>
        <v/>
      </c>
      <c r="DI50" s="395">
        <f t="array" ref="DI50">IFERROR(IF(AND(INDEX($E$8:$CE$57, MATCH($C50, $C$8:$C$57, 0), (COLUMNS($DC50:DI50)-1)*5 + 1) = INDEX($E$5:$CE$5, 1, (COLUMNS($DC50:DI50)-1)*5 + 1), INDEX($E$8:$CE$57, MATCH($C50, $C$8:$C$57, 0), (COLUMNS($DC50:DI50)-1)*5 + 4) = "F"), INDEX($CZ$8:$CZ$23, COLUMNS($DC50:DI50)), "0"), "")</f>
        <v/>
      </c>
      <c r="DJ50" s="395">
        <f t="array" ref="DJ50">IFERROR(IF(AND(INDEX($E$8:$CE$57, MATCH($C50, $C$8:$C$57, 0), (COLUMNS($DC50:DJ50)-1)*5 + 1) = INDEX($E$5:$CE$5, 1, (COLUMNS($DC50:DJ50)-1)*5 + 1), INDEX($E$8:$CE$57, MATCH($C50, $C$8:$C$57, 0), (COLUMNS($DC50:DJ50)-1)*5 + 4) = "F"), INDEX($CZ$8:$CZ$23, COLUMNS($DC50:DJ50)), "0"), "")</f>
        <v/>
      </c>
      <c r="DK50" s="395">
        <f t="array" ref="DK50">IFERROR(IF(AND(INDEX($E$8:$CE$57, MATCH($C50, $C$8:$C$57, 0), (COLUMNS($DC50:DK50)-1)*5 + 1) = INDEX($E$5:$CE$5, 1, (COLUMNS($DC50:DK50)-1)*5 + 1), INDEX($E$8:$CE$57, MATCH($C50, $C$8:$C$57, 0), (COLUMNS($DC50:DK50)-1)*5 + 4) = "F"), INDEX($CZ$8:$CZ$23, COLUMNS($DC50:DK50)), "0"), "")</f>
        <v/>
      </c>
      <c r="DL50" s="395">
        <f t="array" ref="DL50">IFERROR(IF(AND(INDEX($E$8:$CE$57, MATCH($C50, $C$8:$C$57, 0), (COLUMNS($DC50:DL50)-1)*5 + 1) = INDEX($E$5:$CE$5, 1, (COLUMNS($DC50:DL50)-1)*5 + 1), INDEX($E$8:$CE$57, MATCH($C50, $C$8:$C$57, 0), (COLUMNS($DC50:DL50)-1)*5 + 4) = "F"), INDEX($CZ$8:$CZ$23, COLUMNS($DC50:DL50)), "0"), "")</f>
        <v/>
      </c>
      <c r="DM50" s="395">
        <f t="array" ref="DM50">IFERROR(IF(AND(INDEX($E$8:$CE$57, MATCH($C50, $C$8:$C$57, 0), (COLUMNS($DC50:DM50)-1)*5 + 1) = INDEX($E$5:$CE$5, 1, (COLUMNS($DC50:DM50)-1)*5 + 1), INDEX($E$8:$CE$57, MATCH($C50, $C$8:$C$57, 0), (COLUMNS($DC50:DM50)-1)*5 + 4) = "F"), INDEX($CZ$8:$CZ$23, COLUMNS($DC50:DM50)), "0"), "")</f>
        <v/>
      </c>
      <c r="DN50" s="395">
        <f t="array" ref="DN50">IFERROR(IF(AND(INDEX($E$8:$CE$57, MATCH($C50, $C$8:$C$57, 0), (COLUMNS($DC50:DN50)-1)*5 + 1) = INDEX($E$5:$CE$5, 1, (COLUMNS($DC50:DN50)-1)*5 + 1), INDEX($E$8:$CE$57, MATCH($C50, $C$8:$C$57, 0), (COLUMNS($DC50:DN50)-1)*5 + 4) = "F"), INDEX($CZ$8:$CZ$23, COLUMNS($DC50:DN50)), "0"), "")</f>
        <v/>
      </c>
      <c r="DO50" s="395">
        <f t="array" ref="DO50">IFERROR(IF(AND(INDEX($E$8:$CE$57, MATCH($C50, $C$8:$C$57, 0), (COLUMNS($DC50:DO50)-1)*5 + 1) = INDEX($E$5:$CE$5, 1, (COLUMNS($DC50:DO50)-1)*5 + 1), INDEX($E$8:$CE$57, MATCH($C50, $C$8:$C$57, 0), (COLUMNS($DC50:DO50)-1)*5 + 4) = "F"), INDEX($CZ$8:$CZ$23, COLUMNS($DC50:DO50)), "0"), "")</f>
        <v/>
      </c>
      <c r="DP50" s="395">
        <f t="array" ref="DP50">IFERROR(IF(AND(INDEX($E$8:$CE$57, MATCH($C50, $C$8:$C$57, 0), (COLUMNS($DC50:DP50)-1)*5 + 1) = INDEX($E$5:$CE$5, 1, (COLUMNS($DC50:DP50)-1)*5 + 1), INDEX($E$8:$CE$57, MATCH($C50, $C$8:$C$57, 0), (COLUMNS($DC50:DP50)-1)*5 + 4) = "F"), INDEX($CZ$8:$CZ$23, COLUMNS($DC50:DP50)), "0"), "")</f>
        <v/>
      </c>
      <c r="DQ50" s="395">
        <f t="array" ref="DQ50">IFERROR(IF(AND(INDEX($E$8:$CE$57, MATCH($C50, $C$8:$C$57, 0), (COLUMNS($DC50:DQ50)-1)*5 + 1) = INDEX($E$5:$CE$5, 1, (COLUMNS($DC50:DQ50)-1)*5 + 1), INDEX($E$8:$CE$57, MATCH($C50, $C$8:$C$57, 0), (COLUMNS($DC50:DQ50)-1)*5 + 4) = "F"), INDEX($CZ$8:$CZ$23, COLUMNS($DC50:DQ50)), "0"), "")</f>
        <v/>
      </c>
      <c r="DR50" s="395">
        <f t="array" ref="DR50">IFERROR(IF(AND(INDEX($E$8:$CE$57, MATCH($C50, $C$8:$C$57, 0), (COLUMNS($DC50:DR50)-1)*5 + 1) = INDEX($E$5:$CE$5, 1, (COLUMNS($DC50:DR50)-1)*5 + 1), INDEX($E$8:$CE$57, MATCH($C50, $C$8:$C$57, 0), (COLUMNS($DC50:DR50)-1)*5 + 4) = "F"), INDEX($CZ$8:$CZ$23, COLUMNS($DC50:DR50)), "0"), "")</f>
        <v/>
      </c>
      <c r="DT50" s="605">
        <f>SEMANA29[[#This Row],[COD]]</f>
        <v/>
      </c>
      <c r="DU50" s="395">
        <f t="array" ref="DU50">IFERROR(IF(AND(INDEX($E$8:$CE$57, MATCH($C50, $C$8:$C$57, 0), (COLUMNS($DU50:DU50)-1)*5 + 1) = INDEX($E$5:$CE$5, 1, (COLUMNS($DU50:DU50)-1)*5 + 1), INDEX($E$8:$CE$57, MATCH($C50, $C$8:$C$57, 0), (COLUMNS($DU50:DU50)-1)*5 + 4) = "SF"), INDEX($CZ$8:$CZ$23, COLUMNS($DU50:DU50)), "0"), "")</f>
        <v/>
      </c>
      <c r="DV50" s="395">
        <f t="array" ref="DV50">IFERROR(IF(AND(INDEX($E$8:$CE$57, MATCH($C50, $C$8:$C$57, 0), (COLUMNS($DU50:DV50)-1)*5 + 1) = INDEX($E$5:$CE$5, 1, (COLUMNS($DU50:DV50)-1)*5 + 1), INDEX($E$8:$CE$57, MATCH($C50, $C$8:$C$57, 0), (COLUMNS($DU50:DV50)-1)*5 + 4) = "SF"), INDEX($CZ$8:$CZ$23, COLUMNS($DU50:DV50)), "0"), "")</f>
        <v/>
      </c>
      <c r="DW50" s="395">
        <f t="array" ref="DW50">IFERROR(IF(AND(INDEX($E$8:$CE$57, MATCH($C50, $C$8:$C$57, 0), (COLUMNS($DU50:DW50)-1)*5 + 1) = INDEX($E$5:$CE$5, 1, (COLUMNS($DU50:DW50)-1)*5 + 1), INDEX($E$8:$CE$57, MATCH($C50, $C$8:$C$57, 0), (COLUMNS($DU50:DW50)-1)*5 + 4) = "SF"), INDEX($CZ$8:$CZ$23, COLUMNS($DU50:DW50)), "0"), "")</f>
        <v/>
      </c>
      <c r="DX50" s="395">
        <f t="array" ref="DX50">IFERROR(IF(AND(INDEX($E$8:$CE$57, MATCH($C50, $C$8:$C$57, 0), (COLUMNS($DU50:DX50)-1)*5 + 1) = INDEX($E$5:$CE$5, 1, (COLUMNS($DU50:DX50)-1)*5 + 1), INDEX($E$8:$CE$57, MATCH($C50, $C$8:$C$57, 0), (COLUMNS($DU50:DX50)-1)*5 + 4) = "SF"), INDEX($CZ$8:$CZ$23, COLUMNS($DU50:DX50)), "0"), "")</f>
        <v/>
      </c>
      <c r="DY50" s="395">
        <f t="array" ref="DY50">IFERROR(IF(AND(INDEX($E$8:$CE$57, MATCH($C50, $C$8:$C$57, 0), (COLUMNS($DU50:DY50)-1)*5 + 1) = INDEX($E$5:$CE$5, 1, (COLUMNS($DU50:DY50)-1)*5 + 1), INDEX($E$8:$CE$57, MATCH($C50, $C$8:$C$57, 0), (COLUMNS($DU50:DY50)-1)*5 + 4) = "SF"), INDEX($CZ$8:$CZ$23, COLUMNS($DU50:DY50)), "0"), "")</f>
        <v/>
      </c>
      <c r="DZ50" s="395">
        <f t="array" ref="DZ50">IFERROR(IF(AND(INDEX($E$8:$CE$57, MATCH($C50, $C$8:$C$57, 0), (COLUMNS($DU50:DZ50)-1)*5 + 1) = INDEX($E$5:$CE$5, 1, (COLUMNS($DU50:DZ50)-1)*5 + 1), INDEX($E$8:$CE$57, MATCH($C50, $C$8:$C$57, 0), (COLUMNS($DU50:DZ50)-1)*5 + 4) = "SF"), INDEX($CZ$8:$CZ$23, COLUMNS($DU50:DZ50)), "0"), "")</f>
        <v/>
      </c>
      <c r="EA50" s="395">
        <f t="array" ref="EA50">IFERROR(IF(AND(INDEX($E$8:$CE$57, MATCH($C50, $C$8:$C$57, 0), (COLUMNS($DU50:EA50)-1)*5 + 1) = INDEX($E$5:$CE$5, 1, (COLUMNS($DU50:EA50)-1)*5 + 1), INDEX($E$8:$CE$57, MATCH($C50, $C$8:$C$57, 0), (COLUMNS($DU50:EA50)-1)*5 + 4) = "SF"), INDEX($CZ$8:$CZ$23, COLUMNS($DU50:EA50)), "0"), "")</f>
        <v/>
      </c>
      <c r="EB50" s="395">
        <f t="array" ref="EB50">IFERROR(IF(AND(INDEX($E$8:$CE$57, MATCH($C50, $C$8:$C$57, 0), (COLUMNS($DU50:EB50)-1)*5 + 1) = INDEX($E$5:$CE$5, 1, (COLUMNS($DU50:EB50)-1)*5 + 1), INDEX($E$8:$CE$57, MATCH($C50, $C$8:$C$57, 0), (COLUMNS($DU50:EB50)-1)*5 + 4) = "SF"), INDEX($CZ$8:$CZ$23, COLUMNS($DU50:EB50)), "0"), "")</f>
        <v/>
      </c>
      <c r="EC50" s="395">
        <f t="array" ref="EC50">IFERROR(IF(AND(INDEX($E$8:$CE$57, MATCH($C50, $C$8:$C$57, 0), (COLUMNS($DU50:EC50)-1)*5 + 1) = INDEX($E$5:$CE$5, 1, (COLUMNS($DU50:EC50)-1)*5 + 1), INDEX($E$8:$CE$57, MATCH($C50, $C$8:$C$57, 0), (COLUMNS($DU50:EC50)-1)*5 + 4) = "SF"), INDEX($CZ$8:$CZ$23, COLUMNS($DU50:EC50)), "0"), "")</f>
        <v/>
      </c>
      <c r="ED50" s="395">
        <f t="array" ref="ED50">IFERROR(IF(AND(INDEX($E$8:$CE$57, MATCH($C50, $C$8:$C$57, 0), (COLUMNS($DU50:ED50)-1)*5 + 1) = INDEX($E$5:$CE$5, 1, (COLUMNS($DU50:ED50)-1)*5 + 1), INDEX($E$8:$CE$57, MATCH($C50, $C$8:$C$57, 0), (COLUMNS($DU50:ED50)-1)*5 + 4) = "SF"), INDEX($CZ$8:$CZ$23, COLUMNS($DU50:ED50)), "0"), "")</f>
        <v/>
      </c>
      <c r="EE50" s="395">
        <f t="array" ref="EE50">IFERROR(IF(AND(INDEX($E$8:$CE$57, MATCH($C50, $C$8:$C$57, 0), (COLUMNS($DU50:EE50)-1)*5 + 1) = INDEX($E$5:$CE$5, 1, (COLUMNS($DU50:EE50)-1)*5 + 1), INDEX($E$8:$CE$57, MATCH($C50, $C$8:$C$57, 0), (COLUMNS($DU50:EE50)-1)*5 + 4) = "SF"), INDEX($CZ$8:$CZ$23, COLUMNS($DU50:EE50)), "0"), "")</f>
        <v/>
      </c>
      <c r="EF50" s="395">
        <f t="array" ref="EF50">IFERROR(IF(AND(INDEX($E$8:$CE$57, MATCH($C50, $C$8:$C$57, 0), (COLUMNS($DU50:EF50)-1)*5 + 1) = INDEX($E$5:$CE$5, 1, (COLUMNS($DU50:EF50)-1)*5 + 1), INDEX($E$8:$CE$57, MATCH($C50, $C$8:$C$57, 0), (COLUMNS($DU50:EF50)-1)*5 + 4) = "SF"), INDEX($CZ$8:$CZ$23, COLUMNS($DU50:EF50)), "0"), "")</f>
        <v/>
      </c>
      <c r="EG50" s="395">
        <f t="array" ref="EG50">IFERROR(IF(AND(INDEX($E$8:$CE$57, MATCH($C50, $C$8:$C$57, 0), (COLUMNS($DU50:EG50)-1)*5 + 1) = INDEX($E$5:$CE$5, 1, (COLUMNS($DU50:EG50)-1)*5 + 1), INDEX($E$8:$CE$57, MATCH($C50, $C$8:$C$57, 0), (COLUMNS($DU50:EG50)-1)*5 + 4) = "SF"), INDEX($CZ$8:$CZ$23, COLUMNS($DU50:EG50)), "0"), "")</f>
        <v/>
      </c>
      <c r="EH50" s="395">
        <f t="array" ref="EH50">IFERROR(IF(AND(INDEX($E$8:$CE$57, MATCH($C50, $C$8:$C$57, 0), (COLUMNS($DU50:EH50)-1)*5 + 1) = INDEX($E$5:$CE$5, 1, (COLUMNS($DU50:EH50)-1)*5 + 1), INDEX($E$8:$CE$57, MATCH($C50, $C$8:$C$57, 0), (COLUMNS($DU50:EH50)-1)*5 + 4) = "SF"), INDEX($CZ$8:$CZ$23, COLUMNS($DU50:EH50)), "0"), "")</f>
        <v/>
      </c>
      <c r="EI50" s="395">
        <f t="array" ref="EI50">IFERROR(IF(AND(INDEX($E$8:$CE$57, MATCH($C50, $C$8:$C$57, 0), (COLUMNS($DU50:EI50)-1)*5 + 1) = INDEX($E$5:$CE$5, 1, (COLUMNS($DU50:EI50)-1)*5 + 1), INDEX($E$8:$CE$57, MATCH($C50, $C$8:$C$57, 0), (COLUMNS($DU50:EI50)-1)*5 + 4) = "SF"), INDEX($CZ$8:$CZ$23, COLUMNS($DU50:EI50)), "0"), "")</f>
        <v/>
      </c>
      <c r="EJ50" s="395">
        <f t="array" ref="EJ50">IFERROR(IF(AND(INDEX($E$8:$CE$57, MATCH($C50, $C$8:$C$57, 0), (COLUMNS($DU50:EJ50)-1)*5 + 1) = INDEX($E$5:$CE$5, 1, (COLUMNS($DU50:EJ50)-1)*5 + 1), INDEX($E$8:$CE$57, MATCH($C50, $C$8:$C$57, 0), (COLUMNS($DU50:EJ50)-1)*5 + 4) = "SF"), INDEX($CZ$8:$CZ$23, COLUMNS($DU50:EJ50)), "0"), "")</f>
        <v/>
      </c>
    </row>
    <row r="51" ht="20.1" customHeight="1" s="568">
      <c r="A51" s="576" t="n"/>
      <c r="B51" s="449">
        <f>IF(SEMANA29[[#This Row],[COD]]&lt;&gt;"",B50+1,"")</f>
        <v/>
      </c>
      <c r="C51" s="622" t="inlineStr">
        <is>
          <t>COD 44</t>
        </is>
      </c>
      <c r="D51" s="415">
        <f t="array" ref="D51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1" s="416" t="n"/>
      <c r="F51" s="418" t="n"/>
      <c r="G51" s="418" t="n"/>
      <c r="H51" s="418" t="n"/>
      <c r="I51" s="602">
        <f>SUM(IF(E51=E$5,4,0),IF(E51&amp;F51=E$5&amp;F$5,1,0),
IF(AND(E51=E$5,F$6&gt;=$D$115),1,0),
IF(AND(F51=E$5,F$6&gt;=$D$115),1,0),
IF(AND(G51=E$5,F$6&gt;=$D$115),1,0),
IF(E51&amp;H51=I$5,1,0),
IF(F51=E$5,2,0),
IF(G51=E$5,1,0),
IF(OR(E51&amp;F51&amp;G51=E$5&amp;F$5&amp;G$5,E51&amp;F51&amp;G51=E$5&amp;G$5&amp;F$5,E51&amp;F51&amp;G51=F$5&amp;E$5&amp;G$5,E51&amp;F51&amp;G51=F$5&amp;G$5&amp;E$5,E51&amp;F51&amp;G51=G$5&amp;E$5&amp;F$5,E51&amp;F51&amp;G51=G$5&amp;F$5&amp;E$5),2,0),IF(AND(E51=E$5,F$6&gt;=$D$129),1,0),IF(AND(F51=E$5,F$6&gt;=$D$129),1,0),IF(AND(G51=E$5,F$6&gt;=$D$129),1,0),IF(E51&amp;H51=H$5,4,0),IF(AND(E51=E$5,F$6&lt;=$D$104),-0.5,0),IF(AND(F51=E$5,F$6&lt;=$D$104),-0.5,0),IF(AND(G51=E$5,F$6&lt;=$D$104),-0.5,0))</f>
        <v/>
      </c>
      <c r="J51" s="416" t="n"/>
      <c r="K51" s="418" t="n"/>
      <c r="L51" s="418" t="n"/>
      <c r="M51" s="418" t="n"/>
      <c r="N51" s="602">
        <f>SUM(IF(J51=J$5,4,0),IF(J51&amp;K51=J$5&amp;K$5,1,0),
IF(AND(J51=J$5,K$6&gt;=$D$115),1,0),
IF(AND(K51=J$5,K$6&gt;=$D$115),1,0),
IF(AND(L51=J$5,K$6&gt;=$D$115),1,0),
IF(J51&amp;M51=N$5,1,0),
IF(K51=J$5,2,0),
IF(L51=J$5,1,0),
IF(OR(J51&amp;K51&amp;L51=J$5&amp;K$5&amp;L$5,J51&amp;K51&amp;L51=J$5&amp;L$5&amp;K$5,J51&amp;K51&amp;L51=K$5&amp;J$5&amp;L$5,J51&amp;K51&amp;L51=K$5&amp;L$5&amp;J$5,J51&amp;K51&amp;L51=L$5&amp;J$5&amp;K$5,J51&amp;K51&amp;L51=L$5&amp;K$5&amp;J$5),2,0),IF(AND(J51=J$5,K$6&gt;=$D$129),1,0),IF(AND(K51=J$5,K$6&gt;=$D$129),1,0),IF(AND(L51=J$5,K$6&gt;=$D$129),1,0),IF(J51&amp;M51=M$5,4,0),IF(AND(J51=J$5,K$6&lt;=$D$104),-0.5,0),IF(AND(K51=J$5,K$6&lt;=$D$104),-0.5,0),IF(AND(L51=J$5,K$6&lt;=$D$104),-0.5,0))</f>
        <v/>
      </c>
      <c r="O51" s="416" t="n"/>
      <c r="P51" s="418" t="n"/>
      <c r="Q51" s="418" t="n"/>
      <c r="R51" s="418" t="n"/>
      <c r="S51" s="602">
        <f>SUM(IF(O51=O$5,4,0),IF(O51&amp;P51=O$5&amp;P$5,1,0),
IF(AND(O51=O$5,P$6&gt;=$D$115),1,0),
IF(AND(P51=O$5,P$6&gt;=$D$115),1,0),
IF(AND(Q51=O$5,P$6&gt;=$D$115),1,0),
IF(O51&amp;R51=S$5,1,0),
IF(P51=O$5,2,0),
IF(Q51=O$5,1,0),
IF(OR(O51&amp;P51&amp;Q51=O$5&amp;P$5&amp;Q$5,O51&amp;P51&amp;Q51=O$5&amp;Q$5&amp;P$5,O51&amp;P51&amp;Q51=P$5&amp;O$5&amp;Q$5,O51&amp;P51&amp;Q51=P$5&amp;Q$5&amp;O$5,O51&amp;P51&amp;Q51=Q$5&amp;O$5&amp;P$5,O51&amp;P51&amp;Q51=Q$5&amp;P$5&amp;O$5),2,0),IF(AND(O51=O$5,P$6&gt;=$D$129),1,0),IF(AND(P51=O$5,P$6&gt;=$D$129),1,0),IF(AND(Q51=O$5,P$6&gt;=$D$129),1,0),IF(O51&amp;R51=R$5,4,0),IF(AND(O51=O$5,P$6&lt;=$D$104),-0.5,0),IF(AND(P51=O$5,P$6&lt;=$D$104),-0.5,0),IF(AND(Q51=O$5,P$6&lt;=$D$104),-0.5,0))</f>
        <v/>
      </c>
      <c r="T51" s="416" t="n"/>
      <c r="U51" s="418" t="n"/>
      <c r="V51" s="418" t="n"/>
      <c r="W51" s="418" t="n"/>
      <c r="X51" s="602">
        <f>SUM(IF(T51=T$5,4,0),IF(T51&amp;U51=T$5&amp;U$5,1,0),
IF(AND(T51=T$5,U$6&gt;=$D$115),1,0),
IF(AND(U51=T$5,U$6&gt;=$D$115),1,0),
IF(AND(V51=T$5,U$6&gt;=$D$115),1,0),
IF(T51&amp;W51=X$5,1,0),
IF(U51=T$5,2,0),
IF(V51=T$5,1,0),
IF(OR(T51&amp;U51&amp;V51=T$5&amp;U$5&amp;V$5,T51&amp;U51&amp;V51=T$5&amp;V$5&amp;U$5,T51&amp;U51&amp;V51=U$5&amp;T$5&amp;V$5,T51&amp;U51&amp;V51=U$5&amp;V$5&amp;T$5,T51&amp;U51&amp;V51=V$5&amp;T$5&amp;U$5,T51&amp;U51&amp;V51=V$5&amp;U$5&amp;T$5),2,0),IF(AND(T51=T$5,U$6&gt;=$D$129),1,0),IF(AND(U51=T$5,U$6&gt;=$D$129),1,0),IF(AND(V51=T$5,U$6&gt;=$D$129),1,0),IF(T51&amp;W51=W$5,4,0),IF(AND(T51=T$5,U$6&lt;=$D$104),-0.5,0),IF(AND(U51=T$5,U$6&lt;=$D$104),-0.5,0),IF(AND(V51=T$5,U$6&lt;=$D$104),-0.5,0))</f>
        <v/>
      </c>
      <c r="Y51" s="416" t="n"/>
      <c r="Z51" s="418" t="n"/>
      <c r="AA51" s="418" t="n"/>
      <c r="AB51" s="418" t="n"/>
      <c r="AC51" s="602">
        <f>SUM(IF(Y51=Y$5,4,0),IF(Y51&amp;Z51=Y$5&amp;Z$5,1,0),
IF(AND(Y51=Y$5,Z$6&gt;=$D$115),1,0),
IF(AND(Z51=Y$5,Z$6&gt;=$D$115),1,0),
IF(AND(AA51=Y$5,Z$6&gt;=$D$115),1,0),
IF(Y51&amp;AB51=AC$5,1,0),
IF(Z51=Y$5,2,0),
IF(AA51=Y$5,1,0),
IF(OR(Y51&amp;Z51&amp;AA51=Y$5&amp;Z$5&amp;AA$5,Y51&amp;Z51&amp;AA51=Y$5&amp;AA$5&amp;Z$5,Y51&amp;Z51&amp;AA51=Z$5&amp;Y$5&amp;AA$5,Y51&amp;Z51&amp;AA51=Z$5&amp;AA$5&amp;Y$5,Y51&amp;Z51&amp;AA51=AA$5&amp;Y$5&amp;Z$5,Y51&amp;Z51&amp;AA51=AA$5&amp;Z$5&amp;Y$5),2,0),IF(AND(Y51=Y$5,Z$6&gt;=$D$129),1,0),IF(AND(Z51=Y$5,Z$6&gt;=$D$129),1,0),IF(AND(AA51=Y$5,Z$6&gt;=$D$129),1,0),IF(Y51&amp;AB51=AB$5,4,0),IF(AND(Y51=Y$5,Z$6&lt;=$D$104),-0.5,0),IF(AND(Z51=Y$5,Z$6&lt;=$D$104),-0.5,0),IF(AND(AA51=Y$5,Z$6&lt;=$D$104),-0.5,0))</f>
        <v/>
      </c>
      <c r="AD51" s="416" t="n"/>
      <c r="AE51" s="418" t="n"/>
      <c r="AF51" s="418" t="n"/>
      <c r="AG51" s="418" t="n"/>
      <c r="AH51" s="602">
        <f>SUM(IF(AD51=AD$5,4,0),IF(AD51&amp;AE51=AD$5&amp;AE$5,1,0),
IF(AND(AD51=AD$5,AE$6&gt;=$D$115),1,0),
IF(AND(AE51=AD$5,AE$6&gt;=$D$115),1,0),
IF(AND(AF51=AD$5,AE$6&gt;=$D$115),1,0),
IF(AD51&amp;AG51=AH$5,1,0),
IF(AE51=AD$5,2,0),
IF(AF51=AD$5,1,0),
IF(OR(AD51&amp;AE51&amp;AF51=AD$5&amp;AE$5&amp;AF$5,AD51&amp;AE51&amp;AF51=AD$5&amp;AF$5&amp;AE$5,AD51&amp;AE51&amp;AF51=AE$5&amp;AD$5&amp;AF$5,AD51&amp;AE51&amp;AF51=AE$5&amp;AF$5&amp;AD$5,AD51&amp;AE51&amp;AF51=AF$5&amp;AD$5&amp;AE$5,AD51&amp;AE51&amp;AF51=AF$5&amp;AE$5&amp;AD$5),2,0),IF(AND(AD51=AD$5,AE$6&gt;=$D$129),1,0),IF(AND(AE51=AD$5,AE$6&gt;=$D$129),1,0),IF(AND(AF51=AD$5,AE$6&gt;=$D$129),1,0),IF(AD51&amp;AG51=AG$5,4,0),IF(AND(AD51=AD$5,AE$6&lt;=$D$104),-0.5,0),IF(AND(AE51=AD$5,AE$6&lt;=$D$104),-0.5,0),IF(AND(AF51=AD$5,AE$6&lt;=$D$104),-0.5,0))</f>
        <v/>
      </c>
      <c r="AI51" s="416" t="n"/>
      <c r="AJ51" s="418" t="n"/>
      <c r="AK51" s="418" t="n"/>
      <c r="AL51" s="418" t="n"/>
      <c r="AM51" s="602">
        <f>SUM(IF(AI51=AI$5,4,0),IF(AI51&amp;AJ51=AI$5&amp;AJ$5,1,0),
IF(AND(AI51=AI$5,AJ$6&gt;=$D$115),1,0),
IF(AND(AJ51=AI$5,AJ$6&gt;=$D$115),1,0),
IF(AND(AK51=AI$5,AJ$6&gt;=$D$115),1,0),
IF(AI51&amp;AL51=AM$5,1,0),
IF(AJ51=AI$5,2,0),
IF(AK51=AI$5,1,0),
IF(OR(AI51&amp;AJ51&amp;AK51=AI$5&amp;AJ$5&amp;AK$5,AI51&amp;AJ51&amp;AK51=AI$5&amp;AK$5&amp;AJ$5,AI51&amp;AJ51&amp;AK51=AJ$5&amp;AI$5&amp;AK$5,AI51&amp;AJ51&amp;AK51=AJ$5&amp;AK$5&amp;AI$5,AI51&amp;AJ51&amp;AK51=AK$5&amp;AI$5&amp;AJ$5,AI51&amp;AJ51&amp;AK51=AK$5&amp;AJ$5&amp;AI$5),2,0),IF(AND(AI51=AI$5,AJ$6&gt;=$D$129),1,0),IF(AND(AJ51=AI$5,AJ$6&gt;=$D$129),1,0),IF(AND(AK51=AI$5,AJ$6&gt;=$D$129),1,0),IF(AI51&amp;AL51=AL$5,4,0),IF(AND(AI51=AI$5,AJ$6&lt;=$D$104),-0.5,0),IF(AND(AJ51=AI$5,AJ$6&lt;=$D$104),-0.5,0),IF(AND(AK51=AI$5,AJ$6&lt;=$D$104),-0.5,0))</f>
        <v/>
      </c>
      <c r="AN51" s="416" t="n"/>
      <c r="AO51" s="418" t="n"/>
      <c r="AP51" s="418" t="n"/>
      <c r="AQ51" s="418" t="n"/>
      <c r="AR51" s="602">
        <f>SUM(IF(AN51=AN$5,4,0),IF(AN51&amp;AO51=AN$5&amp;AO$5,1,0),
IF(AND(AN51=AN$5,AO$6&gt;=$D$115),1,0),
IF(AND(AO51=AN$5,AO$6&gt;=$D$115),1,0),
IF(AND(AP51=AN$5,AO$6&gt;=$D$115),1,0),
IF(AN51&amp;AQ51=AR$5,1,0),
IF(AO51=AN$5,2,0),
IF(AP51=AN$5,1,0),
IF(OR(AN51&amp;AO51&amp;AP51=AN$5&amp;AO$5&amp;AP$5,AN51&amp;AO51&amp;AP51=AN$5&amp;AP$5&amp;AO$5,AN51&amp;AO51&amp;AP51=AO$5&amp;AN$5&amp;AP$5,AN51&amp;AO51&amp;AP51=AO$5&amp;AP$5&amp;AN$5,AN51&amp;AO51&amp;AP51=AP$5&amp;AN$5&amp;AO$5,AN51&amp;AO51&amp;AP51=AP$5&amp;AO$5&amp;AN$5),2,0),IF(AND(AN51=AN$5,AO$6&gt;=$D$129),1,0),IF(AND(AO51=AN$5,AO$6&gt;=$D$129),1,0),IF(AND(AP51=AN$5,AO$6&gt;=$D$129),1,0),IF(AN51&amp;AQ51=AQ$5,4,0),IF(AND(AN51=AN$5,AO$6&lt;=$D$104),-0.5,0),IF(AND(AO51=AN$5,AO$6&lt;=$D$104),-0.5,0),IF(AND(AP51=AN$5,AO$6&lt;=$D$104),-0.5,0))</f>
        <v/>
      </c>
      <c r="AS51" s="416" t="n"/>
      <c r="AT51" s="418" t="n"/>
      <c r="AU51" s="418" t="n"/>
      <c r="AV51" s="418" t="n"/>
      <c r="AW51" s="602">
        <f>SUM(IF(AS51=AS$5,4,0),IF(AS51&amp;AT51=AS$5&amp;AT$5,1,0),
IF(AND(AS51=AS$5,AT$6&gt;=$D$115),1,0),
IF(AND(AT51=AS$5,AT$6&gt;=$D$115),1,0),
IF(AND(AU51=AS$5,AT$6&gt;=$D$115),1,0),
IF(AS51&amp;AV51=AW$5,1,0),
IF(AT51=AS$5,2,0),
IF(AU51=AS$5,1,0),
IF(OR(AS51&amp;AT51&amp;AU51=AS$5&amp;AT$5&amp;AU$5,AS51&amp;AT51&amp;AU51=AS$5&amp;AU$5&amp;AT$5,AS51&amp;AT51&amp;AU51=AT$5&amp;AS$5&amp;AU$5,AS51&amp;AT51&amp;AU51=AT$5&amp;AU$5&amp;AS$5,AS51&amp;AT51&amp;AU51=AU$5&amp;AS$5&amp;AT$5,AS51&amp;AT51&amp;AU51=AU$5&amp;AT$5&amp;AS$5),2,0),IF(AND(AS51=AS$5,AT$6&gt;=$D$129),1,0),IF(AND(AT51=AS$5,AT$6&gt;=$D$129),1,0),IF(AND(AU51=AS$5,AT$6&gt;=$D$129),1,0),IF(AS51&amp;AV51=AV$5,4,0),IF(AND(AS51=AS$5,AT$6&lt;=$D$104),-0.5,0),IF(AND(AT51=AS$5,AT$6&lt;=$D$104),-0.5,0),IF(AND(AU51=AS$5,AT$6&lt;=$D$104),-0.5,0))</f>
        <v/>
      </c>
      <c r="AX51" s="416" t="n"/>
      <c r="AY51" s="418" t="n"/>
      <c r="AZ51" s="418" t="n"/>
      <c r="BA51" s="418" t="n"/>
      <c r="BB51" s="602">
        <f>SUM(IF(AX51=AX$5,4,0),IF(AX51&amp;AY51=AX$5&amp;AY$5,1,0),
IF(AND(AX51=AX$5,AY$6&gt;=$D$115),1,0),
IF(AND(AY51=AX$5,AY$6&gt;=$D$115),1,0),
IF(AND(AZ51=AX$5,AY$6&gt;=$D$115),1,0),
IF(AX51&amp;BA51=BB$5,1,0),
IF(AY51=AX$5,2,0),
IF(AZ51=AX$5,1,0),
IF(OR(AX51&amp;AY51&amp;AZ51=AX$5&amp;AY$5&amp;AZ$5,AX51&amp;AY51&amp;AZ51=AX$5&amp;AZ$5&amp;AY$5,AX51&amp;AY51&amp;AZ51=AY$5&amp;AX$5&amp;AZ$5,AX51&amp;AY51&amp;AZ51=AY$5&amp;AZ$5&amp;AX$5,AX51&amp;AY51&amp;AZ51=AZ$5&amp;AX$5&amp;AY$5,AX51&amp;AY51&amp;AZ51=AZ$5&amp;AY$5&amp;AX$5),2,0),IF(AND(AX51=AX$5,AY$6&gt;=$D$129),1,0),IF(AND(AY51=AX$5,AY$6&gt;=$D$129),1,0),IF(AND(AZ51=AX$5,AY$6&gt;=$D$129),1,0),IF(AX51&amp;BA51=BA$5,4,0),IF(AND(AX51=AX$5,AY$6&lt;=$D$104),-0.5,0),IF(AND(AY51=AX$5,AY$6&lt;=$D$104),-0.5,0),IF(AND(AZ51=AX$5,AY$6&lt;=$D$104),-0.5,0))</f>
        <v/>
      </c>
      <c r="BC51" s="416" t="n"/>
      <c r="BD51" s="418" t="n"/>
      <c r="BE51" s="418" t="n"/>
      <c r="BF51" s="418" t="n"/>
      <c r="BG51" s="602">
        <f>SUM(IF(BC51=BC$5,4,0),IF(BC51&amp;BD51=BC$5&amp;BD$5,1,0),
IF(AND(BC51=BC$5,BD$6&gt;=$D$115),1,0),
IF(AND(BD51=BC$5,BD$6&gt;=$D$115),1,0),
IF(AND(BE51=BC$5,BD$6&gt;=$D$115),1,0),
IF(BC51&amp;BF51=BG$5,1,0),
IF(BD51=BC$5,2,0),
IF(BE51=BC$5,1,0),
IF(OR(BC51&amp;BD51&amp;BE51=BC$5&amp;BD$5&amp;BE$5,BC51&amp;BD51&amp;BE51=BC$5&amp;BE$5&amp;BD$5,BC51&amp;BD51&amp;BE51=BD$5&amp;BC$5&amp;BE$5,BC51&amp;BD51&amp;BE51=BD$5&amp;BE$5&amp;BC$5,BC51&amp;BD51&amp;BE51=BE$5&amp;BC$5&amp;BD$5,BC51&amp;BD51&amp;BE51=BE$5&amp;BD$5&amp;BC$5),2,0),IF(AND(BC51=BC$5,BD$6&gt;=$D$129),1,0),IF(AND(BD51=BC$5,BD$6&gt;=$D$129),1,0),IF(AND(BE51=BC$5,BD$6&gt;=$D$129),1,0),IF(BC51&amp;BF51=BF$5,4,0),IF(AND(BC51=BC$5,BD$6&lt;=$D$104),-0.5,0),IF(AND(BD51=BC$5,BD$6&lt;=$D$104),-0.5,0),IF(AND(BE51=BC$5,BD$6&lt;=$D$104),-0.5,0))</f>
        <v/>
      </c>
      <c r="BH51" s="416" t="n"/>
      <c r="BI51" s="418" t="n"/>
      <c r="BJ51" s="418" t="n"/>
      <c r="BK51" s="418" t="n"/>
      <c r="BL51" s="602">
        <f>SUM(IF(BH51=BH$5,4,0),IF(BH51&amp;BI51=BH$5&amp;BI$5,1,0),
IF(AND(BH51=BH$5,BI$6&gt;=$D$115),1,0),
IF(AND(BI51=BH$5,BI$6&gt;=$D$115),1,0),
IF(AND(BJ51=BH$5,BI$6&gt;=$D$115),1,0),
IF(BH51&amp;BK51=BL$5,1,0),
IF(BI51=BH$5,2,0),
IF(BJ51=BH$5,1,0),
IF(OR(BH51&amp;BI51&amp;BJ51=BH$5&amp;BI$5&amp;BJ$5,BH51&amp;BI51&amp;BJ51=BH$5&amp;BJ$5&amp;BI$5,BH51&amp;BI51&amp;BJ51=BI$5&amp;BH$5&amp;BJ$5,BH51&amp;BI51&amp;BJ51=BI$5&amp;BJ$5&amp;BH$5,BH51&amp;BI51&amp;BJ51=BJ$5&amp;BH$5&amp;BI$5,BH51&amp;BI51&amp;BJ51=BJ$5&amp;BI$5&amp;BH$5),2,0),IF(AND(BH51=BH$5,BI$6&gt;=$D$129),1,0),IF(AND(BI51=BH$5,BI$6&gt;=$D$129),1,0),IF(AND(BJ51=BH$5,BI$6&gt;=$D$129),1,0),IF(BH51&amp;BK51=BK$5,4,0),IF(AND(BH51=BH$5,BI$6&lt;=$D$104),-0.5,0),IF(AND(BI51=BH$5,BI$6&lt;=$D$104),-0.5,0),IF(AND(BJ51=BH$5,BI$6&lt;=$D$104),-0.5,0))</f>
        <v/>
      </c>
      <c r="BM51" s="416" t="n"/>
      <c r="BN51" s="418" t="n"/>
      <c r="BO51" s="418" t="n"/>
      <c r="BP51" s="418" t="n"/>
      <c r="BQ51" s="602">
        <f>SUM(IF(BM51=BM$5,4,0),IF(BM51&amp;BN51=BM$5&amp;BN$5,1,0),
IF(AND(BM51=BM$5,BN$6&gt;=$D$115),1,0),
IF(AND(BN51=BM$5,BN$6&gt;=$D$115),1,0),
IF(AND(BO51=BM$5,BN$6&gt;=$D$115),1,0),
IF(BM51&amp;BP51=BQ$5,1,0),
IF(BN51=BM$5,2,0),
IF(BO51=BM$5,1,0),
IF(OR(BM51&amp;BN51&amp;BO51=BM$5&amp;BN$5&amp;BO$5,BM51&amp;BN51&amp;BO51=BM$5&amp;BO$5&amp;BN$5,BM51&amp;BN51&amp;BO51=BN$5&amp;BM$5&amp;BO$5,BM51&amp;BN51&amp;BO51=BN$5&amp;BO$5&amp;BM$5,BM51&amp;BN51&amp;BO51=BO$5&amp;BM$5&amp;BN$5,BM51&amp;BN51&amp;BO51=BO$5&amp;BN$5&amp;BM$5),2,0),IF(AND(BM51=BM$5,BN$6&gt;=$D$129),1,0),IF(AND(BN51=BM$5,BN$6&gt;=$D$129),1,0),IF(AND(BO51=BM$5,BN$6&gt;=$D$129),1,0),IF(BM51&amp;BP51=BP$5,4,0),IF(AND(BM51=BM$5,BN$6&lt;=$D$104),-0.5,0),IF(AND(BN51=BM$5,BN$6&lt;=$D$104),-0.5,0),IF(AND(BO51=BM$5,BN$6&lt;=$D$104),-0.5,0))</f>
        <v/>
      </c>
      <c r="BR51" s="416" t="n"/>
      <c r="BS51" s="418" t="n"/>
      <c r="BT51" s="418" t="n"/>
      <c r="BU51" s="418" t="n"/>
      <c r="BV51" s="602">
        <f>SUM(IF(BR51=BR$5,4,0),IF(BR51&amp;BS51=BR$5&amp;BS$5,1,0),
IF(AND(BR51=BR$5,BS$6&gt;=$D$115),1,0),
IF(AND(BS51=BR$5,BS$6&gt;=$D$115),1,0),
IF(AND(BT51=BR$5,BS$6&gt;=$D$115),1,0),
IF(BR51&amp;BU51=BV$5,1,0),
IF(BS51=BR$5,2,0),
IF(BT51=BR$5,1,0),
IF(OR(BR51&amp;BS51&amp;BT51=BR$5&amp;BS$5&amp;BT$5,BR51&amp;BS51&amp;BT51=BR$5&amp;BT$5&amp;BS$5,BR51&amp;BS51&amp;BT51=BS$5&amp;BR$5&amp;BT$5,BR51&amp;BS51&amp;BT51=BS$5&amp;BT$5&amp;BR$5,BR51&amp;BS51&amp;BT51=BT$5&amp;BR$5&amp;BS$5,BR51&amp;BS51&amp;BT51=BT$5&amp;BS$5&amp;BR$5),2,0),IF(AND(BR51=BR$5,BS$6&gt;=$D$129),1,0),IF(AND(BS51=BR$5,BS$6&gt;=$D$129),1,0),IF(AND(BT51=BR$5,BS$6&gt;=$D$129),1,0),IF(BR51&amp;BU51=BU$5,4,0),IF(AND(BR51=BR$5,BS$6&lt;=$D$104),-0.5,0),IF(AND(BS51=BR$5,BS$6&lt;=$D$104),-0.5,0),IF(AND(BT51=BR$5,BS$6&lt;=$D$104),-0.5,0))</f>
        <v/>
      </c>
      <c r="BW51" s="416" t="n"/>
      <c r="BX51" s="418" t="n"/>
      <c r="BY51" s="418" t="n"/>
      <c r="BZ51" s="418" t="n"/>
      <c r="CA51" s="602">
        <f>SUM(IF(BW51=BW$5,4,0),IF(BW51&amp;BX51=BW$5&amp;BX$5,1,0),
IF(AND(BW51=BW$5,BX$6&gt;=$D$115),1,0),
IF(AND(BX51=BW$5,BX$6&gt;=$D$115),1,0),
IF(AND(BY51=BW$5,BX$6&gt;=$D$115),1,0),
IF(BW51&amp;BZ51=CA$5,1,0),
IF(BX51=BW$5,2,0),
IF(BY51=BW$5,1,0),
IF(OR(BW51&amp;BX51&amp;BY51=BW$5&amp;BX$5&amp;BY$5,BW51&amp;BX51&amp;BY51=BW$5&amp;BY$5&amp;BX$5,BW51&amp;BX51&amp;BY51=BX$5&amp;BW$5&amp;BY$5,BW51&amp;BX51&amp;BY51=BX$5&amp;BY$5&amp;BW$5,BW51&amp;BX51&amp;BY51=BY$5&amp;BW$5&amp;BX$5,BW51&amp;BX51&amp;BY51=BY$5&amp;BX$5&amp;BW$5),2,0),IF(AND(BW51=BW$5,BX$6&gt;=$D$129),1,0),IF(AND(BX51=BW$5,BX$6&gt;=$D$129),1,0),IF(AND(BY51=BW$5,BX$6&gt;=$D$129),1,0),IF(BW51&amp;BZ51=BZ$5,4,0),IF(AND(BW51=BW$5,BX$6&lt;=$D$104),-0.5,0),IF(AND(BX51=BW$5,BX$6&lt;=$D$104),-0.5,0),IF(AND(BY51=BW$5,BX$6&lt;=$D$104),-0.5,0))</f>
        <v/>
      </c>
      <c r="CB51" s="416" t="n"/>
      <c r="CC51" s="418" t="n"/>
      <c r="CD51" s="418" t="n"/>
      <c r="CE51" s="418" t="n"/>
      <c r="CF51" s="602">
        <f>SUM(IF(CB51=CB$5,4,0),IF(CB51&amp;CC51=CB$5&amp;CC$5,1,0),
IF(AND(CB51=CB$5,CC$6&gt;=$D$115),1,0),
IF(AND(CC51=CB$5,CC$6&gt;=$D$115),1,0),
IF(AND(CD51=CB$5,CC$6&gt;=$D$115),1,0),
IF(CB51&amp;CE51=CF$5,1,0),
IF(CC51=CB$5,2,0),
IF(CD51=CB$5,1,0),
IF(OR(CB51&amp;CC51&amp;CD51=CB$5&amp;CC$5&amp;CD$5,CB51&amp;CC51&amp;CD51=CB$5&amp;CD$5&amp;CC$5,CB51&amp;CC51&amp;CD51=CC$5&amp;CB$5&amp;CD$5,CB51&amp;CC51&amp;CD51=CC$5&amp;CD$5&amp;CB$5,CB51&amp;CC51&amp;CD51=CD$5&amp;CB$5&amp;CC$5,CB51&amp;CC51&amp;CD51=CD$5&amp;CC$5&amp;CB$5),2,0),IF(AND(CB51=CB$5,CC$6&gt;=$D$129),1,0),IF(AND(CC51=CB$5,CC$6&gt;=$D$129),1,0),IF(AND(CD51=CB$5,CC$6&gt;=$D$129),1,0),IF(CB51&amp;CE51=CE$5,4,0),IF(AND(CB51=CB$5,CC$6&lt;=$D$104),-0.5,0),IF(AND(CC51=CB$5,CC$6&lt;=$D$104),-0.5,0),IF(AND(CD51=CB$5,CC$6&lt;=$D$104),-0.5,0))</f>
        <v/>
      </c>
      <c r="CG51" s="164">
        <f>IF(SEMANA29[[#This Row],[1]]="",0,$B$4)</f>
        <v/>
      </c>
      <c r="CH51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1" s="189">
        <f>IF(SEMANA29[[#This Row],[Columna14]]=0,0,(CH51/CG51))</f>
        <v/>
      </c>
      <c r="CJ51" s="165">
        <f>IF(SEMANA29[[#This Row],[1]]="",0,$B$4)</f>
        <v/>
      </c>
      <c r="CK51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1" s="189">
        <f>IF(SEMANA29[[#This Row],[Columna14]]=0,0,(CK51/CJ51))</f>
        <v/>
      </c>
      <c r="CM51" s="164">
        <f>IF(SEMANA29[[#This Row],[1]]="",0,$B$4)</f>
        <v/>
      </c>
      <c r="CN51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1" s="189">
        <f>IF(SEMANA29[[#This Row],[Columna14]]=0,0,(CN51/CM51))</f>
        <v/>
      </c>
      <c r="CP51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1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Row],[Columna25]],$AX$5,BA51,"SF")+COUNTIFS(SEMANA29[[#This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1" s="189">
        <f>IFERROR(IF(SEMANA29[[#This Row],[Columna14]]=0,0,(CQ51/CP51)),0)</f>
        <v/>
      </c>
      <c r="CS51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1" s="95">
        <f>_xlfn.XLOOKUP(SEMANA29[[#This Row],[COD]],SEMANA2[COD],SEMANA2[Columna33])</f>
        <v/>
      </c>
      <c r="CU51" s="604">
        <f>SUM(CS51,CT51)</f>
        <v/>
      </c>
      <c r="CV51" s="450">
        <f>IF(SEMANA29[[#This Row],[TIPO]]="PREMIO",$O$3,"0,00")</f>
        <v/>
      </c>
      <c r="CW51" s="576" t="n"/>
      <c r="CY51" s="392">
        <f>IF(CZ51="","",$CZ$25)</f>
        <v/>
      </c>
      <c r="CZ51" s="392" t="n"/>
      <c r="DA51" s="392">
        <f t="array" ref="DA51">IF(CZ51="", "", IF((INDEX(E$8:CE$57, MATCH(CZ51, C$8:C$57, 0), ($CZ$25-1)*5 + 1) &amp; "") = (INDEX(E$5:CE$5, 1, ($CZ$25-1)*5 + 1) &amp; ""), 1, IF((INDEX(E$8:CE$57, MATCH(CZ51, C$8:C$57, 0), ($CZ$25-1)*5 + 2) &amp; "") = (INDEX(E$5:CE$5, 1, ($CZ$25-1)*5 + 1) &amp; ""), 2, IF((INDEX(E$8:CE$57, MATCH(CZ51, C$8:C$57, 0), ($CZ$25-1)*5 + 3) &amp; "") = (INDEX(E$5:CE$5, 1, ($CZ$25-1)*5 + 1) &amp; ""), 3, ""))))</f>
        <v/>
      </c>
      <c r="DB51" s="605">
        <f>SEMANA29[[#This Row],[COD]]</f>
        <v/>
      </c>
      <c r="DC51" s="395">
        <f t="array" ref="DC51">IFERROR(IF(AND(INDEX($E$8:$CE$57, MATCH($C51, $C$8:$C$57, 0), (COLUMNS($DC51:DC51)-1)*5 + 1) = INDEX($E$5:$CE$5, 1, (COLUMNS($DC51:DC51)-1)*5 + 1), INDEX($E$8:$CE$57, MATCH($C51, $C$8:$C$57, 0), (COLUMNS($DC51:DC51)-1)*5 + 4) = "F"), INDEX($CZ$8:$CZ$23, COLUMNS($DC51:DC51)), "0"), "")</f>
        <v/>
      </c>
      <c r="DD51" s="395">
        <f t="array" ref="DD51">IFERROR(IF(AND(INDEX($E$8:$CE$57, MATCH($C51, $C$8:$C$57, 0), (COLUMNS($DC51:DD51)-1)*5 + 1) = INDEX($E$5:$CE$5, 1, (COLUMNS($DC51:DD51)-1)*5 + 1), INDEX($E$8:$CE$57, MATCH($C51, $C$8:$C$57, 0), (COLUMNS($DC51:DD51)-1)*5 + 4) = "F"), INDEX($CZ$8:$CZ$23, COLUMNS($DC51:DD51)), "0"), "")</f>
        <v/>
      </c>
      <c r="DE51" s="395">
        <f t="array" ref="DE51">IFERROR(IF(AND(INDEX($E$8:$CE$57, MATCH($C51, $C$8:$C$57, 0), (COLUMNS($DC51:DE51)-1)*5 + 1) = INDEX($E$5:$CE$5, 1, (COLUMNS($DC51:DE51)-1)*5 + 1), INDEX($E$8:$CE$57, MATCH($C51, $C$8:$C$57, 0), (COLUMNS($DC51:DE51)-1)*5 + 4) = "F"), INDEX($CZ$8:$CZ$23, COLUMNS($DC51:DE51)), "0"), "")</f>
        <v/>
      </c>
      <c r="DF51" s="395">
        <f t="array" ref="DF51">IFERROR(IF(AND(INDEX($E$8:$CE$57, MATCH($C51, $C$8:$C$57, 0), (COLUMNS($DC51:DF51)-1)*5 + 1) = INDEX($E$5:$CE$5, 1, (COLUMNS($DC51:DF51)-1)*5 + 1), INDEX($E$8:$CE$57, MATCH($C51, $C$8:$C$57, 0), (COLUMNS($DC51:DF51)-1)*5 + 4) = "F"), INDEX($CZ$8:$CZ$23, COLUMNS($DC51:DF51)), "0"), "")</f>
        <v/>
      </c>
      <c r="DG51" s="395">
        <f t="array" ref="DG51">IFERROR(IF(AND(INDEX($E$8:$CE$57, MATCH($C51, $C$8:$C$57, 0), (COLUMNS($DC51:DG51)-1)*5 + 1) = INDEX($E$5:$CE$5, 1, (COLUMNS($DC51:DG51)-1)*5 + 1), INDEX($E$8:$CE$57, MATCH($C51, $C$8:$C$57, 0), (COLUMNS($DC51:DG51)-1)*5 + 4) = "F"), INDEX($CZ$8:$CZ$23, COLUMNS($DC51:DG51)), "0"), "")</f>
        <v/>
      </c>
      <c r="DH51" s="395">
        <f t="array" ref="DH51">IFERROR(IF(AND(INDEX($E$8:$CE$57, MATCH($C51, $C$8:$C$57, 0), (COLUMNS($DC51:DH51)-1)*5 + 1) = INDEX($E$5:$CE$5, 1, (COLUMNS($DC51:DH51)-1)*5 + 1), INDEX($E$8:$CE$57, MATCH($C51, $C$8:$C$57, 0), (COLUMNS($DC51:DH51)-1)*5 + 4) = "F"), INDEX($CZ$8:$CZ$23, COLUMNS($DC51:DH51)), "0"), "")</f>
        <v/>
      </c>
      <c r="DI51" s="395">
        <f t="array" ref="DI51">IFERROR(IF(AND(INDEX($E$8:$CE$57, MATCH($C51, $C$8:$C$57, 0), (COLUMNS($DC51:DI51)-1)*5 + 1) = INDEX($E$5:$CE$5, 1, (COLUMNS($DC51:DI51)-1)*5 + 1), INDEX($E$8:$CE$57, MATCH($C51, $C$8:$C$57, 0), (COLUMNS($DC51:DI51)-1)*5 + 4) = "F"), INDEX($CZ$8:$CZ$23, COLUMNS($DC51:DI51)), "0"), "")</f>
        <v/>
      </c>
      <c r="DJ51" s="395">
        <f t="array" ref="DJ51">IFERROR(IF(AND(INDEX($E$8:$CE$57, MATCH($C51, $C$8:$C$57, 0), (COLUMNS($DC51:DJ51)-1)*5 + 1) = INDEX($E$5:$CE$5, 1, (COLUMNS($DC51:DJ51)-1)*5 + 1), INDEX($E$8:$CE$57, MATCH($C51, $C$8:$C$57, 0), (COLUMNS($DC51:DJ51)-1)*5 + 4) = "F"), INDEX($CZ$8:$CZ$23, COLUMNS($DC51:DJ51)), "0"), "")</f>
        <v/>
      </c>
      <c r="DK51" s="395">
        <f t="array" ref="DK51">IFERROR(IF(AND(INDEX($E$8:$CE$57, MATCH($C51, $C$8:$C$57, 0), (COLUMNS($DC51:DK51)-1)*5 + 1) = INDEX($E$5:$CE$5, 1, (COLUMNS($DC51:DK51)-1)*5 + 1), INDEX($E$8:$CE$57, MATCH($C51, $C$8:$C$57, 0), (COLUMNS($DC51:DK51)-1)*5 + 4) = "F"), INDEX($CZ$8:$CZ$23, COLUMNS($DC51:DK51)), "0"), "")</f>
        <v/>
      </c>
      <c r="DL51" s="395">
        <f t="array" ref="DL51">IFERROR(IF(AND(INDEX($E$8:$CE$57, MATCH($C51, $C$8:$C$57, 0), (COLUMNS($DC51:DL51)-1)*5 + 1) = INDEX($E$5:$CE$5, 1, (COLUMNS($DC51:DL51)-1)*5 + 1), INDEX($E$8:$CE$57, MATCH($C51, $C$8:$C$57, 0), (COLUMNS($DC51:DL51)-1)*5 + 4) = "F"), INDEX($CZ$8:$CZ$23, COLUMNS($DC51:DL51)), "0"), "")</f>
        <v/>
      </c>
      <c r="DM51" s="395">
        <f t="array" ref="DM51">IFERROR(IF(AND(INDEX($E$8:$CE$57, MATCH($C51, $C$8:$C$57, 0), (COLUMNS($DC51:DM51)-1)*5 + 1) = INDEX($E$5:$CE$5, 1, (COLUMNS($DC51:DM51)-1)*5 + 1), INDEX($E$8:$CE$57, MATCH($C51, $C$8:$C$57, 0), (COLUMNS($DC51:DM51)-1)*5 + 4) = "F"), INDEX($CZ$8:$CZ$23, COLUMNS($DC51:DM51)), "0"), "")</f>
        <v/>
      </c>
      <c r="DN51" s="395">
        <f t="array" ref="DN51">IFERROR(IF(AND(INDEX($E$8:$CE$57, MATCH($C51, $C$8:$C$57, 0), (COLUMNS($DC51:DN51)-1)*5 + 1) = INDEX($E$5:$CE$5, 1, (COLUMNS($DC51:DN51)-1)*5 + 1), INDEX($E$8:$CE$57, MATCH($C51, $C$8:$C$57, 0), (COLUMNS($DC51:DN51)-1)*5 + 4) = "F"), INDEX($CZ$8:$CZ$23, COLUMNS($DC51:DN51)), "0"), "")</f>
        <v/>
      </c>
      <c r="DO51" s="395">
        <f t="array" ref="DO51">IFERROR(IF(AND(INDEX($E$8:$CE$57, MATCH($C51, $C$8:$C$57, 0), (COLUMNS($DC51:DO51)-1)*5 + 1) = INDEX($E$5:$CE$5, 1, (COLUMNS($DC51:DO51)-1)*5 + 1), INDEX($E$8:$CE$57, MATCH($C51, $C$8:$C$57, 0), (COLUMNS($DC51:DO51)-1)*5 + 4) = "F"), INDEX($CZ$8:$CZ$23, COLUMNS($DC51:DO51)), "0"), "")</f>
        <v/>
      </c>
      <c r="DP51" s="395">
        <f t="array" ref="DP51">IFERROR(IF(AND(INDEX($E$8:$CE$57, MATCH($C51, $C$8:$C$57, 0), (COLUMNS($DC51:DP51)-1)*5 + 1) = INDEX($E$5:$CE$5, 1, (COLUMNS($DC51:DP51)-1)*5 + 1), INDEX($E$8:$CE$57, MATCH($C51, $C$8:$C$57, 0), (COLUMNS($DC51:DP51)-1)*5 + 4) = "F"), INDEX($CZ$8:$CZ$23, COLUMNS($DC51:DP51)), "0"), "")</f>
        <v/>
      </c>
      <c r="DQ51" s="395">
        <f t="array" ref="DQ51">IFERROR(IF(AND(INDEX($E$8:$CE$57, MATCH($C51, $C$8:$C$57, 0), (COLUMNS($DC51:DQ51)-1)*5 + 1) = INDEX($E$5:$CE$5, 1, (COLUMNS($DC51:DQ51)-1)*5 + 1), INDEX($E$8:$CE$57, MATCH($C51, $C$8:$C$57, 0), (COLUMNS($DC51:DQ51)-1)*5 + 4) = "F"), INDEX($CZ$8:$CZ$23, COLUMNS($DC51:DQ51)), "0"), "")</f>
        <v/>
      </c>
      <c r="DR51" s="395">
        <f t="array" ref="DR51">IFERROR(IF(AND(INDEX($E$8:$CE$57, MATCH($C51, $C$8:$C$57, 0), (COLUMNS($DC51:DR51)-1)*5 + 1) = INDEX($E$5:$CE$5, 1, (COLUMNS($DC51:DR51)-1)*5 + 1), INDEX($E$8:$CE$57, MATCH($C51, $C$8:$C$57, 0), (COLUMNS($DC51:DR51)-1)*5 + 4) = "F"), INDEX($CZ$8:$CZ$23, COLUMNS($DC51:DR51)), "0"), "")</f>
        <v/>
      </c>
      <c r="DT51" s="605">
        <f>SEMANA29[[#This Row],[COD]]</f>
        <v/>
      </c>
      <c r="DU51" s="395">
        <f t="array" ref="DU51">IFERROR(IF(AND(INDEX($E$8:$CE$57, MATCH($C51, $C$8:$C$57, 0), (COLUMNS($DU51:DU51)-1)*5 + 1) = INDEX($E$5:$CE$5, 1, (COLUMNS($DU51:DU51)-1)*5 + 1), INDEX($E$8:$CE$57, MATCH($C51, $C$8:$C$57, 0), (COLUMNS($DU51:DU51)-1)*5 + 4) = "SF"), INDEX($CZ$8:$CZ$23, COLUMNS($DU51:DU51)), "0"), "")</f>
        <v/>
      </c>
      <c r="DV51" s="395">
        <f t="array" ref="DV51">IFERROR(IF(AND(INDEX($E$8:$CE$57, MATCH($C51, $C$8:$C$57, 0), (COLUMNS($DU51:DV51)-1)*5 + 1) = INDEX($E$5:$CE$5, 1, (COLUMNS($DU51:DV51)-1)*5 + 1), INDEX($E$8:$CE$57, MATCH($C51, $C$8:$C$57, 0), (COLUMNS($DU51:DV51)-1)*5 + 4) = "SF"), INDEX($CZ$8:$CZ$23, COLUMNS($DU51:DV51)), "0"), "")</f>
        <v/>
      </c>
      <c r="DW51" s="395">
        <f t="array" ref="DW51">IFERROR(IF(AND(INDEX($E$8:$CE$57, MATCH($C51, $C$8:$C$57, 0), (COLUMNS($DU51:DW51)-1)*5 + 1) = INDEX($E$5:$CE$5, 1, (COLUMNS($DU51:DW51)-1)*5 + 1), INDEX($E$8:$CE$57, MATCH($C51, $C$8:$C$57, 0), (COLUMNS($DU51:DW51)-1)*5 + 4) = "SF"), INDEX($CZ$8:$CZ$23, COLUMNS($DU51:DW51)), "0"), "")</f>
        <v/>
      </c>
      <c r="DX51" s="395">
        <f t="array" ref="DX51">IFERROR(IF(AND(INDEX($E$8:$CE$57, MATCH($C51, $C$8:$C$57, 0), (COLUMNS($DU51:DX51)-1)*5 + 1) = INDEX($E$5:$CE$5, 1, (COLUMNS($DU51:DX51)-1)*5 + 1), INDEX($E$8:$CE$57, MATCH($C51, $C$8:$C$57, 0), (COLUMNS($DU51:DX51)-1)*5 + 4) = "SF"), INDEX($CZ$8:$CZ$23, COLUMNS($DU51:DX51)), "0"), "")</f>
        <v/>
      </c>
      <c r="DY51" s="395">
        <f t="array" ref="DY51">IFERROR(IF(AND(INDEX($E$8:$CE$57, MATCH($C51, $C$8:$C$57, 0), (COLUMNS($DU51:DY51)-1)*5 + 1) = INDEX($E$5:$CE$5, 1, (COLUMNS($DU51:DY51)-1)*5 + 1), INDEX($E$8:$CE$57, MATCH($C51, $C$8:$C$57, 0), (COLUMNS($DU51:DY51)-1)*5 + 4) = "SF"), INDEX($CZ$8:$CZ$23, COLUMNS($DU51:DY51)), "0"), "")</f>
        <v/>
      </c>
      <c r="DZ51" s="395">
        <f t="array" ref="DZ51">IFERROR(IF(AND(INDEX($E$8:$CE$57, MATCH($C51, $C$8:$C$57, 0), (COLUMNS($DU51:DZ51)-1)*5 + 1) = INDEX($E$5:$CE$5, 1, (COLUMNS($DU51:DZ51)-1)*5 + 1), INDEX($E$8:$CE$57, MATCH($C51, $C$8:$C$57, 0), (COLUMNS($DU51:DZ51)-1)*5 + 4) = "SF"), INDEX($CZ$8:$CZ$23, COLUMNS($DU51:DZ51)), "0"), "")</f>
        <v/>
      </c>
      <c r="EA51" s="395">
        <f t="array" ref="EA51">IFERROR(IF(AND(INDEX($E$8:$CE$57, MATCH($C51, $C$8:$C$57, 0), (COLUMNS($DU51:EA51)-1)*5 + 1) = INDEX($E$5:$CE$5, 1, (COLUMNS($DU51:EA51)-1)*5 + 1), INDEX($E$8:$CE$57, MATCH($C51, $C$8:$C$57, 0), (COLUMNS($DU51:EA51)-1)*5 + 4) = "SF"), INDEX($CZ$8:$CZ$23, COLUMNS($DU51:EA51)), "0"), "")</f>
        <v/>
      </c>
      <c r="EB51" s="395">
        <f t="array" ref="EB51">IFERROR(IF(AND(INDEX($E$8:$CE$57, MATCH($C51, $C$8:$C$57, 0), (COLUMNS($DU51:EB51)-1)*5 + 1) = INDEX($E$5:$CE$5, 1, (COLUMNS($DU51:EB51)-1)*5 + 1), INDEX($E$8:$CE$57, MATCH($C51, $C$8:$C$57, 0), (COLUMNS($DU51:EB51)-1)*5 + 4) = "SF"), INDEX($CZ$8:$CZ$23, COLUMNS($DU51:EB51)), "0"), "")</f>
        <v/>
      </c>
      <c r="EC51" s="395">
        <f t="array" ref="EC51">IFERROR(IF(AND(INDEX($E$8:$CE$57, MATCH($C51, $C$8:$C$57, 0), (COLUMNS($DU51:EC51)-1)*5 + 1) = INDEX($E$5:$CE$5, 1, (COLUMNS($DU51:EC51)-1)*5 + 1), INDEX($E$8:$CE$57, MATCH($C51, $C$8:$C$57, 0), (COLUMNS($DU51:EC51)-1)*5 + 4) = "SF"), INDEX($CZ$8:$CZ$23, COLUMNS($DU51:EC51)), "0"), "")</f>
        <v/>
      </c>
      <c r="ED51" s="395">
        <f t="array" ref="ED51">IFERROR(IF(AND(INDEX($E$8:$CE$57, MATCH($C51, $C$8:$C$57, 0), (COLUMNS($DU51:ED51)-1)*5 + 1) = INDEX($E$5:$CE$5, 1, (COLUMNS($DU51:ED51)-1)*5 + 1), INDEX($E$8:$CE$57, MATCH($C51, $C$8:$C$57, 0), (COLUMNS($DU51:ED51)-1)*5 + 4) = "SF"), INDEX($CZ$8:$CZ$23, COLUMNS($DU51:ED51)), "0"), "")</f>
        <v/>
      </c>
      <c r="EE51" s="395">
        <f t="array" ref="EE51">IFERROR(IF(AND(INDEX($E$8:$CE$57, MATCH($C51, $C$8:$C$57, 0), (COLUMNS($DU51:EE51)-1)*5 + 1) = INDEX($E$5:$CE$5, 1, (COLUMNS($DU51:EE51)-1)*5 + 1), INDEX($E$8:$CE$57, MATCH($C51, $C$8:$C$57, 0), (COLUMNS($DU51:EE51)-1)*5 + 4) = "SF"), INDEX($CZ$8:$CZ$23, COLUMNS($DU51:EE51)), "0"), "")</f>
        <v/>
      </c>
      <c r="EF51" s="395">
        <f t="array" ref="EF51">IFERROR(IF(AND(INDEX($E$8:$CE$57, MATCH($C51, $C$8:$C$57, 0), (COLUMNS($DU51:EF51)-1)*5 + 1) = INDEX($E$5:$CE$5, 1, (COLUMNS($DU51:EF51)-1)*5 + 1), INDEX($E$8:$CE$57, MATCH($C51, $C$8:$C$57, 0), (COLUMNS($DU51:EF51)-1)*5 + 4) = "SF"), INDEX($CZ$8:$CZ$23, COLUMNS($DU51:EF51)), "0"), "")</f>
        <v/>
      </c>
      <c r="EG51" s="395">
        <f t="array" ref="EG51">IFERROR(IF(AND(INDEX($E$8:$CE$57, MATCH($C51, $C$8:$C$57, 0), (COLUMNS($DU51:EG51)-1)*5 + 1) = INDEX($E$5:$CE$5, 1, (COLUMNS($DU51:EG51)-1)*5 + 1), INDEX($E$8:$CE$57, MATCH($C51, $C$8:$C$57, 0), (COLUMNS($DU51:EG51)-1)*5 + 4) = "SF"), INDEX($CZ$8:$CZ$23, COLUMNS($DU51:EG51)), "0"), "")</f>
        <v/>
      </c>
      <c r="EH51" s="395">
        <f t="array" ref="EH51">IFERROR(IF(AND(INDEX($E$8:$CE$57, MATCH($C51, $C$8:$C$57, 0), (COLUMNS($DU51:EH51)-1)*5 + 1) = INDEX($E$5:$CE$5, 1, (COLUMNS($DU51:EH51)-1)*5 + 1), INDEX($E$8:$CE$57, MATCH($C51, $C$8:$C$57, 0), (COLUMNS($DU51:EH51)-1)*5 + 4) = "SF"), INDEX($CZ$8:$CZ$23, COLUMNS($DU51:EH51)), "0"), "")</f>
        <v/>
      </c>
      <c r="EI51" s="395">
        <f t="array" ref="EI51">IFERROR(IF(AND(INDEX($E$8:$CE$57, MATCH($C51, $C$8:$C$57, 0), (COLUMNS($DU51:EI51)-1)*5 + 1) = INDEX($E$5:$CE$5, 1, (COLUMNS($DU51:EI51)-1)*5 + 1), INDEX($E$8:$CE$57, MATCH($C51, $C$8:$C$57, 0), (COLUMNS($DU51:EI51)-1)*5 + 4) = "SF"), INDEX($CZ$8:$CZ$23, COLUMNS($DU51:EI51)), "0"), "")</f>
        <v/>
      </c>
      <c r="EJ51" s="395">
        <f t="array" ref="EJ51">IFERROR(IF(AND(INDEX($E$8:$CE$57, MATCH($C51, $C$8:$C$57, 0), (COLUMNS($DU51:EJ51)-1)*5 + 1) = INDEX($E$5:$CE$5, 1, (COLUMNS($DU51:EJ51)-1)*5 + 1), INDEX($E$8:$CE$57, MATCH($C51, $C$8:$C$57, 0), (COLUMNS($DU51:EJ51)-1)*5 + 4) = "SF"), INDEX($CZ$8:$CZ$23, COLUMNS($DU51:EJ51)), "0"), "")</f>
        <v/>
      </c>
    </row>
    <row r="52" ht="20.1" customHeight="1" s="568">
      <c r="A52" s="576" t="n"/>
      <c r="B52" s="449">
        <f>IF(SEMANA29[[#This Row],[COD]]&lt;&gt;"",B51+1,"")</f>
        <v/>
      </c>
      <c r="C52" s="622" t="inlineStr">
        <is>
          <t>COD 45</t>
        </is>
      </c>
      <c r="D52" s="415">
        <f t="array" ref="D52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2" s="416" t="n"/>
      <c r="F52" s="418" t="n"/>
      <c r="G52" s="418" t="n"/>
      <c r="H52" s="418" t="n"/>
      <c r="I52" s="602">
        <f>SUM(IF(E52=E$5,4,0),IF(E52&amp;F52=E$5&amp;F$5,1,0),
IF(AND(E52=E$5,F$6&gt;=$D$115),1,0),
IF(AND(F52=E$5,F$6&gt;=$D$115),1,0),
IF(AND(G52=E$5,F$6&gt;=$D$115),1,0),
IF(E52&amp;H52=I$5,1,0),
IF(F52=E$5,2,0),
IF(G52=E$5,1,0),
IF(OR(E52&amp;F52&amp;G52=E$5&amp;F$5&amp;G$5,E52&amp;F52&amp;G52=E$5&amp;G$5&amp;F$5,E52&amp;F52&amp;G52=F$5&amp;E$5&amp;G$5,E52&amp;F52&amp;G52=F$5&amp;G$5&amp;E$5,E52&amp;F52&amp;G52=G$5&amp;E$5&amp;F$5,E52&amp;F52&amp;G52=G$5&amp;F$5&amp;E$5),2,0),IF(AND(E52=E$5,F$6&gt;=$D$129),1,0),IF(AND(F52=E$5,F$6&gt;=$D$129),1,0),IF(AND(G52=E$5,F$6&gt;=$D$129),1,0),IF(E52&amp;H52=H$5,4,0),IF(AND(E52=E$5,F$6&lt;=$D$104),-0.5,0),IF(AND(F52=E$5,F$6&lt;=$D$104),-0.5,0),IF(AND(G52=E$5,F$6&lt;=$D$104),-0.5,0))</f>
        <v/>
      </c>
      <c r="J52" s="416" t="n"/>
      <c r="K52" s="418" t="n"/>
      <c r="L52" s="418" t="n"/>
      <c r="M52" s="418" t="n"/>
      <c r="N52" s="602">
        <f>SUM(IF(J52=J$5,4,0),IF(J52&amp;K52=J$5&amp;K$5,1,0),
IF(AND(J52=J$5,K$6&gt;=$D$115),1,0),
IF(AND(K52=J$5,K$6&gt;=$D$115),1,0),
IF(AND(L52=J$5,K$6&gt;=$D$115),1,0),
IF(J52&amp;M52=N$5,1,0),
IF(K52=J$5,2,0),
IF(L52=J$5,1,0),
IF(OR(J52&amp;K52&amp;L52=J$5&amp;K$5&amp;L$5,J52&amp;K52&amp;L52=J$5&amp;L$5&amp;K$5,J52&amp;K52&amp;L52=K$5&amp;J$5&amp;L$5,J52&amp;K52&amp;L52=K$5&amp;L$5&amp;J$5,J52&amp;K52&amp;L52=L$5&amp;J$5&amp;K$5,J52&amp;K52&amp;L52=L$5&amp;K$5&amp;J$5),2,0),IF(AND(J52=J$5,K$6&gt;=$D$129),1,0),IF(AND(K52=J$5,K$6&gt;=$D$129),1,0),IF(AND(L52=J$5,K$6&gt;=$D$129),1,0),IF(J52&amp;M52=M$5,4,0),IF(AND(J52=J$5,K$6&lt;=$D$104),-0.5,0),IF(AND(K52=J$5,K$6&lt;=$D$104),-0.5,0),IF(AND(L52=J$5,K$6&lt;=$D$104),-0.5,0))</f>
        <v/>
      </c>
      <c r="O52" s="416" t="n"/>
      <c r="P52" s="418" t="n"/>
      <c r="Q52" s="418" t="n"/>
      <c r="R52" s="418" t="n"/>
      <c r="S52" s="602">
        <f>SUM(IF(O52=O$5,4,0),IF(O52&amp;P52=O$5&amp;P$5,1,0),
IF(AND(O52=O$5,P$6&gt;=$D$115),1,0),
IF(AND(P52=O$5,P$6&gt;=$D$115),1,0),
IF(AND(Q52=O$5,P$6&gt;=$D$115),1,0),
IF(O52&amp;R52=S$5,1,0),
IF(P52=O$5,2,0),
IF(Q52=O$5,1,0),
IF(OR(O52&amp;P52&amp;Q52=O$5&amp;P$5&amp;Q$5,O52&amp;P52&amp;Q52=O$5&amp;Q$5&amp;P$5,O52&amp;P52&amp;Q52=P$5&amp;O$5&amp;Q$5,O52&amp;P52&amp;Q52=P$5&amp;Q$5&amp;O$5,O52&amp;P52&amp;Q52=Q$5&amp;O$5&amp;P$5,O52&amp;P52&amp;Q52=Q$5&amp;P$5&amp;O$5),2,0),IF(AND(O52=O$5,P$6&gt;=$D$129),1,0),IF(AND(P52=O$5,P$6&gt;=$D$129),1,0),IF(AND(Q52=O$5,P$6&gt;=$D$129),1,0),IF(O52&amp;R52=R$5,4,0),IF(AND(O52=O$5,P$6&lt;=$D$104),-0.5,0),IF(AND(P52=O$5,P$6&lt;=$D$104),-0.5,0),IF(AND(Q52=O$5,P$6&lt;=$D$104),-0.5,0))</f>
        <v/>
      </c>
      <c r="T52" s="416" t="n"/>
      <c r="U52" s="418" t="n"/>
      <c r="V52" s="418" t="n"/>
      <c r="W52" s="418" t="n"/>
      <c r="X52" s="602">
        <f>SUM(IF(T52=T$5,4,0),IF(T52&amp;U52=T$5&amp;U$5,1,0),
IF(AND(T52=T$5,U$6&gt;=$D$115),1,0),
IF(AND(U52=T$5,U$6&gt;=$D$115),1,0),
IF(AND(V52=T$5,U$6&gt;=$D$115),1,0),
IF(T52&amp;W52=X$5,1,0),
IF(U52=T$5,2,0),
IF(V52=T$5,1,0),
IF(OR(T52&amp;U52&amp;V52=T$5&amp;U$5&amp;V$5,T52&amp;U52&amp;V52=T$5&amp;V$5&amp;U$5,T52&amp;U52&amp;V52=U$5&amp;T$5&amp;V$5,T52&amp;U52&amp;V52=U$5&amp;V$5&amp;T$5,T52&amp;U52&amp;V52=V$5&amp;T$5&amp;U$5,T52&amp;U52&amp;V52=V$5&amp;U$5&amp;T$5),2,0),IF(AND(T52=T$5,U$6&gt;=$D$129),1,0),IF(AND(U52=T$5,U$6&gt;=$D$129),1,0),IF(AND(V52=T$5,U$6&gt;=$D$129),1,0),IF(T52&amp;W52=W$5,4,0),IF(AND(T52=T$5,U$6&lt;=$D$104),-0.5,0),IF(AND(U52=T$5,U$6&lt;=$D$104),-0.5,0),IF(AND(V52=T$5,U$6&lt;=$D$104),-0.5,0))</f>
        <v/>
      </c>
      <c r="Y52" s="416" t="n"/>
      <c r="Z52" s="418" t="n"/>
      <c r="AA52" s="418" t="n"/>
      <c r="AB52" s="418" t="n"/>
      <c r="AC52" s="602">
        <f>SUM(IF(Y52=Y$5,4,0),IF(Y52&amp;Z52=Y$5&amp;Z$5,1,0),
IF(AND(Y52=Y$5,Z$6&gt;=$D$115),1,0),
IF(AND(Z52=Y$5,Z$6&gt;=$D$115),1,0),
IF(AND(AA52=Y$5,Z$6&gt;=$D$115),1,0),
IF(Y52&amp;AB52=AC$5,1,0),
IF(Z52=Y$5,2,0),
IF(AA52=Y$5,1,0),
IF(OR(Y52&amp;Z52&amp;AA52=Y$5&amp;Z$5&amp;AA$5,Y52&amp;Z52&amp;AA52=Y$5&amp;AA$5&amp;Z$5,Y52&amp;Z52&amp;AA52=Z$5&amp;Y$5&amp;AA$5,Y52&amp;Z52&amp;AA52=Z$5&amp;AA$5&amp;Y$5,Y52&amp;Z52&amp;AA52=AA$5&amp;Y$5&amp;Z$5,Y52&amp;Z52&amp;AA52=AA$5&amp;Z$5&amp;Y$5),2,0),IF(AND(Y52=Y$5,Z$6&gt;=$D$129),1,0),IF(AND(Z52=Y$5,Z$6&gt;=$D$129),1,0),IF(AND(AA52=Y$5,Z$6&gt;=$D$129),1,0),IF(Y52&amp;AB52=AB$5,4,0),IF(AND(Y52=Y$5,Z$6&lt;=$D$104),-0.5,0),IF(AND(Z52=Y$5,Z$6&lt;=$D$104),-0.5,0),IF(AND(AA52=Y$5,Z$6&lt;=$D$104),-0.5,0))</f>
        <v/>
      </c>
      <c r="AD52" s="416" t="n"/>
      <c r="AE52" s="418" t="n"/>
      <c r="AF52" s="418" t="n"/>
      <c r="AG52" s="418" t="n"/>
      <c r="AH52" s="602">
        <f>SUM(IF(AD52=AD$5,4,0),IF(AD52&amp;AE52=AD$5&amp;AE$5,1,0),
IF(AND(AD52=AD$5,AE$6&gt;=$D$115),1,0),
IF(AND(AE52=AD$5,AE$6&gt;=$D$115),1,0),
IF(AND(AF52=AD$5,AE$6&gt;=$D$115),1,0),
IF(AD52&amp;AG52=AH$5,1,0),
IF(AE52=AD$5,2,0),
IF(AF52=AD$5,1,0),
IF(OR(AD52&amp;AE52&amp;AF52=AD$5&amp;AE$5&amp;AF$5,AD52&amp;AE52&amp;AF52=AD$5&amp;AF$5&amp;AE$5,AD52&amp;AE52&amp;AF52=AE$5&amp;AD$5&amp;AF$5,AD52&amp;AE52&amp;AF52=AE$5&amp;AF$5&amp;AD$5,AD52&amp;AE52&amp;AF52=AF$5&amp;AD$5&amp;AE$5,AD52&amp;AE52&amp;AF52=AF$5&amp;AE$5&amp;AD$5),2,0),IF(AND(AD52=AD$5,AE$6&gt;=$D$129),1,0),IF(AND(AE52=AD$5,AE$6&gt;=$D$129),1,0),IF(AND(AF52=AD$5,AE$6&gt;=$D$129),1,0),IF(AD52&amp;AG52=AG$5,4,0),IF(AND(AD52=AD$5,AE$6&lt;=$D$104),-0.5,0),IF(AND(AE52=AD$5,AE$6&lt;=$D$104),-0.5,0),IF(AND(AF52=AD$5,AE$6&lt;=$D$104),-0.5,0))</f>
        <v/>
      </c>
      <c r="AI52" s="416" t="n"/>
      <c r="AJ52" s="418" t="n"/>
      <c r="AK52" s="418" t="n"/>
      <c r="AL52" s="418" t="n"/>
      <c r="AM52" s="602">
        <f>SUM(IF(AI52=AI$5,4,0),IF(AI52&amp;AJ52=AI$5&amp;AJ$5,1,0),
IF(AND(AI52=AI$5,AJ$6&gt;=$D$115),1,0),
IF(AND(AJ52=AI$5,AJ$6&gt;=$D$115),1,0),
IF(AND(AK52=AI$5,AJ$6&gt;=$D$115),1,0),
IF(AI52&amp;AL52=AM$5,1,0),
IF(AJ52=AI$5,2,0),
IF(AK52=AI$5,1,0),
IF(OR(AI52&amp;AJ52&amp;AK52=AI$5&amp;AJ$5&amp;AK$5,AI52&amp;AJ52&amp;AK52=AI$5&amp;AK$5&amp;AJ$5,AI52&amp;AJ52&amp;AK52=AJ$5&amp;AI$5&amp;AK$5,AI52&amp;AJ52&amp;AK52=AJ$5&amp;AK$5&amp;AI$5,AI52&amp;AJ52&amp;AK52=AK$5&amp;AI$5&amp;AJ$5,AI52&amp;AJ52&amp;AK52=AK$5&amp;AJ$5&amp;AI$5),2,0),IF(AND(AI52=AI$5,AJ$6&gt;=$D$129),1,0),IF(AND(AJ52=AI$5,AJ$6&gt;=$D$129),1,0),IF(AND(AK52=AI$5,AJ$6&gt;=$D$129),1,0),IF(AI52&amp;AL52=AL$5,4,0),IF(AND(AI52=AI$5,AJ$6&lt;=$D$104),-0.5,0),IF(AND(AJ52=AI$5,AJ$6&lt;=$D$104),-0.5,0),IF(AND(AK52=AI$5,AJ$6&lt;=$D$104),-0.5,0))</f>
        <v/>
      </c>
      <c r="AN52" s="416" t="n"/>
      <c r="AO52" s="418" t="n"/>
      <c r="AP52" s="418" t="n"/>
      <c r="AQ52" s="418" t="n"/>
      <c r="AR52" s="602">
        <f>SUM(IF(AN52=AN$5,4,0),IF(AN52&amp;AO52=AN$5&amp;AO$5,1,0),
IF(AND(AN52=AN$5,AO$6&gt;=$D$115),1,0),
IF(AND(AO52=AN$5,AO$6&gt;=$D$115),1,0),
IF(AND(AP52=AN$5,AO$6&gt;=$D$115),1,0),
IF(AN52&amp;AQ52=AR$5,1,0),
IF(AO52=AN$5,2,0),
IF(AP52=AN$5,1,0),
IF(OR(AN52&amp;AO52&amp;AP52=AN$5&amp;AO$5&amp;AP$5,AN52&amp;AO52&amp;AP52=AN$5&amp;AP$5&amp;AO$5,AN52&amp;AO52&amp;AP52=AO$5&amp;AN$5&amp;AP$5,AN52&amp;AO52&amp;AP52=AO$5&amp;AP$5&amp;AN$5,AN52&amp;AO52&amp;AP52=AP$5&amp;AN$5&amp;AO$5,AN52&amp;AO52&amp;AP52=AP$5&amp;AO$5&amp;AN$5),2,0),IF(AND(AN52=AN$5,AO$6&gt;=$D$129),1,0),IF(AND(AO52=AN$5,AO$6&gt;=$D$129),1,0),IF(AND(AP52=AN$5,AO$6&gt;=$D$129),1,0),IF(AN52&amp;AQ52=AQ$5,4,0),IF(AND(AN52=AN$5,AO$6&lt;=$D$104),-0.5,0),IF(AND(AO52=AN$5,AO$6&lt;=$D$104),-0.5,0),IF(AND(AP52=AN$5,AO$6&lt;=$D$104),-0.5,0))</f>
        <v/>
      </c>
      <c r="AS52" s="416" t="n"/>
      <c r="AT52" s="418" t="n"/>
      <c r="AU52" s="418" t="n"/>
      <c r="AV52" s="418" t="n"/>
      <c r="AW52" s="602">
        <f>SUM(IF(AS52=AS$5,4,0),IF(AS52&amp;AT52=AS$5&amp;AT$5,1,0),
IF(AND(AS52=AS$5,AT$6&gt;=$D$115),1,0),
IF(AND(AT52=AS$5,AT$6&gt;=$D$115),1,0),
IF(AND(AU52=AS$5,AT$6&gt;=$D$115),1,0),
IF(AS52&amp;AV52=AW$5,1,0),
IF(AT52=AS$5,2,0),
IF(AU52=AS$5,1,0),
IF(OR(AS52&amp;AT52&amp;AU52=AS$5&amp;AT$5&amp;AU$5,AS52&amp;AT52&amp;AU52=AS$5&amp;AU$5&amp;AT$5,AS52&amp;AT52&amp;AU52=AT$5&amp;AS$5&amp;AU$5,AS52&amp;AT52&amp;AU52=AT$5&amp;AU$5&amp;AS$5,AS52&amp;AT52&amp;AU52=AU$5&amp;AS$5&amp;AT$5,AS52&amp;AT52&amp;AU52=AU$5&amp;AT$5&amp;AS$5),2,0),IF(AND(AS52=AS$5,AT$6&gt;=$D$129),1,0),IF(AND(AT52=AS$5,AT$6&gt;=$D$129),1,0),IF(AND(AU52=AS$5,AT$6&gt;=$D$129),1,0),IF(AS52&amp;AV52=AV$5,4,0),IF(AND(AS52=AS$5,AT$6&lt;=$D$104),-0.5,0),IF(AND(AT52=AS$5,AT$6&lt;=$D$104),-0.5,0),IF(AND(AU52=AS$5,AT$6&lt;=$D$104),-0.5,0))</f>
        <v/>
      </c>
      <c r="AX52" s="416" t="n"/>
      <c r="AY52" s="418" t="n"/>
      <c r="AZ52" s="418" t="n"/>
      <c r="BA52" s="418" t="n"/>
      <c r="BB52" s="602">
        <f>SUM(IF(AX52=AX$5,4,0),IF(AX52&amp;AY52=AX$5&amp;AY$5,1,0),
IF(AND(AX52=AX$5,AY$6&gt;=$D$115),1,0),
IF(AND(AY52=AX$5,AY$6&gt;=$D$115),1,0),
IF(AND(AZ52=AX$5,AY$6&gt;=$D$115),1,0),
IF(AX52&amp;BA52=BB$5,1,0),
IF(AY52=AX$5,2,0),
IF(AZ52=AX$5,1,0),
IF(OR(AX52&amp;AY52&amp;AZ52=AX$5&amp;AY$5&amp;AZ$5,AX52&amp;AY52&amp;AZ52=AX$5&amp;AZ$5&amp;AY$5,AX52&amp;AY52&amp;AZ52=AY$5&amp;AX$5&amp;AZ$5,AX52&amp;AY52&amp;AZ52=AY$5&amp;AZ$5&amp;AX$5,AX52&amp;AY52&amp;AZ52=AZ$5&amp;AX$5&amp;AY$5,AX52&amp;AY52&amp;AZ52=AZ$5&amp;AY$5&amp;AX$5),2,0),IF(AND(AX52=AX$5,AY$6&gt;=$D$129),1,0),IF(AND(AY52=AX$5,AY$6&gt;=$D$129),1,0),IF(AND(AZ52=AX$5,AY$6&gt;=$D$129),1,0),IF(AX52&amp;BA52=BA$5,4,0),IF(AND(AX52=AX$5,AY$6&lt;=$D$104),-0.5,0),IF(AND(AY52=AX$5,AY$6&lt;=$D$104),-0.5,0),IF(AND(AZ52=AX$5,AY$6&lt;=$D$104),-0.5,0))</f>
        <v/>
      </c>
      <c r="BC52" s="416" t="n"/>
      <c r="BD52" s="418" t="n"/>
      <c r="BE52" s="418" t="n"/>
      <c r="BF52" s="418" t="n"/>
      <c r="BG52" s="602">
        <f>SUM(IF(BC52=BC$5,4,0),IF(BC52&amp;BD52=BC$5&amp;BD$5,1,0),
IF(AND(BC52=BC$5,BD$6&gt;=$D$115),1,0),
IF(AND(BD52=BC$5,BD$6&gt;=$D$115),1,0),
IF(AND(BE52=BC$5,BD$6&gt;=$D$115),1,0),
IF(BC52&amp;BF52=BG$5,1,0),
IF(BD52=BC$5,2,0),
IF(BE52=BC$5,1,0),
IF(OR(BC52&amp;BD52&amp;BE52=BC$5&amp;BD$5&amp;BE$5,BC52&amp;BD52&amp;BE52=BC$5&amp;BE$5&amp;BD$5,BC52&amp;BD52&amp;BE52=BD$5&amp;BC$5&amp;BE$5,BC52&amp;BD52&amp;BE52=BD$5&amp;BE$5&amp;BC$5,BC52&amp;BD52&amp;BE52=BE$5&amp;BC$5&amp;BD$5,BC52&amp;BD52&amp;BE52=BE$5&amp;BD$5&amp;BC$5),2,0),IF(AND(BC52=BC$5,BD$6&gt;=$D$129),1,0),IF(AND(BD52=BC$5,BD$6&gt;=$D$129),1,0),IF(AND(BE52=BC$5,BD$6&gt;=$D$129),1,0),IF(BC52&amp;BF52=BF$5,4,0),IF(AND(BC52=BC$5,BD$6&lt;=$D$104),-0.5,0),IF(AND(BD52=BC$5,BD$6&lt;=$D$104),-0.5,0),IF(AND(BE52=BC$5,BD$6&lt;=$D$104),-0.5,0))</f>
        <v/>
      </c>
      <c r="BH52" s="416" t="n"/>
      <c r="BI52" s="418" t="n"/>
      <c r="BJ52" s="418" t="n"/>
      <c r="BK52" s="418" t="n"/>
      <c r="BL52" s="602">
        <f>SUM(IF(BH52=BH$5,4,0),IF(BH52&amp;BI52=BH$5&amp;BI$5,1,0),
IF(AND(BH52=BH$5,BI$6&gt;=$D$115),1,0),
IF(AND(BI52=BH$5,BI$6&gt;=$D$115),1,0),
IF(AND(BJ52=BH$5,BI$6&gt;=$D$115),1,0),
IF(BH52&amp;BK52=BL$5,1,0),
IF(BI52=BH$5,2,0),
IF(BJ52=BH$5,1,0),
IF(OR(BH52&amp;BI52&amp;BJ52=BH$5&amp;BI$5&amp;BJ$5,BH52&amp;BI52&amp;BJ52=BH$5&amp;BJ$5&amp;BI$5,BH52&amp;BI52&amp;BJ52=BI$5&amp;BH$5&amp;BJ$5,BH52&amp;BI52&amp;BJ52=BI$5&amp;BJ$5&amp;BH$5,BH52&amp;BI52&amp;BJ52=BJ$5&amp;BH$5&amp;BI$5,BH52&amp;BI52&amp;BJ52=BJ$5&amp;BI$5&amp;BH$5),2,0),IF(AND(BH52=BH$5,BI$6&gt;=$D$129),1,0),IF(AND(BI52=BH$5,BI$6&gt;=$D$129),1,0),IF(AND(BJ52=BH$5,BI$6&gt;=$D$129),1,0),IF(BH52&amp;BK52=BK$5,4,0),IF(AND(BH52=BH$5,BI$6&lt;=$D$104),-0.5,0),IF(AND(BI52=BH$5,BI$6&lt;=$D$104),-0.5,0),IF(AND(BJ52=BH$5,BI$6&lt;=$D$104),-0.5,0))</f>
        <v/>
      </c>
      <c r="BM52" s="416" t="n"/>
      <c r="BN52" s="418" t="n"/>
      <c r="BO52" s="418" t="n"/>
      <c r="BP52" s="418" t="n"/>
      <c r="BQ52" s="602">
        <f>SUM(IF(BM52=BM$5,4,0),IF(BM52&amp;BN52=BM$5&amp;BN$5,1,0),
IF(AND(BM52=BM$5,BN$6&gt;=$D$115),1,0),
IF(AND(BN52=BM$5,BN$6&gt;=$D$115),1,0),
IF(AND(BO52=BM$5,BN$6&gt;=$D$115),1,0),
IF(BM52&amp;BP52=BQ$5,1,0),
IF(BN52=BM$5,2,0),
IF(BO52=BM$5,1,0),
IF(OR(BM52&amp;BN52&amp;BO52=BM$5&amp;BN$5&amp;BO$5,BM52&amp;BN52&amp;BO52=BM$5&amp;BO$5&amp;BN$5,BM52&amp;BN52&amp;BO52=BN$5&amp;BM$5&amp;BO$5,BM52&amp;BN52&amp;BO52=BN$5&amp;BO$5&amp;BM$5,BM52&amp;BN52&amp;BO52=BO$5&amp;BM$5&amp;BN$5,BM52&amp;BN52&amp;BO52=BO$5&amp;BN$5&amp;BM$5),2,0),IF(AND(BM52=BM$5,BN$6&gt;=$D$129),1,0),IF(AND(BN52=BM$5,BN$6&gt;=$D$129),1,0),IF(AND(BO52=BM$5,BN$6&gt;=$D$129),1,0),IF(BM52&amp;BP52=BP$5,4,0),IF(AND(BM52=BM$5,BN$6&lt;=$D$104),-0.5,0),IF(AND(BN52=BM$5,BN$6&lt;=$D$104),-0.5,0),IF(AND(BO52=BM$5,BN$6&lt;=$D$104),-0.5,0))</f>
        <v/>
      </c>
      <c r="BR52" s="416" t="n"/>
      <c r="BS52" s="418" t="n"/>
      <c r="BT52" s="418" t="n"/>
      <c r="BU52" s="418" t="n"/>
      <c r="BV52" s="602">
        <f>SUM(IF(BR52=BR$5,4,0),IF(BR52&amp;BS52=BR$5&amp;BS$5,1,0),
IF(AND(BR52=BR$5,BS$6&gt;=$D$115),1,0),
IF(AND(BS52=BR$5,BS$6&gt;=$D$115),1,0),
IF(AND(BT52=BR$5,BS$6&gt;=$D$115),1,0),
IF(BR52&amp;BU52=BV$5,1,0),
IF(BS52=BR$5,2,0),
IF(BT52=BR$5,1,0),
IF(OR(BR52&amp;BS52&amp;BT52=BR$5&amp;BS$5&amp;BT$5,BR52&amp;BS52&amp;BT52=BR$5&amp;BT$5&amp;BS$5,BR52&amp;BS52&amp;BT52=BS$5&amp;BR$5&amp;BT$5,BR52&amp;BS52&amp;BT52=BS$5&amp;BT$5&amp;BR$5,BR52&amp;BS52&amp;BT52=BT$5&amp;BR$5&amp;BS$5,BR52&amp;BS52&amp;BT52=BT$5&amp;BS$5&amp;BR$5),2,0),IF(AND(BR52=BR$5,BS$6&gt;=$D$129),1,0),IF(AND(BS52=BR$5,BS$6&gt;=$D$129),1,0),IF(AND(BT52=BR$5,BS$6&gt;=$D$129),1,0),IF(BR52&amp;BU52=BU$5,4,0),IF(AND(BR52=BR$5,BS$6&lt;=$D$104),-0.5,0),IF(AND(BS52=BR$5,BS$6&lt;=$D$104),-0.5,0),IF(AND(BT52=BR$5,BS$6&lt;=$D$104),-0.5,0))</f>
        <v/>
      </c>
      <c r="BW52" s="416" t="n"/>
      <c r="BX52" s="418" t="n"/>
      <c r="BY52" s="418" t="n"/>
      <c r="BZ52" s="418" t="n"/>
      <c r="CA52" s="602">
        <f>SUM(IF(BW52=BW$5,4,0),IF(BW52&amp;BX52=BW$5&amp;BX$5,1,0),
IF(AND(BW52=BW$5,BX$6&gt;=$D$115),1,0),
IF(AND(BX52=BW$5,BX$6&gt;=$D$115),1,0),
IF(AND(BY52=BW$5,BX$6&gt;=$D$115),1,0),
IF(BW52&amp;BZ52=CA$5,1,0),
IF(BX52=BW$5,2,0),
IF(BY52=BW$5,1,0),
IF(OR(BW52&amp;BX52&amp;BY52=BW$5&amp;BX$5&amp;BY$5,BW52&amp;BX52&amp;BY52=BW$5&amp;BY$5&amp;BX$5,BW52&amp;BX52&amp;BY52=BX$5&amp;BW$5&amp;BY$5,BW52&amp;BX52&amp;BY52=BX$5&amp;BY$5&amp;BW$5,BW52&amp;BX52&amp;BY52=BY$5&amp;BW$5&amp;BX$5,BW52&amp;BX52&amp;BY52=BY$5&amp;BX$5&amp;BW$5),2,0),IF(AND(BW52=BW$5,BX$6&gt;=$D$129),1,0),IF(AND(BX52=BW$5,BX$6&gt;=$D$129),1,0),IF(AND(BY52=BW$5,BX$6&gt;=$D$129),1,0),IF(BW52&amp;BZ52=BZ$5,4,0),IF(AND(BW52=BW$5,BX$6&lt;=$D$104),-0.5,0),IF(AND(BX52=BW$5,BX$6&lt;=$D$104),-0.5,0),IF(AND(BY52=BW$5,BX$6&lt;=$D$104),-0.5,0))</f>
        <v/>
      </c>
      <c r="CB52" s="416" t="n"/>
      <c r="CC52" s="418" t="n"/>
      <c r="CD52" s="418" t="n"/>
      <c r="CE52" s="418" t="n"/>
      <c r="CF52" s="602">
        <f>SUM(IF(CB52=CB$5,4,0),IF(CB52&amp;CC52=CB$5&amp;CC$5,1,0),
IF(AND(CB52=CB$5,CC$6&gt;=$D$115),1,0),
IF(AND(CC52=CB$5,CC$6&gt;=$D$115),1,0),
IF(AND(CD52=CB$5,CC$6&gt;=$D$115),1,0),
IF(CB52&amp;CE52=CF$5,1,0),
IF(CC52=CB$5,2,0),
IF(CD52=CB$5,1,0),
IF(OR(CB52&amp;CC52&amp;CD52=CB$5&amp;CC$5&amp;CD$5,CB52&amp;CC52&amp;CD52=CB$5&amp;CD$5&amp;CC$5,CB52&amp;CC52&amp;CD52=CC$5&amp;CB$5&amp;CD$5,CB52&amp;CC52&amp;CD52=CC$5&amp;CD$5&amp;CB$5,CB52&amp;CC52&amp;CD52=CD$5&amp;CB$5&amp;CC$5,CB52&amp;CC52&amp;CD52=CD$5&amp;CC$5&amp;CB$5),2,0),IF(AND(CB52=CB$5,CC$6&gt;=$D$129),1,0),IF(AND(CC52=CB$5,CC$6&gt;=$D$129),1,0),IF(AND(CD52=CB$5,CC$6&gt;=$D$129),1,0),IF(CB52&amp;CE52=CE$5,4,0),IF(AND(CB52=CB$5,CC$6&lt;=$D$104),-0.5,0),IF(AND(CC52=CB$5,CC$6&lt;=$D$104),-0.5,0),IF(AND(CD52=CB$5,CC$6&lt;=$D$104),-0.5,0))</f>
        <v/>
      </c>
      <c r="CG52" s="164">
        <f>IF(SEMANA29[[#This Row],[1]]="",0,$B$4)</f>
        <v/>
      </c>
      <c r="CH52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2" s="189">
        <f>IF(SEMANA29[[#This Row],[Columna14]]=0,0,(CH52/CG52))</f>
        <v/>
      </c>
      <c r="CJ52" s="165">
        <f>IF(SEMANA29[[#This Row],[1]]="",0,$B$4)</f>
        <v/>
      </c>
      <c r="CK52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2" s="189">
        <f>IF(SEMANA29[[#This Row],[Columna14]]=0,0,(CK52/CJ52))</f>
        <v/>
      </c>
      <c r="CM52" s="164">
        <f>IF(SEMANA29[[#This Row],[1]]="",0,$B$4)</f>
        <v/>
      </c>
      <c r="CN52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2" s="189">
        <f>IF(SEMANA29[[#This Row],[Columna14]]=0,0,(CN52/CM52))</f>
        <v/>
      </c>
      <c r="CP52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2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Row],[Columna25]],$AX$5,BA52,"SF")+COUNTIFS(SEMANA29[[#This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2" s="189">
        <f>IFERROR(IF(SEMANA29[[#This Row],[Columna14]]=0,0,(CQ52/CP52)),0)</f>
        <v/>
      </c>
      <c r="CS52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2" s="95">
        <f>_xlfn.XLOOKUP(SEMANA29[[#This Row],[COD]],SEMANA2[COD],SEMANA2[Columna33])</f>
        <v/>
      </c>
      <c r="CU52" s="604">
        <f>SUM(CS52,CT52)</f>
        <v/>
      </c>
      <c r="CV52" s="450">
        <f>IF(SEMANA29[[#This Row],[TIPO]]="PREMIO",$O$3,"0,00")</f>
        <v/>
      </c>
      <c r="CW52" s="576" t="n"/>
      <c r="CY52" s="392">
        <f>IF(CZ52="","",$CZ$25)</f>
        <v/>
      </c>
      <c r="CZ52" s="392" t="n"/>
      <c r="DA52" s="392">
        <f t="array" ref="DA52">IF(CZ52="", "", IF((INDEX(E$8:CE$57, MATCH(CZ52, C$8:C$57, 0), ($CZ$25-1)*5 + 1) &amp; "") = (INDEX(E$5:CE$5, 1, ($CZ$25-1)*5 + 1) &amp; ""), 1, IF((INDEX(E$8:CE$57, MATCH(CZ52, C$8:C$57, 0), ($CZ$25-1)*5 + 2) &amp; "") = (INDEX(E$5:CE$5, 1, ($CZ$25-1)*5 + 1) &amp; ""), 2, IF((INDEX(E$8:CE$57, MATCH(CZ52, C$8:C$57, 0), ($CZ$25-1)*5 + 3) &amp; "") = (INDEX(E$5:CE$5, 1, ($CZ$25-1)*5 + 1) &amp; ""), 3, ""))))</f>
        <v/>
      </c>
      <c r="DB52" s="605">
        <f>SEMANA29[[#This Row],[COD]]</f>
        <v/>
      </c>
      <c r="DC52" s="395">
        <f t="array" ref="DC52">IFERROR(IF(AND(INDEX($E$8:$CE$57, MATCH($C52, $C$8:$C$57, 0), (COLUMNS($DC52:DC52)-1)*5 + 1) = INDEX($E$5:$CE$5, 1, (COLUMNS($DC52:DC52)-1)*5 + 1), INDEX($E$8:$CE$57, MATCH($C52, $C$8:$C$57, 0), (COLUMNS($DC52:DC52)-1)*5 + 4) = "F"), INDEX($CZ$8:$CZ$23, COLUMNS($DC52:DC52)), "0"), "")</f>
        <v/>
      </c>
      <c r="DD52" s="395">
        <f t="array" ref="DD52">IFERROR(IF(AND(INDEX($E$8:$CE$57, MATCH($C52, $C$8:$C$57, 0), (COLUMNS($DC52:DD52)-1)*5 + 1) = INDEX($E$5:$CE$5, 1, (COLUMNS($DC52:DD52)-1)*5 + 1), INDEX($E$8:$CE$57, MATCH($C52, $C$8:$C$57, 0), (COLUMNS($DC52:DD52)-1)*5 + 4) = "F"), INDEX($CZ$8:$CZ$23, COLUMNS($DC52:DD52)), "0"), "")</f>
        <v/>
      </c>
      <c r="DE52" s="395">
        <f t="array" ref="DE52">IFERROR(IF(AND(INDEX($E$8:$CE$57, MATCH($C52, $C$8:$C$57, 0), (COLUMNS($DC52:DE52)-1)*5 + 1) = INDEX($E$5:$CE$5, 1, (COLUMNS($DC52:DE52)-1)*5 + 1), INDEX($E$8:$CE$57, MATCH($C52, $C$8:$C$57, 0), (COLUMNS($DC52:DE52)-1)*5 + 4) = "F"), INDEX($CZ$8:$CZ$23, COLUMNS($DC52:DE52)), "0"), "")</f>
        <v/>
      </c>
      <c r="DF52" s="395">
        <f t="array" ref="DF52">IFERROR(IF(AND(INDEX($E$8:$CE$57, MATCH($C52, $C$8:$C$57, 0), (COLUMNS($DC52:DF52)-1)*5 + 1) = INDEX($E$5:$CE$5, 1, (COLUMNS($DC52:DF52)-1)*5 + 1), INDEX($E$8:$CE$57, MATCH($C52, $C$8:$C$57, 0), (COLUMNS($DC52:DF52)-1)*5 + 4) = "F"), INDEX($CZ$8:$CZ$23, COLUMNS($DC52:DF52)), "0"), "")</f>
        <v/>
      </c>
      <c r="DG52" s="395">
        <f t="array" ref="DG52">IFERROR(IF(AND(INDEX($E$8:$CE$57, MATCH($C52, $C$8:$C$57, 0), (COLUMNS($DC52:DG52)-1)*5 + 1) = INDEX($E$5:$CE$5, 1, (COLUMNS($DC52:DG52)-1)*5 + 1), INDEX($E$8:$CE$57, MATCH($C52, $C$8:$C$57, 0), (COLUMNS($DC52:DG52)-1)*5 + 4) = "F"), INDEX($CZ$8:$CZ$23, COLUMNS($DC52:DG52)), "0"), "")</f>
        <v/>
      </c>
      <c r="DH52" s="395">
        <f t="array" ref="DH52">IFERROR(IF(AND(INDEX($E$8:$CE$57, MATCH($C52, $C$8:$C$57, 0), (COLUMNS($DC52:DH52)-1)*5 + 1) = INDEX($E$5:$CE$5, 1, (COLUMNS($DC52:DH52)-1)*5 + 1), INDEX($E$8:$CE$57, MATCH($C52, $C$8:$C$57, 0), (COLUMNS($DC52:DH52)-1)*5 + 4) = "F"), INDEX($CZ$8:$CZ$23, COLUMNS($DC52:DH52)), "0"), "")</f>
        <v/>
      </c>
      <c r="DI52" s="395">
        <f t="array" ref="DI52">IFERROR(IF(AND(INDEX($E$8:$CE$57, MATCH($C52, $C$8:$C$57, 0), (COLUMNS($DC52:DI52)-1)*5 + 1) = INDEX($E$5:$CE$5, 1, (COLUMNS($DC52:DI52)-1)*5 + 1), INDEX($E$8:$CE$57, MATCH($C52, $C$8:$C$57, 0), (COLUMNS($DC52:DI52)-1)*5 + 4) = "F"), INDEX($CZ$8:$CZ$23, COLUMNS($DC52:DI52)), "0"), "")</f>
        <v/>
      </c>
      <c r="DJ52" s="395">
        <f t="array" ref="DJ52">IFERROR(IF(AND(INDEX($E$8:$CE$57, MATCH($C52, $C$8:$C$57, 0), (COLUMNS($DC52:DJ52)-1)*5 + 1) = INDEX($E$5:$CE$5, 1, (COLUMNS($DC52:DJ52)-1)*5 + 1), INDEX($E$8:$CE$57, MATCH($C52, $C$8:$C$57, 0), (COLUMNS($DC52:DJ52)-1)*5 + 4) = "F"), INDEX($CZ$8:$CZ$23, COLUMNS($DC52:DJ52)), "0"), "")</f>
        <v/>
      </c>
      <c r="DK52" s="395">
        <f t="array" ref="DK52">IFERROR(IF(AND(INDEX($E$8:$CE$57, MATCH($C52, $C$8:$C$57, 0), (COLUMNS($DC52:DK52)-1)*5 + 1) = INDEX($E$5:$CE$5, 1, (COLUMNS($DC52:DK52)-1)*5 + 1), INDEX($E$8:$CE$57, MATCH($C52, $C$8:$C$57, 0), (COLUMNS($DC52:DK52)-1)*5 + 4) = "F"), INDEX($CZ$8:$CZ$23, COLUMNS($DC52:DK52)), "0"), "")</f>
        <v/>
      </c>
      <c r="DL52" s="395">
        <f t="array" ref="DL52">IFERROR(IF(AND(INDEX($E$8:$CE$57, MATCH($C52, $C$8:$C$57, 0), (COLUMNS($DC52:DL52)-1)*5 + 1) = INDEX($E$5:$CE$5, 1, (COLUMNS($DC52:DL52)-1)*5 + 1), INDEX($E$8:$CE$57, MATCH($C52, $C$8:$C$57, 0), (COLUMNS($DC52:DL52)-1)*5 + 4) = "F"), INDEX($CZ$8:$CZ$23, COLUMNS($DC52:DL52)), "0"), "")</f>
        <v/>
      </c>
      <c r="DM52" s="395">
        <f t="array" ref="DM52">IFERROR(IF(AND(INDEX($E$8:$CE$57, MATCH($C52, $C$8:$C$57, 0), (COLUMNS($DC52:DM52)-1)*5 + 1) = INDEX($E$5:$CE$5, 1, (COLUMNS($DC52:DM52)-1)*5 + 1), INDEX($E$8:$CE$57, MATCH($C52, $C$8:$C$57, 0), (COLUMNS($DC52:DM52)-1)*5 + 4) = "F"), INDEX($CZ$8:$CZ$23, COLUMNS($DC52:DM52)), "0"), "")</f>
        <v/>
      </c>
      <c r="DN52" s="395">
        <f t="array" ref="DN52">IFERROR(IF(AND(INDEX($E$8:$CE$57, MATCH($C52, $C$8:$C$57, 0), (COLUMNS($DC52:DN52)-1)*5 + 1) = INDEX($E$5:$CE$5, 1, (COLUMNS($DC52:DN52)-1)*5 + 1), INDEX($E$8:$CE$57, MATCH($C52, $C$8:$C$57, 0), (COLUMNS($DC52:DN52)-1)*5 + 4) = "F"), INDEX($CZ$8:$CZ$23, COLUMNS($DC52:DN52)), "0"), "")</f>
        <v/>
      </c>
      <c r="DO52" s="395">
        <f t="array" ref="DO52">IFERROR(IF(AND(INDEX($E$8:$CE$57, MATCH($C52, $C$8:$C$57, 0), (COLUMNS($DC52:DO52)-1)*5 + 1) = INDEX($E$5:$CE$5, 1, (COLUMNS($DC52:DO52)-1)*5 + 1), INDEX($E$8:$CE$57, MATCH($C52, $C$8:$C$57, 0), (COLUMNS($DC52:DO52)-1)*5 + 4) = "F"), INDEX($CZ$8:$CZ$23, COLUMNS($DC52:DO52)), "0"), "")</f>
        <v/>
      </c>
      <c r="DP52" s="395">
        <f t="array" ref="DP52">IFERROR(IF(AND(INDEX($E$8:$CE$57, MATCH($C52, $C$8:$C$57, 0), (COLUMNS($DC52:DP52)-1)*5 + 1) = INDEX($E$5:$CE$5, 1, (COLUMNS($DC52:DP52)-1)*5 + 1), INDEX($E$8:$CE$57, MATCH($C52, $C$8:$C$57, 0), (COLUMNS($DC52:DP52)-1)*5 + 4) = "F"), INDEX($CZ$8:$CZ$23, COLUMNS($DC52:DP52)), "0"), "")</f>
        <v/>
      </c>
      <c r="DQ52" s="395">
        <f t="array" ref="DQ52">IFERROR(IF(AND(INDEX($E$8:$CE$57, MATCH($C52, $C$8:$C$57, 0), (COLUMNS($DC52:DQ52)-1)*5 + 1) = INDEX($E$5:$CE$5, 1, (COLUMNS($DC52:DQ52)-1)*5 + 1), INDEX($E$8:$CE$57, MATCH($C52, $C$8:$C$57, 0), (COLUMNS($DC52:DQ52)-1)*5 + 4) = "F"), INDEX($CZ$8:$CZ$23, COLUMNS($DC52:DQ52)), "0"), "")</f>
        <v/>
      </c>
      <c r="DR52" s="395">
        <f t="array" ref="DR52">IFERROR(IF(AND(INDEX($E$8:$CE$57, MATCH($C52, $C$8:$C$57, 0), (COLUMNS($DC52:DR52)-1)*5 + 1) = INDEX($E$5:$CE$5, 1, (COLUMNS($DC52:DR52)-1)*5 + 1), INDEX($E$8:$CE$57, MATCH($C52, $C$8:$C$57, 0), (COLUMNS($DC52:DR52)-1)*5 + 4) = "F"), INDEX($CZ$8:$CZ$23, COLUMNS($DC52:DR52)), "0"), "")</f>
        <v/>
      </c>
      <c r="DT52" s="605">
        <f>SEMANA29[[#This Row],[COD]]</f>
        <v/>
      </c>
      <c r="DU52" s="395">
        <f t="array" ref="DU52">IFERROR(IF(AND(INDEX($E$8:$CE$57, MATCH($C52, $C$8:$C$57, 0), (COLUMNS($DU52:DU52)-1)*5 + 1) = INDEX($E$5:$CE$5, 1, (COLUMNS($DU52:DU52)-1)*5 + 1), INDEX($E$8:$CE$57, MATCH($C52, $C$8:$C$57, 0), (COLUMNS($DU52:DU52)-1)*5 + 4) = "SF"), INDEX($CZ$8:$CZ$23, COLUMNS($DU52:DU52)), "0"), "")</f>
        <v/>
      </c>
      <c r="DV52" s="395">
        <f t="array" ref="DV52">IFERROR(IF(AND(INDEX($E$8:$CE$57, MATCH($C52, $C$8:$C$57, 0), (COLUMNS($DU52:DV52)-1)*5 + 1) = INDEX($E$5:$CE$5, 1, (COLUMNS($DU52:DV52)-1)*5 + 1), INDEX($E$8:$CE$57, MATCH($C52, $C$8:$C$57, 0), (COLUMNS($DU52:DV52)-1)*5 + 4) = "SF"), INDEX($CZ$8:$CZ$23, COLUMNS($DU52:DV52)), "0"), "")</f>
        <v/>
      </c>
      <c r="DW52" s="395">
        <f t="array" ref="DW52">IFERROR(IF(AND(INDEX($E$8:$CE$57, MATCH($C52, $C$8:$C$57, 0), (COLUMNS($DU52:DW52)-1)*5 + 1) = INDEX($E$5:$CE$5, 1, (COLUMNS($DU52:DW52)-1)*5 + 1), INDEX($E$8:$CE$57, MATCH($C52, $C$8:$C$57, 0), (COLUMNS($DU52:DW52)-1)*5 + 4) = "SF"), INDEX($CZ$8:$CZ$23, COLUMNS($DU52:DW52)), "0"), "")</f>
        <v/>
      </c>
      <c r="DX52" s="395">
        <f t="array" ref="DX52">IFERROR(IF(AND(INDEX($E$8:$CE$57, MATCH($C52, $C$8:$C$57, 0), (COLUMNS($DU52:DX52)-1)*5 + 1) = INDEX($E$5:$CE$5, 1, (COLUMNS($DU52:DX52)-1)*5 + 1), INDEX($E$8:$CE$57, MATCH($C52, $C$8:$C$57, 0), (COLUMNS($DU52:DX52)-1)*5 + 4) = "SF"), INDEX($CZ$8:$CZ$23, COLUMNS($DU52:DX52)), "0"), "")</f>
        <v/>
      </c>
      <c r="DY52" s="395">
        <f t="array" ref="DY52">IFERROR(IF(AND(INDEX($E$8:$CE$57, MATCH($C52, $C$8:$C$57, 0), (COLUMNS($DU52:DY52)-1)*5 + 1) = INDEX($E$5:$CE$5, 1, (COLUMNS($DU52:DY52)-1)*5 + 1), INDEX($E$8:$CE$57, MATCH($C52, $C$8:$C$57, 0), (COLUMNS($DU52:DY52)-1)*5 + 4) = "SF"), INDEX($CZ$8:$CZ$23, COLUMNS($DU52:DY52)), "0"), "")</f>
        <v/>
      </c>
      <c r="DZ52" s="395">
        <f t="array" ref="DZ52">IFERROR(IF(AND(INDEX($E$8:$CE$57, MATCH($C52, $C$8:$C$57, 0), (COLUMNS($DU52:DZ52)-1)*5 + 1) = INDEX($E$5:$CE$5, 1, (COLUMNS($DU52:DZ52)-1)*5 + 1), INDEX($E$8:$CE$57, MATCH($C52, $C$8:$C$57, 0), (COLUMNS($DU52:DZ52)-1)*5 + 4) = "SF"), INDEX($CZ$8:$CZ$23, COLUMNS($DU52:DZ52)), "0"), "")</f>
        <v/>
      </c>
      <c r="EA52" s="395">
        <f t="array" ref="EA52">IFERROR(IF(AND(INDEX($E$8:$CE$57, MATCH($C52, $C$8:$C$57, 0), (COLUMNS($DU52:EA52)-1)*5 + 1) = INDEX($E$5:$CE$5, 1, (COLUMNS($DU52:EA52)-1)*5 + 1), INDEX($E$8:$CE$57, MATCH($C52, $C$8:$C$57, 0), (COLUMNS($DU52:EA52)-1)*5 + 4) = "SF"), INDEX($CZ$8:$CZ$23, COLUMNS($DU52:EA52)), "0"), "")</f>
        <v/>
      </c>
      <c r="EB52" s="395">
        <f t="array" ref="EB52">IFERROR(IF(AND(INDEX($E$8:$CE$57, MATCH($C52, $C$8:$C$57, 0), (COLUMNS($DU52:EB52)-1)*5 + 1) = INDEX($E$5:$CE$5, 1, (COLUMNS($DU52:EB52)-1)*5 + 1), INDEX($E$8:$CE$57, MATCH($C52, $C$8:$C$57, 0), (COLUMNS($DU52:EB52)-1)*5 + 4) = "SF"), INDEX($CZ$8:$CZ$23, COLUMNS($DU52:EB52)), "0"), "")</f>
        <v/>
      </c>
      <c r="EC52" s="395">
        <f t="array" ref="EC52">IFERROR(IF(AND(INDEX($E$8:$CE$57, MATCH($C52, $C$8:$C$57, 0), (COLUMNS($DU52:EC52)-1)*5 + 1) = INDEX($E$5:$CE$5, 1, (COLUMNS($DU52:EC52)-1)*5 + 1), INDEX($E$8:$CE$57, MATCH($C52, $C$8:$C$57, 0), (COLUMNS($DU52:EC52)-1)*5 + 4) = "SF"), INDEX($CZ$8:$CZ$23, COLUMNS($DU52:EC52)), "0"), "")</f>
        <v/>
      </c>
      <c r="ED52" s="395">
        <f t="array" ref="ED52">IFERROR(IF(AND(INDEX($E$8:$CE$57, MATCH($C52, $C$8:$C$57, 0), (COLUMNS($DU52:ED52)-1)*5 + 1) = INDEX($E$5:$CE$5, 1, (COLUMNS($DU52:ED52)-1)*5 + 1), INDEX($E$8:$CE$57, MATCH($C52, $C$8:$C$57, 0), (COLUMNS($DU52:ED52)-1)*5 + 4) = "SF"), INDEX($CZ$8:$CZ$23, COLUMNS($DU52:ED52)), "0"), "")</f>
        <v/>
      </c>
      <c r="EE52" s="395">
        <f t="array" ref="EE52">IFERROR(IF(AND(INDEX($E$8:$CE$57, MATCH($C52, $C$8:$C$57, 0), (COLUMNS($DU52:EE52)-1)*5 + 1) = INDEX($E$5:$CE$5, 1, (COLUMNS($DU52:EE52)-1)*5 + 1), INDEX($E$8:$CE$57, MATCH($C52, $C$8:$C$57, 0), (COLUMNS($DU52:EE52)-1)*5 + 4) = "SF"), INDEX($CZ$8:$CZ$23, COLUMNS($DU52:EE52)), "0"), "")</f>
        <v/>
      </c>
      <c r="EF52" s="395">
        <f t="array" ref="EF52">IFERROR(IF(AND(INDEX($E$8:$CE$57, MATCH($C52, $C$8:$C$57, 0), (COLUMNS($DU52:EF52)-1)*5 + 1) = INDEX($E$5:$CE$5, 1, (COLUMNS($DU52:EF52)-1)*5 + 1), INDEX($E$8:$CE$57, MATCH($C52, $C$8:$C$57, 0), (COLUMNS($DU52:EF52)-1)*5 + 4) = "SF"), INDEX($CZ$8:$CZ$23, COLUMNS($DU52:EF52)), "0"), "")</f>
        <v/>
      </c>
      <c r="EG52" s="395">
        <f t="array" ref="EG52">IFERROR(IF(AND(INDEX($E$8:$CE$57, MATCH($C52, $C$8:$C$57, 0), (COLUMNS($DU52:EG52)-1)*5 + 1) = INDEX($E$5:$CE$5, 1, (COLUMNS($DU52:EG52)-1)*5 + 1), INDEX($E$8:$CE$57, MATCH($C52, $C$8:$C$57, 0), (COLUMNS($DU52:EG52)-1)*5 + 4) = "SF"), INDEX($CZ$8:$CZ$23, COLUMNS($DU52:EG52)), "0"), "")</f>
        <v/>
      </c>
      <c r="EH52" s="395">
        <f t="array" ref="EH52">IFERROR(IF(AND(INDEX($E$8:$CE$57, MATCH($C52, $C$8:$C$57, 0), (COLUMNS($DU52:EH52)-1)*5 + 1) = INDEX($E$5:$CE$5, 1, (COLUMNS($DU52:EH52)-1)*5 + 1), INDEX($E$8:$CE$57, MATCH($C52, $C$8:$C$57, 0), (COLUMNS($DU52:EH52)-1)*5 + 4) = "SF"), INDEX($CZ$8:$CZ$23, COLUMNS($DU52:EH52)), "0"), "")</f>
        <v/>
      </c>
      <c r="EI52" s="395">
        <f t="array" ref="EI52">IFERROR(IF(AND(INDEX($E$8:$CE$57, MATCH($C52, $C$8:$C$57, 0), (COLUMNS($DU52:EI52)-1)*5 + 1) = INDEX($E$5:$CE$5, 1, (COLUMNS($DU52:EI52)-1)*5 + 1), INDEX($E$8:$CE$57, MATCH($C52, $C$8:$C$57, 0), (COLUMNS($DU52:EI52)-1)*5 + 4) = "SF"), INDEX($CZ$8:$CZ$23, COLUMNS($DU52:EI52)), "0"), "")</f>
        <v/>
      </c>
      <c r="EJ52" s="395">
        <f t="array" ref="EJ52">IFERROR(IF(AND(INDEX($E$8:$CE$57, MATCH($C52, $C$8:$C$57, 0), (COLUMNS($DU52:EJ52)-1)*5 + 1) = INDEX($E$5:$CE$5, 1, (COLUMNS($DU52:EJ52)-1)*5 + 1), INDEX($E$8:$CE$57, MATCH($C52, $C$8:$C$57, 0), (COLUMNS($DU52:EJ52)-1)*5 + 4) = "SF"), INDEX($CZ$8:$CZ$23, COLUMNS($DU52:EJ52)), "0"), "")</f>
        <v/>
      </c>
    </row>
    <row r="53" ht="20.1" customHeight="1" s="568">
      <c r="A53" s="576" t="n"/>
      <c r="B53" s="449">
        <f>IF(SEMANA29[[#This Row],[COD]]&lt;&gt;"",B52+1,"")</f>
        <v/>
      </c>
      <c r="C53" s="622" t="inlineStr">
        <is>
          <t>COD 46</t>
        </is>
      </c>
      <c r="D53" s="415">
        <f t="array" ref="D53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3" s="416" t="n"/>
      <c r="F53" s="418" t="n"/>
      <c r="G53" s="418" t="n"/>
      <c r="H53" s="418" t="n"/>
      <c r="I53" s="602">
        <f>SUM(IF(E53=E$5,4,0),IF(E53&amp;F53=E$5&amp;F$5,1,0),
IF(AND(E53=E$5,F$6&gt;=$D$115),1,0),
IF(AND(F53=E$5,F$6&gt;=$D$115),1,0),
IF(AND(G53=E$5,F$6&gt;=$D$115),1,0),
IF(E53&amp;H53=I$5,1,0),
IF(F53=E$5,2,0),
IF(G53=E$5,1,0),
IF(OR(E53&amp;F53&amp;G53=E$5&amp;F$5&amp;G$5,E53&amp;F53&amp;G53=E$5&amp;G$5&amp;F$5,E53&amp;F53&amp;G53=F$5&amp;E$5&amp;G$5,E53&amp;F53&amp;G53=F$5&amp;G$5&amp;E$5,E53&amp;F53&amp;G53=G$5&amp;E$5&amp;F$5,E53&amp;F53&amp;G53=G$5&amp;F$5&amp;E$5),2,0),IF(AND(E53=E$5,F$6&gt;=$D$129),1,0),IF(AND(F53=E$5,F$6&gt;=$D$129),1,0),IF(AND(G53=E$5,F$6&gt;=$D$129),1,0),IF(E53&amp;H53=H$5,4,0),IF(AND(E53=E$5,F$6&lt;=$D$104),-0.5,0),IF(AND(F53=E$5,F$6&lt;=$D$104),-0.5,0),IF(AND(G53=E$5,F$6&lt;=$D$104),-0.5,0))</f>
        <v/>
      </c>
      <c r="J53" s="416" t="n"/>
      <c r="K53" s="418" t="n"/>
      <c r="L53" s="418" t="n"/>
      <c r="M53" s="418" t="n"/>
      <c r="N53" s="602">
        <f>SUM(IF(J53=J$5,4,0),IF(J53&amp;K53=J$5&amp;K$5,1,0),
IF(AND(J53=J$5,K$6&gt;=$D$115),1,0),
IF(AND(K53=J$5,K$6&gt;=$D$115),1,0),
IF(AND(L53=J$5,K$6&gt;=$D$115),1,0),
IF(J53&amp;M53=N$5,1,0),
IF(K53=J$5,2,0),
IF(L53=J$5,1,0),
IF(OR(J53&amp;K53&amp;L53=J$5&amp;K$5&amp;L$5,J53&amp;K53&amp;L53=J$5&amp;L$5&amp;K$5,J53&amp;K53&amp;L53=K$5&amp;J$5&amp;L$5,J53&amp;K53&amp;L53=K$5&amp;L$5&amp;J$5,J53&amp;K53&amp;L53=L$5&amp;J$5&amp;K$5,J53&amp;K53&amp;L53=L$5&amp;K$5&amp;J$5),2,0),IF(AND(J53=J$5,K$6&gt;=$D$129),1,0),IF(AND(K53=J$5,K$6&gt;=$D$129),1,0),IF(AND(L53=J$5,K$6&gt;=$D$129),1,0),IF(J53&amp;M53=M$5,4,0),IF(AND(J53=J$5,K$6&lt;=$D$104),-0.5,0),IF(AND(K53=J$5,K$6&lt;=$D$104),-0.5,0),IF(AND(L53=J$5,K$6&lt;=$D$104),-0.5,0))</f>
        <v/>
      </c>
      <c r="O53" s="416" t="n"/>
      <c r="P53" s="418" t="n"/>
      <c r="Q53" s="418" t="n"/>
      <c r="R53" s="418" t="n"/>
      <c r="S53" s="602">
        <f>SUM(IF(O53=O$5,4,0),IF(O53&amp;P53=O$5&amp;P$5,1,0),
IF(AND(O53=O$5,P$6&gt;=$D$115),1,0),
IF(AND(P53=O$5,P$6&gt;=$D$115),1,0),
IF(AND(Q53=O$5,P$6&gt;=$D$115),1,0),
IF(O53&amp;R53=S$5,1,0),
IF(P53=O$5,2,0),
IF(Q53=O$5,1,0),
IF(OR(O53&amp;P53&amp;Q53=O$5&amp;P$5&amp;Q$5,O53&amp;P53&amp;Q53=O$5&amp;Q$5&amp;P$5,O53&amp;P53&amp;Q53=P$5&amp;O$5&amp;Q$5,O53&amp;P53&amp;Q53=P$5&amp;Q$5&amp;O$5,O53&amp;P53&amp;Q53=Q$5&amp;O$5&amp;P$5,O53&amp;P53&amp;Q53=Q$5&amp;P$5&amp;O$5),2,0),IF(AND(O53=O$5,P$6&gt;=$D$129),1,0),IF(AND(P53=O$5,P$6&gt;=$D$129),1,0),IF(AND(Q53=O$5,P$6&gt;=$D$129),1,0),IF(O53&amp;R53=R$5,4,0),IF(AND(O53=O$5,P$6&lt;=$D$104),-0.5,0),IF(AND(P53=O$5,P$6&lt;=$D$104),-0.5,0),IF(AND(Q53=O$5,P$6&lt;=$D$104),-0.5,0))</f>
        <v/>
      </c>
      <c r="T53" s="416" t="n"/>
      <c r="U53" s="418" t="n"/>
      <c r="V53" s="418" t="n"/>
      <c r="W53" s="418" t="n"/>
      <c r="X53" s="602">
        <f>SUM(IF(T53=T$5,4,0),IF(T53&amp;U53=T$5&amp;U$5,1,0),
IF(AND(T53=T$5,U$6&gt;=$D$115),1,0),
IF(AND(U53=T$5,U$6&gt;=$D$115),1,0),
IF(AND(V53=T$5,U$6&gt;=$D$115),1,0),
IF(T53&amp;W53=X$5,1,0),
IF(U53=T$5,2,0),
IF(V53=T$5,1,0),
IF(OR(T53&amp;U53&amp;V53=T$5&amp;U$5&amp;V$5,T53&amp;U53&amp;V53=T$5&amp;V$5&amp;U$5,T53&amp;U53&amp;V53=U$5&amp;T$5&amp;V$5,T53&amp;U53&amp;V53=U$5&amp;V$5&amp;T$5,T53&amp;U53&amp;V53=V$5&amp;T$5&amp;U$5,T53&amp;U53&amp;V53=V$5&amp;U$5&amp;T$5),2,0),IF(AND(T53=T$5,U$6&gt;=$D$129),1,0),IF(AND(U53=T$5,U$6&gt;=$D$129),1,0),IF(AND(V53=T$5,U$6&gt;=$D$129),1,0),IF(T53&amp;W53=W$5,4,0),IF(AND(T53=T$5,U$6&lt;=$D$104),-0.5,0),IF(AND(U53=T$5,U$6&lt;=$D$104),-0.5,0),IF(AND(V53=T$5,U$6&lt;=$D$104),-0.5,0))</f>
        <v/>
      </c>
      <c r="Y53" s="416" t="n"/>
      <c r="Z53" s="418" t="n"/>
      <c r="AA53" s="418" t="n"/>
      <c r="AB53" s="418" t="n"/>
      <c r="AC53" s="602">
        <f>SUM(IF(Y53=Y$5,4,0),IF(Y53&amp;Z53=Y$5&amp;Z$5,1,0),
IF(AND(Y53=Y$5,Z$6&gt;=$D$115),1,0),
IF(AND(Z53=Y$5,Z$6&gt;=$D$115),1,0),
IF(AND(AA53=Y$5,Z$6&gt;=$D$115),1,0),
IF(Y53&amp;AB53=AC$5,1,0),
IF(Z53=Y$5,2,0),
IF(AA53=Y$5,1,0),
IF(OR(Y53&amp;Z53&amp;AA53=Y$5&amp;Z$5&amp;AA$5,Y53&amp;Z53&amp;AA53=Y$5&amp;AA$5&amp;Z$5,Y53&amp;Z53&amp;AA53=Z$5&amp;Y$5&amp;AA$5,Y53&amp;Z53&amp;AA53=Z$5&amp;AA$5&amp;Y$5,Y53&amp;Z53&amp;AA53=AA$5&amp;Y$5&amp;Z$5,Y53&amp;Z53&amp;AA53=AA$5&amp;Z$5&amp;Y$5),2,0),IF(AND(Y53=Y$5,Z$6&gt;=$D$129),1,0),IF(AND(Z53=Y$5,Z$6&gt;=$D$129),1,0),IF(AND(AA53=Y$5,Z$6&gt;=$D$129),1,0),IF(Y53&amp;AB53=AB$5,4,0),IF(AND(Y53=Y$5,Z$6&lt;=$D$104),-0.5,0),IF(AND(Z53=Y$5,Z$6&lt;=$D$104),-0.5,0),IF(AND(AA53=Y$5,Z$6&lt;=$D$104),-0.5,0))</f>
        <v/>
      </c>
      <c r="AD53" s="416" t="n"/>
      <c r="AE53" s="418" t="n"/>
      <c r="AF53" s="418" t="n"/>
      <c r="AG53" s="418" t="n"/>
      <c r="AH53" s="602">
        <f>SUM(IF(AD53=AD$5,4,0),IF(AD53&amp;AE53=AD$5&amp;AE$5,1,0),
IF(AND(AD53=AD$5,AE$6&gt;=$D$115),1,0),
IF(AND(AE53=AD$5,AE$6&gt;=$D$115),1,0),
IF(AND(AF53=AD$5,AE$6&gt;=$D$115),1,0),
IF(AD53&amp;AG53=AH$5,1,0),
IF(AE53=AD$5,2,0),
IF(AF53=AD$5,1,0),
IF(OR(AD53&amp;AE53&amp;AF53=AD$5&amp;AE$5&amp;AF$5,AD53&amp;AE53&amp;AF53=AD$5&amp;AF$5&amp;AE$5,AD53&amp;AE53&amp;AF53=AE$5&amp;AD$5&amp;AF$5,AD53&amp;AE53&amp;AF53=AE$5&amp;AF$5&amp;AD$5,AD53&amp;AE53&amp;AF53=AF$5&amp;AD$5&amp;AE$5,AD53&amp;AE53&amp;AF53=AF$5&amp;AE$5&amp;AD$5),2,0),IF(AND(AD53=AD$5,AE$6&gt;=$D$129),1,0),IF(AND(AE53=AD$5,AE$6&gt;=$D$129),1,0),IF(AND(AF53=AD$5,AE$6&gt;=$D$129),1,0),IF(AD53&amp;AG53=AG$5,4,0),IF(AND(AD53=AD$5,AE$6&lt;=$D$104),-0.5,0),IF(AND(AE53=AD$5,AE$6&lt;=$D$104),-0.5,0),IF(AND(AF53=AD$5,AE$6&lt;=$D$104),-0.5,0))</f>
        <v/>
      </c>
      <c r="AI53" s="416" t="n"/>
      <c r="AJ53" s="418" t="n"/>
      <c r="AK53" s="418" t="n"/>
      <c r="AL53" s="418" t="n"/>
      <c r="AM53" s="602">
        <f>SUM(IF(AI53=AI$5,4,0),IF(AI53&amp;AJ53=AI$5&amp;AJ$5,1,0),
IF(AND(AI53=AI$5,AJ$6&gt;=$D$115),1,0),
IF(AND(AJ53=AI$5,AJ$6&gt;=$D$115),1,0),
IF(AND(AK53=AI$5,AJ$6&gt;=$D$115),1,0),
IF(AI53&amp;AL53=AM$5,1,0),
IF(AJ53=AI$5,2,0),
IF(AK53=AI$5,1,0),
IF(OR(AI53&amp;AJ53&amp;AK53=AI$5&amp;AJ$5&amp;AK$5,AI53&amp;AJ53&amp;AK53=AI$5&amp;AK$5&amp;AJ$5,AI53&amp;AJ53&amp;AK53=AJ$5&amp;AI$5&amp;AK$5,AI53&amp;AJ53&amp;AK53=AJ$5&amp;AK$5&amp;AI$5,AI53&amp;AJ53&amp;AK53=AK$5&amp;AI$5&amp;AJ$5,AI53&amp;AJ53&amp;AK53=AK$5&amp;AJ$5&amp;AI$5),2,0),IF(AND(AI53=AI$5,AJ$6&gt;=$D$129),1,0),IF(AND(AJ53=AI$5,AJ$6&gt;=$D$129),1,0),IF(AND(AK53=AI$5,AJ$6&gt;=$D$129),1,0),IF(AI53&amp;AL53=AL$5,4,0),IF(AND(AI53=AI$5,AJ$6&lt;=$D$104),-0.5,0),IF(AND(AJ53=AI$5,AJ$6&lt;=$D$104),-0.5,0),IF(AND(AK53=AI$5,AJ$6&lt;=$D$104),-0.5,0))</f>
        <v/>
      </c>
      <c r="AN53" s="416" t="n"/>
      <c r="AO53" s="418" t="n"/>
      <c r="AP53" s="418" t="n"/>
      <c r="AQ53" s="418" t="n"/>
      <c r="AR53" s="602">
        <f>SUM(IF(AN53=AN$5,4,0),IF(AN53&amp;AO53=AN$5&amp;AO$5,1,0),
IF(AND(AN53=AN$5,AO$6&gt;=$D$115),1,0),
IF(AND(AO53=AN$5,AO$6&gt;=$D$115),1,0),
IF(AND(AP53=AN$5,AO$6&gt;=$D$115),1,0),
IF(AN53&amp;AQ53=AR$5,1,0),
IF(AO53=AN$5,2,0),
IF(AP53=AN$5,1,0),
IF(OR(AN53&amp;AO53&amp;AP53=AN$5&amp;AO$5&amp;AP$5,AN53&amp;AO53&amp;AP53=AN$5&amp;AP$5&amp;AO$5,AN53&amp;AO53&amp;AP53=AO$5&amp;AN$5&amp;AP$5,AN53&amp;AO53&amp;AP53=AO$5&amp;AP$5&amp;AN$5,AN53&amp;AO53&amp;AP53=AP$5&amp;AN$5&amp;AO$5,AN53&amp;AO53&amp;AP53=AP$5&amp;AO$5&amp;AN$5),2,0),IF(AND(AN53=AN$5,AO$6&gt;=$D$129),1,0),IF(AND(AO53=AN$5,AO$6&gt;=$D$129),1,0),IF(AND(AP53=AN$5,AO$6&gt;=$D$129),1,0),IF(AN53&amp;AQ53=AQ$5,4,0),IF(AND(AN53=AN$5,AO$6&lt;=$D$104),-0.5,0),IF(AND(AO53=AN$5,AO$6&lt;=$D$104),-0.5,0),IF(AND(AP53=AN$5,AO$6&lt;=$D$104),-0.5,0))</f>
        <v/>
      </c>
      <c r="AS53" s="416" t="n"/>
      <c r="AT53" s="418" t="n"/>
      <c r="AU53" s="418" t="n"/>
      <c r="AV53" s="418" t="n"/>
      <c r="AW53" s="602">
        <f>SUM(IF(AS53=AS$5,4,0),IF(AS53&amp;AT53=AS$5&amp;AT$5,1,0),
IF(AND(AS53=AS$5,AT$6&gt;=$D$115),1,0),
IF(AND(AT53=AS$5,AT$6&gt;=$D$115),1,0),
IF(AND(AU53=AS$5,AT$6&gt;=$D$115),1,0),
IF(AS53&amp;AV53=AW$5,1,0),
IF(AT53=AS$5,2,0),
IF(AU53=AS$5,1,0),
IF(OR(AS53&amp;AT53&amp;AU53=AS$5&amp;AT$5&amp;AU$5,AS53&amp;AT53&amp;AU53=AS$5&amp;AU$5&amp;AT$5,AS53&amp;AT53&amp;AU53=AT$5&amp;AS$5&amp;AU$5,AS53&amp;AT53&amp;AU53=AT$5&amp;AU$5&amp;AS$5,AS53&amp;AT53&amp;AU53=AU$5&amp;AS$5&amp;AT$5,AS53&amp;AT53&amp;AU53=AU$5&amp;AT$5&amp;AS$5),2,0),IF(AND(AS53=AS$5,AT$6&gt;=$D$129),1,0),IF(AND(AT53=AS$5,AT$6&gt;=$D$129),1,0),IF(AND(AU53=AS$5,AT$6&gt;=$D$129),1,0),IF(AS53&amp;AV53=AV$5,4,0),IF(AND(AS53=AS$5,AT$6&lt;=$D$104),-0.5,0),IF(AND(AT53=AS$5,AT$6&lt;=$D$104),-0.5,0),IF(AND(AU53=AS$5,AT$6&lt;=$D$104),-0.5,0))</f>
        <v/>
      </c>
      <c r="AX53" s="416" t="n"/>
      <c r="AY53" s="418" t="n"/>
      <c r="AZ53" s="418" t="n"/>
      <c r="BA53" s="418" t="n"/>
      <c r="BB53" s="602">
        <f>SUM(IF(AX53=AX$5,4,0),IF(AX53&amp;AY53=AX$5&amp;AY$5,1,0),
IF(AND(AX53=AX$5,AY$6&gt;=$D$115),1,0),
IF(AND(AY53=AX$5,AY$6&gt;=$D$115),1,0),
IF(AND(AZ53=AX$5,AY$6&gt;=$D$115),1,0),
IF(AX53&amp;BA53=BB$5,1,0),
IF(AY53=AX$5,2,0),
IF(AZ53=AX$5,1,0),
IF(OR(AX53&amp;AY53&amp;AZ53=AX$5&amp;AY$5&amp;AZ$5,AX53&amp;AY53&amp;AZ53=AX$5&amp;AZ$5&amp;AY$5,AX53&amp;AY53&amp;AZ53=AY$5&amp;AX$5&amp;AZ$5,AX53&amp;AY53&amp;AZ53=AY$5&amp;AZ$5&amp;AX$5,AX53&amp;AY53&amp;AZ53=AZ$5&amp;AX$5&amp;AY$5,AX53&amp;AY53&amp;AZ53=AZ$5&amp;AY$5&amp;AX$5),2,0),IF(AND(AX53=AX$5,AY$6&gt;=$D$129),1,0),IF(AND(AY53=AX$5,AY$6&gt;=$D$129),1,0),IF(AND(AZ53=AX$5,AY$6&gt;=$D$129),1,0),IF(AX53&amp;BA53=BA$5,4,0),IF(AND(AX53=AX$5,AY$6&lt;=$D$104),-0.5,0),IF(AND(AY53=AX$5,AY$6&lt;=$D$104),-0.5,0),IF(AND(AZ53=AX$5,AY$6&lt;=$D$104),-0.5,0))</f>
        <v/>
      </c>
      <c r="BC53" s="416" t="n"/>
      <c r="BD53" s="418" t="n"/>
      <c r="BE53" s="418" t="n"/>
      <c r="BF53" s="418" t="n"/>
      <c r="BG53" s="602">
        <f>SUM(IF(BC53=BC$5,4,0),IF(BC53&amp;BD53=BC$5&amp;BD$5,1,0),
IF(AND(BC53=BC$5,BD$6&gt;=$D$115),1,0),
IF(AND(BD53=BC$5,BD$6&gt;=$D$115),1,0),
IF(AND(BE53=BC$5,BD$6&gt;=$D$115),1,0),
IF(BC53&amp;BF53=BG$5,1,0),
IF(BD53=BC$5,2,0),
IF(BE53=BC$5,1,0),
IF(OR(BC53&amp;BD53&amp;BE53=BC$5&amp;BD$5&amp;BE$5,BC53&amp;BD53&amp;BE53=BC$5&amp;BE$5&amp;BD$5,BC53&amp;BD53&amp;BE53=BD$5&amp;BC$5&amp;BE$5,BC53&amp;BD53&amp;BE53=BD$5&amp;BE$5&amp;BC$5,BC53&amp;BD53&amp;BE53=BE$5&amp;BC$5&amp;BD$5,BC53&amp;BD53&amp;BE53=BE$5&amp;BD$5&amp;BC$5),2,0),IF(AND(BC53=BC$5,BD$6&gt;=$D$129),1,0),IF(AND(BD53=BC$5,BD$6&gt;=$D$129),1,0),IF(AND(BE53=BC$5,BD$6&gt;=$D$129),1,0),IF(BC53&amp;BF53=BF$5,4,0),IF(AND(BC53=BC$5,BD$6&lt;=$D$104),-0.5,0),IF(AND(BD53=BC$5,BD$6&lt;=$D$104),-0.5,0),IF(AND(BE53=BC$5,BD$6&lt;=$D$104),-0.5,0))</f>
        <v/>
      </c>
      <c r="BH53" s="416" t="n"/>
      <c r="BI53" s="418" t="n"/>
      <c r="BJ53" s="418" t="n"/>
      <c r="BK53" s="418" t="n"/>
      <c r="BL53" s="602">
        <f>SUM(IF(BH53=BH$5,4,0),IF(BH53&amp;BI53=BH$5&amp;BI$5,1,0),
IF(AND(BH53=BH$5,BI$6&gt;=$D$115),1,0),
IF(AND(BI53=BH$5,BI$6&gt;=$D$115),1,0),
IF(AND(BJ53=BH$5,BI$6&gt;=$D$115),1,0),
IF(BH53&amp;BK53=BL$5,1,0),
IF(BI53=BH$5,2,0),
IF(BJ53=BH$5,1,0),
IF(OR(BH53&amp;BI53&amp;BJ53=BH$5&amp;BI$5&amp;BJ$5,BH53&amp;BI53&amp;BJ53=BH$5&amp;BJ$5&amp;BI$5,BH53&amp;BI53&amp;BJ53=BI$5&amp;BH$5&amp;BJ$5,BH53&amp;BI53&amp;BJ53=BI$5&amp;BJ$5&amp;BH$5,BH53&amp;BI53&amp;BJ53=BJ$5&amp;BH$5&amp;BI$5,BH53&amp;BI53&amp;BJ53=BJ$5&amp;BI$5&amp;BH$5),2,0),IF(AND(BH53=BH$5,BI$6&gt;=$D$129),1,0),IF(AND(BI53=BH$5,BI$6&gt;=$D$129),1,0),IF(AND(BJ53=BH$5,BI$6&gt;=$D$129),1,0),IF(BH53&amp;BK53=BK$5,4,0),IF(AND(BH53=BH$5,BI$6&lt;=$D$104),-0.5,0),IF(AND(BI53=BH$5,BI$6&lt;=$D$104),-0.5,0),IF(AND(BJ53=BH$5,BI$6&lt;=$D$104),-0.5,0))</f>
        <v/>
      </c>
      <c r="BM53" s="416" t="n"/>
      <c r="BN53" s="418" t="n"/>
      <c r="BO53" s="418" t="n"/>
      <c r="BP53" s="418" t="n"/>
      <c r="BQ53" s="602">
        <f>SUM(IF(BM53=BM$5,4,0),IF(BM53&amp;BN53=BM$5&amp;BN$5,1,0),
IF(AND(BM53=BM$5,BN$6&gt;=$D$115),1,0),
IF(AND(BN53=BM$5,BN$6&gt;=$D$115),1,0),
IF(AND(BO53=BM$5,BN$6&gt;=$D$115),1,0),
IF(BM53&amp;BP53=BQ$5,1,0),
IF(BN53=BM$5,2,0),
IF(BO53=BM$5,1,0),
IF(OR(BM53&amp;BN53&amp;BO53=BM$5&amp;BN$5&amp;BO$5,BM53&amp;BN53&amp;BO53=BM$5&amp;BO$5&amp;BN$5,BM53&amp;BN53&amp;BO53=BN$5&amp;BM$5&amp;BO$5,BM53&amp;BN53&amp;BO53=BN$5&amp;BO$5&amp;BM$5,BM53&amp;BN53&amp;BO53=BO$5&amp;BM$5&amp;BN$5,BM53&amp;BN53&amp;BO53=BO$5&amp;BN$5&amp;BM$5),2,0),IF(AND(BM53=BM$5,BN$6&gt;=$D$129),1,0),IF(AND(BN53=BM$5,BN$6&gt;=$D$129),1,0),IF(AND(BO53=BM$5,BN$6&gt;=$D$129),1,0),IF(BM53&amp;BP53=BP$5,4,0),IF(AND(BM53=BM$5,BN$6&lt;=$D$104),-0.5,0),IF(AND(BN53=BM$5,BN$6&lt;=$D$104),-0.5,0),IF(AND(BO53=BM$5,BN$6&lt;=$D$104),-0.5,0))</f>
        <v/>
      </c>
      <c r="BR53" s="416" t="n"/>
      <c r="BS53" s="418" t="n"/>
      <c r="BT53" s="418" t="n"/>
      <c r="BU53" s="418" t="n"/>
      <c r="BV53" s="602">
        <f>SUM(IF(BR53=BR$5,4,0),IF(BR53&amp;BS53=BR$5&amp;BS$5,1,0),
IF(AND(BR53=BR$5,BS$6&gt;=$D$115),1,0),
IF(AND(BS53=BR$5,BS$6&gt;=$D$115),1,0),
IF(AND(BT53=BR$5,BS$6&gt;=$D$115),1,0),
IF(BR53&amp;BU53=BV$5,1,0),
IF(BS53=BR$5,2,0),
IF(BT53=BR$5,1,0),
IF(OR(BR53&amp;BS53&amp;BT53=BR$5&amp;BS$5&amp;BT$5,BR53&amp;BS53&amp;BT53=BR$5&amp;BT$5&amp;BS$5,BR53&amp;BS53&amp;BT53=BS$5&amp;BR$5&amp;BT$5,BR53&amp;BS53&amp;BT53=BS$5&amp;BT$5&amp;BR$5,BR53&amp;BS53&amp;BT53=BT$5&amp;BR$5&amp;BS$5,BR53&amp;BS53&amp;BT53=BT$5&amp;BS$5&amp;BR$5),2,0),IF(AND(BR53=BR$5,BS$6&gt;=$D$129),1,0),IF(AND(BS53=BR$5,BS$6&gt;=$D$129),1,0),IF(AND(BT53=BR$5,BS$6&gt;=$D$129),1,0),IF(BR53&amp;BU53=BU$5,4,0),IF(AND(BR53=BR$5,BS$6&lt;=$D$104),-0.5,0),IF(AND(BS53=BR$5,BS$6&lt;=$D$104),-0.5,0),IF(AND(BT53=BR$5,BS$6&lt;=$D$104),-0.5,0))</f>
        <v/>
      </c>
      <c r="BW53" s="416" t="n"/>
      <c r="BX53" s="418" t="n"/>
      <c r="BY53" s="418" t="n"/>
      <c r="BZ53" s="418" t="n"/>
      <c r="CA53" s="602">
        <f>SUM(IF(BW53=BW$5,4,0),IF(BW53&amp;BX53=BW$5&amp;BX$5,1,0),
IF(AND(BW53=BW$5,BX$6&gt;=$D$115),1,0),
IF(AND(BX53=BW$5,BX$6&gt;=$D$115),1,0),
IF(AND(BY53=BW$5,BX$6&gt;=$D$115),1,0),
IF(BW53&amp;BZ53=CA$5,1,0),
IF(BX53=BW$5,2,0),
IF(BY53=BW$5,1,0),
IF(OR(BW53&amp;BX53&amp;BY53=BW$5&amp;BX$5&amp;BY$5,BW53&amp;BX53&amp;BY53=BW$5&amp;BY$5&amp;BX$5,BW53&amp;BX53&amp;BY53=BX$5&amp;BW$5&amp;BY$5,BW53&amp;BX53&amp;BY53=BX$5&amp;BY$5&amp;BW$5,BW53&amp;BX53&amp;BY53=BY$5&amp;BW$5&amp;BX$5,BW53&amp;BX53&amp;BY53=BY$5&amp;BX$5&amp;BW$5),2,0),IF(AND(BW53=BW$5,BX$6&gt;=$D$129),1,0),IF(AND(BX53=BW$5,BX$6&gt;=$D$129),1,0),IF(AND(BY53=BW$5,BX$6&gt;=$D$129),1,0),IF(BW53&amp;BZ53=BZ$5,4,0),IF(AND(BW53=BW$5,BX$6&lt;=$D$104),-0.5,0),IF(AND(BX53=BW$5,BX$6&lt;=$D$104),-0.5,0),IF(AND(BY53=BW$5,BX$6&lt;=$D$104),-0.5,0))</f>
        <v/>
      </c>
      <c r="CB53" s="416" t="n"/>
      <c r="CC53" s="418" t="n"/>
      <c r="CD53" s="418" t="n"/>
      <c r="CE53" s="418" t="n"/>
      <c r="CF53" s="602">
        <f>SUM(IF(CB53=CB$5,4,0),IF(CB53&amp;CC53=CB$5&amp;CC$5,1,0),
IF(AND(CB53=CB$5,CC$6&gt;=$D$115),1,0),
IF(AND(CC53=CB$5,CC$6&gt;=$D$115),1,0),
IF(AND(CD53=CB$5,CC$6&gt;=$D$115),1,0),
IF(CB53&amp;CE53=CF$5,1,0),
IF(CC53=CB$5,2,0),
IF(CD53=CB$5,1,0),
IF(OR(CB53&amp;CC53&amp;CD53=CB$5&amp;CC$5&amp;CD$5,CB53&amp;CC53&amp;CD53=CB$5&amp;CD$5&amp;CC$5,CB53&amp;CC53&amp;CD53=CC$5&amp;CB$5&amp;CD$5,CB53&amp;CC53&amp;CD53=CC$5&amp;CD$5&amp;CB$5,CB53&amp;CC53&amp;CD53=CD$5&amp;CB$5&amp;CC$5,CB53&amp;CC53&amp;CD53=CD$5&amp;CC$5&amp;CB$5),2,0),IF(AND(CB53=CB$5,CC$6&gt;=$D$129),1,0),IF(AND(CC53=CB$5,CC$6&gt;=$D$129),1,0),IF(AND(CD53=CB$5,CC$6&gt;=$D$129),1,0),IF(CB53&amp;CE53=CE$5,4,0),IF(AND(CB53=CB$5,CC$6&lt;=$D$104),-0.5,0),IF(AND(CC53=CB$5,CC$6&lt;=$D$104),-0.5,0),IF(AND(CD53=CB$5,CC$6&lt;=$D$104),-0.5,0))</f>
        <v/>
      </c>
      <c r="CG53" s="164">
        <f>IF(SEMANA29[[#This Row],[1]]="",0,$B$4)</f>
        <v/>
      </c>
      <c r="CH53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3" s="189">
        <f>IF(SEMANA29[[#This Row],[Columna14]]=0,0,(CH53/CG53))</f>
        <v/>
      </c>
      <c r="CJ53" s="165">
        <f>IF(SEMANA29[[#This Row],[1]]="",0,$B$4)</f>
        <v/>
      </c>
      <c r="CK53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3" s="189">
        <f>IF(SEMANA29[[#This Row],[Columna14]]=0,0,(CK53/CJ53))</f>
        <v/>
      </c>
      <c r="CM53" s="164">
        <f>IF(SEMANA29[[#This Row],[1]]="",0,$B$4)</f>
        <v/>
      </c>
      <c r="CN53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3" s="189">
        <f>IF(SEMANA29[[#This Row],[Columna14]]=0,0,(CN53/CM53))</f>
        <v/>
      </c>
      <c r="CP53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3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Row],[Columna25]],$AX$5,BA53,"SF")+COUNTIFS(SEMANA29[[#This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3" s="189">
        <f>IFERROR(IF(SEMANA29[[#This Row],[Columna14]]=0,0,(CQ53/CP53)),0)</f>
        <v/>
      </c>
      <c r="CS53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3" s="95">
        <f>_xlfn.XLOOKUP(SEMANA29[[#This Row],[COD]],SEMANA2[COD],SEMANA2[Columna33])</f>
        <v/>
      </c>
      <c r="CU53" s="604">
        <f>SUM(CS53,CT53)</f>
        <v/>
      </c>
      <c r="CV53" s="450">
        <f>IF(SEMANA29[[#This Row],[TIPO]]="PREMIO",$O$3,"0,00")</f>
        <v/>
      </c>
      <c r="CW53" s="576" t="n"/>
      <c r="CY53" s="392">
        <f>IF(CZ53="","",$CZ$25)</f>
        <v/>
      </c>
      <c r="CZ53" s="392" t="n"/>
      <c r="DA53" s="392">
        <f t="array" ref="DA53">IF(CZ53="", "", IF((INDEX(E$8:CE$57, MATCH(CZ53, C$8:C$57, 0), ($CZ$25-1)*5 + 1) &amp; "") = (INDEX(E$5:CE$5, 1, ($CZ$25-1)*5 + 1) &amp; ""), 1, IF((INDEX(E$8:CE$57, MATCH(CZ53, C$8:C$57, 0), ($CZ$25-1)*5 + 2) &amp; "") = (INDEX(E$5:CE$5, 1, ($CZ$25-1)*5 + 1) &amp; ""), 2, IF((INDEX(E$8:CE$57, MATCH(CZ53, C$8:C$57, 0), ($CZ$25-1)*5 + 3) &amp; "") = (INDEX(E$5:CE$5, 1, ($CZ$25-1)*5 + 1) &amp; ""), 3, ""))))</f>
        <v/>
      </c>
      <c r="DB53" s="605">
        <f>SEMANA29[[#This Row],[COD]]</f>
        <v/>
      </c>
      <c r="DC53" s="395">
        <f t="array" ref="DC53">IFERROR(IF(AND(INDEX($E$8:$CE$57, MATCH($C53, $C$8:$C$57, 0), (COLUMNS($DC53:DC53)-1)*5 + 1) = INDEX($E$5:$CE$5, 1, (COLUMNS($DC53:DC53)-1)*5 + 1), INDEX($E$8:$CE$57, MATCH($C53, $C$8:$C$57, 0), (COLUMNS($DC53:DC53)-1)*5 + 4) = "F"), INDEX($CZ$8:$CZ$23, COLUMNS($DC53:DC53)), "0"), "")</f>
        <v/>
      </c>
      <c r="DD53" s="395">
        <f t="array" ref="DD53">IFERROR(IF(AND(INDEX($E$8:$CE$57, MATCH($C53, $C$8:$C$57, 0), (COLUMNS($DC53:DD53)-1)*5 + 1) = INDEX($E$5:$CE$5, 1, (COLUMNS($DC53:DD53)-1)*5 + 1), INDEX($E$8:$CE$57, MATCH($C53, $C$8:$C$57, 0), (COLUMNS($DC53:DD53)-1)*5 + 4) = "F"), INDEX($CZ$8:$CZ$23, COLUMNS($DC53:DD53)), "0"), "")</f>
        <v/>
      </c>
      <c r="DE53" s="395">
        <f t="array" ref="DE53">IFERROR(IF(AND(INDEX($E$8:$CE$57, MATCH($C53, $C$8:$C$57, 0), (COLUMNS($DC53:DE53)-1)*5 + 1) = INDEX($E$5:$CE$5, 1, (COLUMNS($DC53:DE53)-1)*5 + 1), INDEX($E$8:$CE$57, MATCH($C53, $C$8:$C$57, 0), (COLUMNS($DC53:DE53)-1)*5 + 4) = "F"), INDEX($CZ$8:$CZ$23, COLUMNS($DC53:DE53)), "0"), "")</f>
        <v/>
      </c>
      <c r="DF53" s="395">
        <f t="array" ref="DF53">IFERROR(IF(AND(INDEX($E$8:$CE$57, MATCH($C53, $C$8:$C$57, 0), (COLUMNS($DC53:DF53)-1)*5 + 1) = INDEX($E$5:$CE$5, 1, (COLUMNS($DC53:DF53)-1)*5 + 1), INDEX($E$8:$CE$57, MATCH($C53, $C$8:$C$57, 0), (COLUMNS($DC53:DF53)-1)*5 + 4) = "F"), INDEX($CZ$8:$CZ$23, COLUMNS($DC53:DF53)), "0"), "")</f>
        <v/>
      </c>
      <c r="DG53" s="395">
        <f t="array" ref="DG53">IFERROR(IF(AND(INDEX($E$8:$CE$57, MATCH($C53, $C$8:$C$57, 0), (COLUMNS($DC53:DG53)-1)*5 + 1) = INDEX($E$5:$CE$5, 1, (COLUMNS($DC53:DG53)-1)*5 + 1), INDEX($E$8:$CE$57, MATCH($C53, $C$8:$C$57, 0), (COLUMNS($DC53:DG53)-1)*5 + 4) = "F"), INDEX($CZ$8:$CZ$23, COLUMNS($DC53:DG53)), "0"), "")</f>
        <v/>
      </c>
      <c r="DH53" s="395">
        <f t="array" ref="DH53">IFERROR(IF(AND(INDEX($E$8:$CE$57, MATCH($C53, $C$8:$C$57, 0), (COLUMNS($DC53:DH53)-1)*5 + 1) = INDEX($E$5:$CE$5, 1, (COLUMNS($DC53:DH53)-1)*5 + 1), INDEX($E$8:$CE$57, MATCH($C53, $C$8:$C$57, 0), (COLUMNS($DC53:DH53)-1)*5 + 4) = "F"), INDEX($CZ$8:$CZ$23, COLUMNS($DC53:DH53)), "0"), "")</f>
        <v/>
      </c>
      <c r="DI53" s="395">
        <f t="array" ref="DI53">IFERROR(IF(AND(INDEX($E$8:$CE$57, MATCH($C53, $C$8:$C$57, 0), (COLUMNS($DC53:DI53)-1)*5 + 1) = INDEX($E$5:$CE$5, 1, (COLUMNS($DC53:DI53)-1)*5 + 1), INDEX($E$8:$CE$57, MATCH($C53, $C$8:$C$57, 0), (COLUMNS($DC53:DI53)-1)*5 + 4) = "F"), INDEX($CZ$8:$CZ$23, COLUMNS($DC53:DI53)), "0"), "")</f>
        <v/>
      </c>
      <c r="DJ53" s="395">
        <f t="array" ref="DJ53">IFERROR(IF(AND(INDEX($E$8:$CE$57, MATCH($C53, $C$8:$C$57, 0), (COLUMNS($DC53:DJ53)-1)*5 + 1) = INDEX($E$5:$CE$5, 1, (COLUMNS($DC53:DJ53)-1)*5 + 1), INDEX($E$8:$CE$57, MATCH($C53, $C$8:$C$57, 0), (COLUMNS($DC53:DJ53)-1)*5 + 4) = "F"), INDEX($CZ$8:$CZ$23, COLUMNS($DC53:DJ53)), "0"), "")</f>
        <v/>
      </c>
      <c r="DK53" s="395">
        <f t="array" ref="DK53">IFERROR(IF(AND(INDEX($E$8:$CE$57, MATCH($C53, $C$8:$C$57, 0), (COLUMNS($DC53:DK53)-1)*5 + 1) = INDEX($E$5:$CE$5, 1, (COLUMNS($DC53:DK53)-1)*5 + 1), INDEX($E$8:$CE$57, MATCH($C53, $C$8:$C$57, 0), (COLUMNS($DC53:DK53)-1)*5 + 4) = "F"), INDEX($CZ$8:$CZ$23, COLUMNS($DC53:DK53)), "0"), "")</f>
        <v/>
      </c>
      <c r="DL53" s="395">
        <f t="array" ref="DL53">IFERROR(IF(AND(INDEX($E$8:$CE$57, MATCH($C53, $C$8:$C$57, 0), (COLUMNS($DC53:DL53)-1)*5 + 1) = INDEX($E$5:$CE$5, 1, (COLUMNS($DC53:DL53)-1)*5 + 1), INDEX($E$8:$CE$57, MATCH($C53, $C$8:$C$57, 0), (COLUMNS($DC53:DL53)-1)*5 + 4) = "F"), INDEX($CZ$8:$CZ$23, COLUMNS($DC53:DL53)), "0"), "")</f>
        <v/>
      </c>
      <c r="DM53" s="395">
        <f t="array" ref="DM53">IFERROR(IF(AND(INDEX($E$8:$CE$57, MATCH($C53, $C$8:$C$57, 0), (COLUMNS($DC53:DM53)-1)*5 + 1) = INDEX($E$5:$CE$5, 1, (COLUMNS($DC53:DM53)-1)*5 + 1), INDEX($E$8:$CE$57, MATCH($C53, $C$8:$C$57, 0), (COLUMNS($DC53:DM53)-1)*5 + 4) = "F"), INDEX($CZ$8:$CZ$23, COLUMNS($DC53:DM53)), "0"), "")</f>
        <v/>
      </c>
      <c r="DN53" s="395">
        <f t="array" ref="DN53">IFERROR(IF(AND(INDEX($E$8:$CE$57, MATCH($C53, $C$8:$C$57, 0), (COLUMNS($DC53:DN53)-1)*5 + 1) = INDEX($E$5:$CE$5, 1, (COLUMNS($DC53:DN53)-1)*5 + 1), INDEX($E$8:$CE$57, MATCH($C53, $C$8:$C$57, 0), (COLUMNS($DC53:DN53)-1)*5 + 4) = "F"), INDEX($CZ$8:$CZ$23, COLUMNS($DC53:DN53)), "0"), "")</f>
        <v/>
      </c>
      <c r="DO53" s="395">
        <f t="array" ref="DO53">IFERROR(IF(AND(INDEX($E$8:$CE$57, MATCH($C53, $C$8:$C$57, 0), (COLUMNS($DC53:DO53)-1)*5 + 1) = INDEX($E$5:$CE$5, 1, (COLUMNS($DC53:DO53)-1)*5 + 1), INDEX($E$8:$CE$57, MATCH($C53, $C$8:$C$57, 0), (COLUMNS($DC53:DO53)-1)*5 + 4) = "F"), INDEX($CZ$8:$CZ$23, COLUMNS($DC53:DO53)), "0"), "")</f>
        <v/>
      </c>
      <c r="DP53" s="395">
        <f t="array" ref="DP53">IFERROR(IF(AND(INDEX($E$8:$CE$57, MATCH($C53, $C$8:$C$57, 0), (COLUMNS($DC53:DP53)-1)*5 + 1) = INDEX($E$5:$CE$5, 1, (COLUMNS($DC53:DP53)-1)*5 + 1), INDEX($E$8:$CE$57, MATCH($C53, $C$8:$C$57, 0), (COLUMNS($DC53:DP53)-1)*5 + 4) = "F"), INDEX($CZ$8:$CZ$23, COLUMNS($DC53:DP53)), "0"), "")</f>
        <v/>
      </c>
      <c r="DQ53" s="395">
        <f t="array" ref="DQ53">IFERROR(IF(AND(INDEX($E$8:$CE$57, MATCH($C53, $C$8:$C$57, 0), (COLUMNS($DC53:DQ53)-1)*5 + 1) = INDEX($E$5:$CE$5, 1, (COLUMNS($DC53:DQ53)-1)*5 + 1), INDEX($E$8:$CE$57, MATCH($C53, $C$8:$C$57, 0), (COLUMNS($DC53:DQ53)-1)*5 + 4) = "F"), INDEX($CZ$8:$CZ$23, COLUMNS($DC53:DQ53)), "0"), "")</f>
        <v/>
      </c>
      <c r="DR53" s="395">
        <f t="array" ref="DR53">IFERROR(IF(AND(INDEX($E$8:$CE$57, MATCH($C53, $C$8:$C$57, 0), (COLUMNS($DC53:DR53)-1)*5 + 1) = INDEX($E$5:$CE$5, 1, (COLUMNS($DC53:DR53)-1)*5 + 1), INDEX($E$8:$CE$57, MATCH($C53, $C$8:$C$57, 0), (COLUMNS($DC53:DR53)-1)*5 + 4) = "F"), INDEX($CZ$8:$CZ$23, COLUMNS($DC53:DR53)), "0"), "")</f>
        <v/>
      </c>
      <c r="DT53" s="605">
        <f>SEMANA29[[#This Row],[COD]]</f>
        <v/>
      </c>
      <c r="DU53" s="395">
        <f t="array" ref="DU53">IFERROR(IF(AND(INDEX($E$8:$CE$57, MATCH($C53, $C$8:$C$57, 0), (COLUMNS($DU53:DU53)-1)*5 + 1) = INDEX($E$5:$CE$5, 1, (COLUMNS($DU53:DU53)-1)*5 + 1), INDEX($E$8:$CE$57, MATCH($C53, $C$8:$C$57, 0), (COLUMNS($DU53:DU53)-1)*5 + 4) = "SF"), INDEX($CZ$8:$CZ$23, COLUMNS($DU53:DU53)), "0"), "")</f>
        <v/>
      </c>
      <c r="DV53" s="395">
        <f t="array" ref="DV53">IFERROR(IF(AND(INDEX($E$8:$CE$57, MATCH($C53, $C$8:$C$57, 0), (COLUMNS($DU53:DV53)-1)*5 + 1) = INDEX($E$5:$CE$5, 1, (COLUMNS($DU53:DV53)-1)*5 + 1), INDEX($E$8:$CE$57, MATCH($C53, $C$8:$C$57, 0), (COLUMNS($DU53:DV53)-1)*5 + 4) = "SF"), INDEX($CZ$8:$CZ$23, COLUMNS($DU53:DV53)), "0"), "")</f>
        <v/>
      </c>
      <c r="DW53" s="395">
        <f t="array" ref="DW53">IFERROR(IF(AND(INDEX($E$8:$CE$57, MATCH($C53, $C$8:$C$57, 0), (COLUMNS($DU53:DW53)-1)*5 + 1) = INDEX($E$5:$CE$5, 1, (COLUMNS($DU53:DW53)-1)*5 + 1), INDEX($E$8:$CE$57, MATCH($C53, $C$8:$C$57, 0), (COLUMNS($DU53:DW53)-1)*5 + 4) = "SF"), INDEX($CZ$8:$CZ$23, COLUMNS($DU53:DW53)), "0"), "")</f>
        <v/>
      </c>
      <c r="DX53" s="395">
        <f t="array" ref="DX53">IFERROR(IF(AND(INDEX($E$8:$CE$57, MATCH($C53, $C$8:$C$57, 0), (COLUMNS($DU53:DX53)-1)*5 + 1) = INDEX($E$5:$CE$5, 1, (COLUMNS($DU53:DX53)-1)*5 + 1), INDEX($E$8:$CE$57, MATCH($C53, $C$8:$C$57, 0), (COLUMNS($DU53:DX53)-1)*5 + 4) = "SF"), INDEX($CZ$8:$CZ$23, COLUMNS($DU53:DX53)), "0"), "")</f>
        <v/>
      </c>
      <c r="DY53" s="395">
        <f t="array" ref="DY53">IFERROR(IF(AND(INDEX($E$8:$CE$57, MATCH($C53, $C$8:$C$57, 0), (COLUMNS($DU53:DY53)-1)*5 + 1) = INDEX($E$5:$CE$5, 1, (COLUMNS($DU53:DY53)-1)*5 + 1), INDEX($E$8:$CE$57, MATCH($C53, $C$8:$C$57, 0), (COLUMNS($DU53:DY53)-1)*5 + 4) = "SF"), INDEX($CZ$8:$CZ$23, COLUMNS($DU53:DY53)), "0"), "")</f>
        <v/>
      </c>
      <c r="DZ53" s="395">
        <f t="array" ref="DZ53">IFERROR(IF(AND(INDEX($E$8:$CE$57, MATCH($C53, $C$8:$C$57, 0), (COLUMNS($DU53:DZ53)-1)*5 + 1) = INDEX($E$5:$CE$5, 1, (COLUMNS($DU53:DZ53)-1)*5 + 1), INDEX($E$8:$CE$57, MATCH($C53, $C$8:$C$57, 0), (COLUMNS($DU53:DZ53)-1)*5 + 4) = "SF"), INDEX($CZ$8:$CZ$23, COLUMNS($DU53:DZ53)), "0"), "")</f>
        <v/>
      </c>
      <c r="EA53" s="395">
        <f t="array" ref="EA53">IFERROR(IF(AND(INDEX($E$8:$CE$57, MATCH($C53, $C$8:$C$57, 0), (COLUMNS($DU53:EA53)-1)*5 + 1) = INDEX($E$5:$CE$5, 1, (COLUMNS($DU53:EA53)-1)*5 + 1), INDEX($E$8:$CE$57, MATCH($C53, $C$8:$C$57, 0), (COLUMNS($DU53:EA53)-1)*5 + 4) = "SF"), INDEX($CZ$8:$CZ$23, COLUMNS($DU53:EA53)), "0"), "")</f>
        <v/>
      </c>
      <c r="EB53" s="395">
        <f t="array" ref="EB53">IFERROR(IF(AND(INDEX($E$8:$CE$57, MATCH($C53, $C$8:$C$57, 0), (COLUMNS($DU53:EB53)-1)*5 + 1) = INDEX($E$5:$CE$5, 1, (COLUMNS($DU53:EB53)-1)*5 + 1), INDEX($E$8:$CE$57, MATCH($C53, $C$8:$C$57, 0), (COLUMNS($DU53:EB53)-1)*5 + 4) = "SF"), INDEX($CZ$8:$CZ$23, COLUMNS($DU53:EB53)), "0"), "")</f>
        <v/>
      </c>
      <c r="EC53" s="395">
        <f t="array" ref="EC53">IFERROR(IF(AND(INDEX($E$8:$CE$57, MATCH($C53, $C$8:$C$57, 0), (COLUMNS($DU53:EC53)-1)*5 + 1) = INDEX($E$5:$CE$5, 1, (COLUMNS($DU53:EC53)-1)*5 + 1), INDEX($E$8:$CE$57, MATCH($C53, $C$8:$C$57, 0), (COLUMNS($DU53:EC53)-1)*5 + 4) = "SF"), INDEX($CZ$8:$CZ$23, COLUMNS($DU53:EC53)), "0"), "")</f>
        <v/>
      </c>
      <c r="ED53" s="395">
        <f t="array" ref="ED53">IFERROR(IF(AND(INDEX($E$8:$CE$57, MATCH($C53, $C$8:$C$57, 0), (COLUMNS($DU53:ED53)-1)*5 + 1) = INDEX($E$5:$CE$5, 1, (COLUMNS($DU53:ED53)-1)*5 + 1), INDEX($E$8:$CE$57, MATCH($C53, $C$8:$C$57, 0), (COLUMNS($DU53:ED53)-1)*5 + 4) = "SF"), INDEX($CZ$8:$CZ$23, COLUMNS($DU53:ED53)), "0"), "")</f>
        <v/>
      </c>
      <c r="EE53" s="395">
        <f t="array" ref="EE53">IFERROR(IF(AND(INDEX($E$8:$CE$57, MATCH($C53, $C$8:$C$57, 0), (COLUMNS($DU53:EE53)-1)*5 + 1) = INDEX($E$5:$CE$5, 1, (COLUMNS($DU53:EE53)-1)*5 + 1), INDEX($E$8:$CE$57, MATCH($C53, $C$8:$C$57, 0), (COLUMNS($DU53:EE53)-1)*5 + 4) = "SF"), INDEX($CZ$8:$CZ$23, COLUMNS($DU53:EE53)), "0"), "")</f>
        <v/>
      </c>
      <c r="EF53" s="395">
        <f t="array" ref="EF53">IFERROR(IF(AND(INDEX($E$8:$CE$57, MATCH($C53, $C$8:$C$57, 0), (COLUMNS($DU53:EF53)-1)*5 + 1) = INDEX($E$5:$CE$5, 1, (COLUMNS($DU53:EF53)-1)*5 + 1), INDEX($E$8:$CE$57, MATCH($C53, $C$8:$C$57, 0), (COLUMNS($DU53:EF53)-1)*5 + 4) = "SF"), INDEX($CZ$8:$CZ$23, COLUMNS($DU53:EF53)), "0"), "")</f>
        <v/>
      </c>
      <c r="EG53" s="395">
        <f t="array" ref="EG53">IFERROR(IF(AND(INDEX($E$8:$CE$57, MATCH($C53, $C$8:$C$57, 0), (COLUMNS($DU53:EG53)-1)*5 + 1) = INDEX($E$5:$CE$5, 1, (COLUMNS($DU53:EG53)-1)*5 + 1), INDEX($E$8:$CE$57, MATCH($C53, $C$8:$C$57, 0), (COLUMNS($DU53:EG53)-1)*5 + 4) = "SF"), INDEX($CZ$8:$CZ$23, COLUMNS($DU53:EG53)), "0"), "")</f>
        <v/>
      </c>
      <c r="EH53" s="395">
        <f t="array" ref="EH53">IFERROR(IF(AND(INDEX($E$8:$CE$57, MATCH($C53, $C$8:$C$57, 0), (COLUMNS($DU53:EH53)-1)*5 + 1) = INDEX($E$5:$CE$5, 1, (COLUMNS($DU53:EH53)-1)*5 + 1), INDEX($E$8:$CE$57, MATCH($C53, $C$8:$C$57, 0), (COLUMNS($DU53:EH53)-1)*5 + 4) = "SF"), INDEX($CZ$8:$CZ$23, COLUMNS($DU53:EH53)), "0"), "")</f>
        <v/>
      </c>
      <c r="EI53" s="395">
        <f t="array" ref="EI53">IFERROR(IF(AND(INDEX($E$8:$CE$57, MATCH($C53, $C$8:$C$57, 0), (COLUMNS($DU53:EI53)-1)*5 + 1) = INDEX($E$5:$CE$5, 1, (COLUMNS($DU53:EI53)-1)*5 + 1), INDEX($E$8:$CE$57, MATCH($C53, $C$8:$C$57, 0), (COLUMNS($DU53:EI53)-1)*5 + 4) = "SF"), INDEX($CZ$8:$CZ$23, COLUMNS($DU53:EI53)), "0"), "")</f>
        <v/>
      </c>
      <c r="EJ53" s="395">
        <f t="array" ref="EJ53">IFERROR(IF(AND(INDEX($E$8:$CE$57, MATCH($C53, $C$8:$C$57, 0), (COLUMNS($DU53:EJ53)-1)*5 + 1) = INDEX($E$5:$CE$5, 1, (COLUMNS($DU53:EJ53)-1)*5 + 1), INDEX($E$8:$CE$57, MATCH($C53, $C$8:$C$57, 0), (COLUMNS($DU53:EJ53)-1)*5 + 4) = "SF"), INDEX($CZ$8:$CZ$23, COLUMNS($DU53:EJ53)), "0"), "")</f>
        <v/>
      </c>
    </row>
    <row r="54" ht="20.1" customHeight="1" s="568">
      <c r="A54" s="576" t="n"/>
      <c r="B54" s="449">
        <f>IF(SEMANA29[[#This Row],[COD]]&lt;&gt;"",B53+1,"")</f>
        <v/>
      </c>
      <c r="C54" s="622" t="inlineStr">
        <is>
          <t>COD 47</t>
        </is>
      </c>
      <c r="D54" s="415">
        <f t="array" ref="D54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4" s="416" t="n"/>
      <c r="F54" s="418" t="n"/>
      <c r="G54" s="418" t="n"/>
      <c r="H54" s="418" t="n"/>
      <c r="I54" s="602">
        <f>SUM(IF(E54=E$5,4,0),IF(E54&amp;F54=E$5&amp;F$5,1,0),
IF(AND(E54=E$5,F$6&gt;=$D$115),1,0),
IF(AND(F54=E$5,F$6&gt;=$D$115),1,0),
IF(AND(G54=E$5,F$6&gt;=$D$115),1,0),
IF(E54&amp;H54=I$5,1,0),
IF(F54=E$5,2,0),
IF(G54=E$5,1,0),
IF(OR(E54&amp;F54&amp;G54=E$5&amp;F$5&amp;G$5,E54&amp;F54&amp;G54=E$5&amp;G$5&amp;F$5,E54&amp;F54&amp;G54=F$5&amp;E$5&amp;G$5,E54&amp;F54&amp;G54=F$5&amp;G$5&amp;E$5,E54&amp;F54&amp;G54=G$5&amp;E$5&amp;F$5,E54&amp;F54&amp;G54=G$5&amp;F$5&amp;E$5),2,0),IF(AND(E54=E$5,F$6&gt;=$D$129),1,0),IF(AND(F54=E$5,F$6&gt;=$D$129),1,0),IF(AND(G54=E$5,F$6&gt;=$D$129),1,0),IF(E54&amp;H54=H$5,4,0),IF(AND(E54=E$5,F$6&lt;=$D$104),-0.5,0),IF(AND(F54=E$5,F$6&lt;=$D$104),-0.5,0),IF(AND(G54=E$5,F$6&lt;=$D$104),-0.5,0))</f>
        <v/>
      </c>
      <c r="J54" s="416" t="n"/>
      <c r="K54" s="418" t="n"/>
      <c r="L54" s="418" t="n"/>
      <c r="M54" s="418" t="n"/>
      <c r="N54" s="602">
        <f>SUM(IF(J54=J$5,4,0),IF(J54&amp;K54=J$5&amp;K$5,1,0),
IF(AND(J54=J$5,K$6&gt;=$D$115),1,0),
IF(AND(K54=J$5,K$6&gt;=$D$115),1,0),
IF(AND(L54=J$5,K$6&gt;=$D$115),1,0),
IF(J54&amp;M54=N$5,1,0),
IF(K54=J$5,2,0),
IF(L54=J$5,1,0),
IF(OR(J54&amp;K54&amp;L54=J$5&amp;K$5&amp;L$5,J54&amp;K54&amp;L54=J$5&amp;L$5&amp;K$5,J54&amp;K54&amp;L54=K$5&amp;J$5&amp;L$5,J54&amp;K54&amp;L54=K$5&amp;L$5&amp;J$5,J54&amp;K54&amp;L54=L$5&amp;J$5&amp;K$5,J54&amp;K54&amp;L54=L$5&amp;K$5&amp;J$5),2,0),IF(AND(J54=J$5,K$6&gt;=$D$129),1,0),IF(AND(K54=J$5,K$6&gt;=$D$129),1,0),IF(AND(L54=J$5,K$6&gt;=$D$129),1,0),IF(J54&amp;M54=M$5,4,0),IF(AND(J54=J$5,K$6&lt;=$D$104),-0.5,0),IF(AND(K54=J$5,K$6&lt;=$D$104),-0.5,0),IF(AND(L54=J$5,K$6&lt;=$D$104),-0.5,0))</f>
        <v/>
      </c>
      <c r="O54" s="416" t="n"/>
      <c r="P54" s="418" t="n"/>
      <c r="Q54" s="418" t="n"/>
      <c r="R54" s="418" t="n"/>
      <c r="S54" s="602">
        <f>SUM(IF(O54=O$5,4,0),IF(O54&amp;P54=O$5&amp;P$5,1,0),
IF(AND(O54=O$5,P$6&gt;=$D$115),1,0),
IF(AND(P54=O$5,P$6&gt;=$D$115),1,0),
IF(AND(Q54=O$5,P$6&gt;=$D$115),1,0),
IF(O54&amp;R54=S$5,1,0),
IF(P54=O$5,2,0),
IF(Q54=O$5,1,0),
IF(OR(O54&amp;P54&amp;Q54=O$5&amp;P$5&amp;Q$5,O54&amp;P54&amp;Q54=O$5&amp;Q$5&amp;P$5,O54&amp;P54&amp;Q54=P$5&amp;O$5&amp;Q$5,O54&amp;P54&amp;Q54=P$5&amp;Q$5&amp;O$5,O54&amp;P54&amp;Q54=Q$5&amp;O$5&amp;P$5,O54&amp;P54&amp;Q54=Q$5&amp;P$5&amp;O$5),2,0),IF(AND(O54=O$5,P$6&gt;=$D$129),1,0),IF(AND(P54=O$5,P$6&gt;=$D$129),1,0),IF(AND(Q54=O$5,P$6&gt;=$D$129),1,0),IF(O54&amp;R54=R$5,4,0),IF(AND(O54=O$5,P$6&lt;=$D$104),-0.5,0),IF(AND(P54=O$5,P$6&lt;=$D$104),-0.5,0),IF(AND(Q54=O$5,P$6&lt;=$D$104),-0.5,0))</f>
        <v/>
      </c>
      <c r="T54" s="416" t="n"/>
      <c r="U54" s="418" t="n"/>
      <c r="V54" s="418" t="n"/>
      <c r="W54" s="418" t="n"/>
      <c r="X54" s="602">
        <f>SUM(IF(T54=T$5,4,0),IF(T54&amp;U54=T$5&amp;U$5,1,0),
IF(AND(T54=T$5,U$6&gt;=$D$115),1,0),
IF(AND(U54=T$5,U$6&gt;=$D$115),1,0),
IF(AND(V54=T$5,U$6&gt;=$D$115),1,0),
IF(T54&amp;W54=X$5,1,0),
IF(U54=T$5,2,0),
IF(V54=T$5,1,0),
IF(OR(T54&amp;U54&amp;V54=T$5&amp;U$5&amp;V$5,T54&amp;U54&amp;V54=T$5&amp;V$5&amp;U$5,T54&amp;U54&amp;V54=U$5&amp;T$5&amp;V$5,T54&amp;U54&amp;V54=U$5&amp;V$5&amp;T$5,T54&amp;U54&amp;V54=V$5&amp;T$5&amp;U$5,T54&amp;U54&amp;V54=V$5&amp;U$5&amp;T$5),2,0),IF(AND(T54=T$5,U$6&gt;=$D$129),1,0),IF(AND(U54=T$5,U$6&gt;=$D$129),1,0),IF(AND(V54=T$5,U$6&gt;=$D$129),1,0),IF(T54&amp;W54=W$5,4,0),IF(AND(T54=T$5,U$6&lt;=$D$104),-0.5,0),IF(AND(U54=T$5,U$6&lt;=$D$104),-0.5,0),IF(AND(V54=T$5,U$6&lt;=$D$104),-0.5,0))</f>
        <v/>
      </c>
      <c r="Y54" s="416" t="n"/>
      <c r="Z54" s="418" t="n"/>
      <c r="AA54" s="418" t="n"/>
      <c r="AB54" s="418" t="n"/>
      <c r="AC54" s="602">
        <f>SUM(IF(Y54=Y$5,4,0),IF(Y54&amp;Z54=Y$5&amp;Z$5,1,0),
IF(AND(Y54=Y$5,Z$6&gt;=$D$115),1,0),
IF(AND(Z54=Y$5,Z$6&gt;=$D$115),1,0),
IF(AND(AA54=Y$5,Z$6&gt;=$D$115),1,0),
IF(Y54&amp;AB54=AC$5,1,0),
IF(Z54=Y$5,2,0),
IF(AA54=Y$5,1,0),
IF(OR(Y54&amp;Z54&amp;AA54=Y$5&amp;Z$5&amp;AA$5,Y54&amp;Z54&amp;AA54=Y$5&amp;AA$5&amp;Z$5,Y54&amp;Z54&amp;AA54=Z$5&amp;Y$5&amp;AA$5,Y54&amp;Z54&amp;AA54=Z$5&amp;AA$5&amp;Y$5,Y54&amp;Z54&amp;AA54=AA$5&amp;Y$5&amp;Z$5,Y54&amp;Z54&amp;AA54=AA$5&amp;Z$5&amp;Y$5),2,0),IF(AND(Y54=Y$5,Z$6&gt;=$D$129),1,0),IF(AND(Z54=Y$5,Z$6&gt;=$D$129),1,0),IF(AND(AA54=Y$5,Z$6&gt;=$D$129),1,0),IF(Y54&amp;AB54=AB$5,4,0),IF(AND(Y54=Y$5,Z$6&lt;=$D$104),-0.5,0),IF(AND(Z54=Y$5,Z$6&lt;=$D$104),-0.5,0),IF(AND(AA54=Y$5,Z$6&lt;=$D$104),-0.5,0))</f>
        <v/>
      </c>
      <c r="AD54" s="416" t="n"/>
      <c r="AE54" s="418" t="n"/>
      <c r="AF54" s="418" t="n"/>
      <c r="AG54" s="418" t="n"/>
      <c r="AH54" s="602">
        <f>SUM(IF(AD54=AD$5,4,0),IF(AD54&amp;AE54=AD$5&amp;AE$5,1,0),
IF(AND(AD54=AD$5,AE$6&gt;=$D$115),1,0),
IF(AND(AE54=AD$5,AE$6&gt;=$D$115),1,0),
IF(AND(AF54=AD$5,AE$6&gt;=$D$115),1,0),
IF(AD54&amp;AG54=AH$5,1,0),
IF(AE54=AD$5,2,0),
IF(AF54=AD$5,1,0),
IF(OR(AD54&amp;AE54&amp;AF54=AD$5&amp;AE$5&amp;AF$5,AD54&amp;AE54&amp;AF54=AD$5&amp;AF$5&amp;AE$5,AD54&amp;AE54&amp;AF54=AE$5&amp;AD$5&amp;AF$5,AD54&amp;AE54&amp;AF54=AE$5&amp;AF$5&amp;AD$5,AD54&amp;AE54&amp;AF54=AF$5&amp;AD$5&amp;AE$5,AD54&amp;AE54&amp;AF54=AF$5&amp;AE$5&amp;AD$5),2,0),IF(AND(AD54=AD$5,AE$6&gt;=$D$129),1,0),IF(AND(AE54=AD$5,AE$6&gt;=$D$129),1,0),IF(AND(AF54=AD$5,AE$6&gt;=$D$129),1,0),IF(AD54&amp;AG54=AG$5,4,0),IF(AND(AD54=AD$5,AE$6&lt;=$D$104),-0.5,0),IF(AND(AE54=AD$5,AE$6&lt;=$D$104),-0.5,0),IF(AND(AF54=AD$5,AE$6&lt;=$D$104),-0.5,0))</f>
        <v/>
      </c>
      <c r="AI54" s="416" t="n"/>
      <c r="AJ54" s="418" t="n"/>
      <c r="AK54" s="418" t="n"/>
      <c r="AL54" s="418" t="n"/>
      <c r="AM54" s="602">
        <f>SUM(IF(AI54=AI$5,4,0),IF(AI54&amp;AJ54=AI$5&amp;AJ$5,1,0),
IF(AND(AI54=AI$5,AJ$6&gt;=$D$115),1,0),
IF(AND(AJ54=AI$5,AJ$6&gt;=$D$115),1,0),
IF(AND(AK54=AI$5,AJ$6&gt;=$D$115),1,0),
IF(AI54&amp;AL54=AM$5,1,0),
IF(AJ54=AI$5,2,0),
IF(AK54=AI$5,1,0),
IF(OR(AI54&amp;AJ54&amp;AK54=AI$5&amp;AJ$5&amp;AK$5,AI54&amp;AJ54&amp;AK54=AI$5&amp;AK$5&amp;AJ$5,AI54&amp;AJ54&amp;AK54=AJ$5&amp;AI$5&amp;AK$5,AI54&amp;AJ54&amp;AK54=AJ$5&amp;AK$5&amp;AI$5,AI54&amp;AJ54&amp;AK54=AK$5&amp;AI$5&amp;AJ$5,AI54&amp;AJ54&amp;AK54=AK$5&amp;AJ$5&amp;AI$5),2,0),IF(AND(AI54=AI$5,AJ$6&gt;=$D$129),1,0),IF(AND(AJ54=AI$5,AJ$6&gt;=$D$129),1,0),IF(AND(AK54=AI$5,AJ$6&gt;=$D$129),1,0),IF(AI54&amp;AL54=AL$5,4,0),IF(AND(AI54=AI$5,AJ$6&lt;=$D$104),-0.5,0),IF(AND(AJ54=AI$5,AJ$6&lt;=$D$104),-0.5,0),IF(AND(AK54=AI$5,AJ$6&lt;=$D$104),-0.5,0))</f>
        <v/>
      </c>
      <c r="AN54" s="416" t="n"/>
      <c r="AO54" s="418" t="n"/>
      <c r="AP54" s="418" t="n"/>
      <c r="AQ54" s="418" t="n"/>
      <c r="AR54" s="602">
        <f>SUM(IF(AN54=AN$5,4,0),IF(AN54&amp;AO54=AN$5&amp;AO$5,1,0),
IF(AND(AN54=AN$5,AO$6&gt;=$D$115),1,0),
IF(AND(AO54=AN$5,AO$6&gt;=$D$115),1,0),
IF(AND(AP54=AN$5,AO$6&gt;=$D$115),1,0),
IF(AN54&amp;AQ54=AR$5,1,0),
IF(AO54=AN$5,2,0),
IF(AP54=AN$5,1,0),
IF(OR(AN54&amp;AO54&amp;AP54=AN$5&amp;AO$5&amp;AP$5,AN54&amp;AO54&amp;AP54=AN$5&amp;AP$5&amp;AO$5,AN54&amp;AO54&amp;AP54=AO$5&amp;AN$5&amp;AP$5,AN54&amp;AO54&amp;AP54=AO$5&amp;AP$5&amp;AN$5,AN54&amp;AO54&amp;AP54=AP$5&amp;AN$5&amp;AO$5,AN54&amp;AO54&amp;AP54=AP$5&amp;AO$5&amp;AN$5),2,0),IF(AND(AN54=AN$5,AO$6&gt;=$D$129),1,0),IF(AND(AO54=AN$5,AO$6&gt;=$D$129),1,0),IF(AND(AP54=AN$5,AO$6&gt;=$D$129),1,0),IF(AN54&amp;AQ54=AQ$5,4,0),IF(AND(AN54=AN$5,AO$6&lt;=$D$104),-0.5,0),IF(AND(AO54=AN$5,AO$6&lt;=$D$104),-0.5,0),IF(AND(AP54=AN$5,AO$6&lt;=$D$104),-0.5,0))</f>
        <v/>
      </c>
      <c r="AS54" s="416" t="n"/>
      <c r="AT54" s="418" t="n"/>
      <c r="AU54" s="418" t="n"/>
      <c r="AV54" s="418" t="n"/>
      <c r="AW54" s="602">
        <f>SUM(IF(AS54=AS$5,4,0),IF(AS54&amp;AT54=AS$5&amp;AT$5,1,0),
IF(AND(AS54=AS$5,AT$6&gt;=$D$115),1,0),
IF(AND(AT54=AS$5,AT$6&gt;=$D$115),1,0),
IF(AND(AU54=AS$5,AT$6&gt;=$D$115),1,0),
IF(AS54&amp;AV54=AW$5,1,0),
IF(AT54=AS$5,2,0),
IF(AU54=AS$5,1,0),
IF(OR(AS54&amp;AT54&amp;AU54=AS$5&amp;AT$5&amp;AU$5,AS54&amp;AT54&amp;AU54=AS$5&amp;AU$5&amp;AT$5,AS54&amp;AT54&amp;AU54=AT$5&amp;AS$5&amp;AU$5,AS54&amp;AT54&amp;AU54=AT$5&amp;AU$5&amp;AS$5,AS54&amp;AT54&amp;AU54=AU$5&amp;AS$5&amp;AT$5,AS54&amp;AT54&amp;AU54=AU$5&amp;AT$5&amp;AS$5),2,0),IF(AND(AS54=AS$5,AT$6&gt;=$D$129),1,0),IF(AND(AT54=AS$5,AT$6&gt;=$D$129),1,0),IF(AND(AU54=AS$5,AT$6&gt;=$D$129),1,0),IF(AS54&amp;AV54=AV$5,4,0),IF(AND(AS54=AS$5,AT$6&lt;=$D$104),-0.5,0),IF(AND(AT54=AS$5,AT$6&lt;=$D$104),-0.5,0),IF(AND(AU54=AS$5,AT$6&lt;=$D$104),-0.5,0))</f>
        <v/>
      </c>
      <c r="AX54" s="416" t="n"/>
      <c r="AY54" s="418" t="n"/>
      <c r="AZ54" s="418" t="n"/>
      <c r="BA54" s="418" t="n"/>
      <c r="BB54" s="602">
        <f>SUM(IF(AX54=AX$5,4,0),IF(AX54&amp;AY54=AX$5&amp;AY$5,1,0),
IF(AND(AX54=AX$5,AY$6&gt;=$D$115),1,0),
IF(AND(AY54=AX$5,AY$6&gt;=$D$115),1,0),
IF(AND(AZ54=AX$5,AY$6&gt;=$D$115),1,0),
IF(AX54&amp;BA54=BB$5,1,0),
IF(AY54=AX$5,2,0),
IF(AZ54=AX$5,1,0),
IF(OR(AX54&amp;AY54&amp;AZ54=AX$5&amp;AY$5&amp;AZ$5,AX54&amp;AY54&amp;AZ54=AX$5&amp;AZ$5&amp;AY$5,AX54&amp;AY54&amp;AZ54=AY$5&amp;AX$5&amp;AZ$5,AX54&amp;AY54&amp;AZ54=AY$5&amp;AZ$5&amp;AX$5,AX54&amp;AY54&amp;AZ54=AZ$5&amp;AX$5&amp;AY$5,AX54&amp;AY54&amp;AZ54=AZ$5&amp;AY$5&amp;AX$5),2,0),IF(AND(AX54=AX$5,AY$6&gt;=$D$129),1,0),IF(AND(AY54=AX$5,AY$6&gt;=$D$129),1,0),IF(AND(AZ54=AX$5,AY$6&gt;=$D$129),1,0),IF(AX54&amp;BA54=BA$5,4,0),IF(AND(AX54=AX$5,AY$6&lt;=$D$104),-0.5,0),IF(AND(AY54=AX$5,AY$6&lt;=$D$104),-0.5,0),IF(AND(AZ54=AX$5,AY$6&lt;=$D$104),-0.5,0))</f>
        <v/>
      </c>
      <c r="BC54" s="416" t="n"/>
      <c r="BD54" s="418" t="n"/>
      <c r="BE54" s="418" t="n"/>
      <c r="BF54" s="418" t="n"/>
      <c r="BG54" s="602">
        <f>SUM(IF(BC54=BC$5,4,0),IF(BC54&amp;BD54=BC$5&amp;BD$5,1,0),
IF(AND(BC54=BC$5,BD$6&gt;=$D$115),1,0),
IF(AND(BD54=BC$5,BD$6&gt;=$D$115),1,0),
IF(AND(BE54=BC$5,BD$6&gt;=$D$115),1,0),
IF(BC54&amp;BF54=BG$5,1,0),
IF(BD54=BC$5,2,0),
IF(BE54=BC$5,1,0),
IF(OR(BC54&amp;BD54&amp;BE54=BC$5&amp;BD$5&amp;BE$5,BC54&amp;BD54&amp;BE54=BC$5&amp;BE$5&amp;BD$5,BC54&amp;BD54&amp;BE54=BD$5&amp;BC$5&amp;BE$5,BC54&amp;BD54&amp;BE54=BD$5&amp;BE$5&amp;BC$5,BC54&amp;BD54&amp;BE54=BE$5&amp;BC$5&amp;BD$5,BC54&amp;BD54&amp;BE54=BE$5&amp;BD$5&amp;BC$5),2,0),IF(AND(BC54=BC$5,BD$6&gt;=$D$129),1,0),IF(AND(BD54=BC$5,BD$6&gt;=$D$129),1,0),IF(AND(BE54=BC$5,BD$6&gt;=$D$129),1,0),IF(BC54&amp;BF54=BF$5,4,0),IF(AND(BC54=BC$5,BD$6&lt;=$D$104),-0.5,0),IF(AND(BD54=BC$5,BD$6&lt;=$D$104),-0.5,0),IF(AND(BE54=BC$5,BD$6&lt;=$D$104),-0.5,0))</f>
        <v/>
      </c>
      <c r="BH54" s="416" t="n"/>
      <c r="BI54" s="418" t="n"/>
      <c r="BJ54" s="418" t="n"/>
      <c r="BK54" s="418" t="n"/>
      <c r="BL54" s="602">
        <f>SUM(IF(BH54=BH$5,4,0),IF(BH54&amp;BI54=BH$5&amp;BI$5,1,0),
IF(AND(BH54=BH$5,BI$6&gt;=$D$115),1,0),
IF(AND(BI54=BH$5,BI$6&gt;=$D$115),1,0),
IF(AND(BJ54=BH$5,BI$6&gt;=$D$115),1,0),
IF(BH54&amp;BK54=BL$5,1,0),
IF(BI54=BH$5,2,0),
IF(BJ54=BH$5,1,0),
IF(OR(BH54&amp;BI54&amp;BJ54=BH$5&amp;BI$5&amp;BJ$5,BH54&amp;BI54&amp;BJ54=BH$5&amp;BJ$5&amp;BI$5,BH54&amp;BI54&amp;BJ54=BI$5&amp;BH$5&amp;BJ$5,BH54&amp;BI54&amp;BJ54=BI$5&amp;BJ$5&amp;BH$5,BH54&amp;BI54&amp;BJ54=BJ$5&amp;BH$5&amp;BI$5,BH54&amp;BI54&amp;BJ54=BJ$5&amp;BI$5&amp;BH$5),2,0),IF(AND(BH54=BH$5,BI$6&gt;=$D$129),1,0),IF(AND(BI54=BH$5,BI$6&gt;=$D$129),1,0),IF(AND(BJ54=BH$5,BI$6&gt;=$D$129),1,0),IF(BH54&amp;BK54=BK$5,4,0),IF(AND(BH54=BH$5,BI$6&lt;=$D$104),-0.5,0),IF(AND(BI54=BH$5,BI$6&lt;=$D$104),-0.5,0),IF(AND(BJ54=BH$5,BI$6&lt;=$D$104),-0.5,0))</f>
        <v/>
      </c>
      <c r="BM54" s="416" t="n"/>
      <c r="BN54" s="418" t="n"/>
      <c r="BO54" s="418" t="n"/>
      <c r="BP54" s="418" t="n"/>
      <c r="BQ54" s="602">
        <f>SUM(IF(BM54=BM$5,4,0),IF(BM54&amp;BN54=BM$5&amp;BN$5,1,0),
IF(AND(BM54=BM$5,BN$6&gt;=$D$115),1,0),
IF(AND(BN54=BM$5,BN$6&gt;=$D$115),1,0),
IF(AND(BO54=BM$5,BN$6&gt;=$D$115),1,0),
IF(BM54&amp;BP54=BQ$5,1,0),
IF(BN54=BM$5,2,0),
IF(BO54=BM$5,1,0),
IF(OR(BM54&amp;BN54&amp;BO54=BM$5&amp;BN$5&amp;BO$5,BM54&amp;BN54&amp;BO54=BM$5&amp;BO$5&amp;BN$5,BM54&amp;BN54&amp;BO54=BN$5&amp;BM$5&amp;BO$5,BM54&amp;BN54&amp;BO54=BN$5&amp;BO$5&amp;BM$5,BM54&amp;BN54&amp;BO54=BO$5&amp;BM$5&amp;BN$5,BM54&amp;BN54&amp;BO54=BO$5&amp;BN$5&amp;BM$5),2,0),IF(AND(BM54=BM$5,BN$6&gt;=$D$129),1,0),IF(AND(BN54=BM$5,BN$6&gt;=$D$129),1,0),IF(AND(BO54=BM$5,BN$6&gt;=$D$129),1,0),IF(BM54&amp;BP54=BP$5,4,0),IF(AND(BM54=BM$5,BN$6&lt;=$D$104),-0.5,0),IF(AND(BN54=BM$5,BN$6&lt;=$D$104),-0.5,0),IF(AND(BO54=BM$5,BN$6&lt;=$D$104),-0.5,0))</f>
        <v/>
      </c>
      <c r="BR54" s="416" t="n"/>
      <c r="BS54" s="418" t="n"/>
      <c r="BT54" s="418" t="n"/>
      <c r="BU54" s="418" t="n"/>
      <c r="BV54" s="602">
        <f>SUM(IF(BR54=BR$5,4,0),IF(BR54&amp;BS54=BR$5&amp;BS$5,1,0),
IF(AND(BR54=BR$5,BS$6&gt;=$D$115),1,0),
IF(AND(BS54=BR$5,BS$6&gt;=$D$115),1,0),
IF(AND(BT54=BR$5,BS$6&gt;=$D$115),1,0),
IF(BR54&amp;BU54=BV$5,1,0),
IF(BS54=BR$5,2,0),
IF(BT54=BR$5,1,0),
IF(OR(BR54&amp;BS54&amp;BT54=BR$5&amp;BS$5&amp;BT$5,BR54&amp;BS54&amp;BT54=BR$5&amp;BT$5&amp;BS$5,BR54&amp;BS54&amp;BT54=BS$5&amp;BR$5&amp;BT$5,BR54&amp;BS54&amp;BT54=BS$5&amp;BT$5&amp;BR$5,BR54&amp;BS54&amp;BT54=BT$5&amp;BR$5&amp;BS$5,BR54&amp;BS54&amp;BT54=BT$5&amp;BS$5&amp;BR$5),2,0),IF(AND(BR54=BR$5,BS$6&gt;=$D$129),1,0),IF(AND(BS54=BR$5,BS$6&gt;=$D$129),1,0),IF(AND(BT54=BR$5,BS$6&gt;=$D$129),1,0),IF(BR54&amp;BU54=BU$5,4,0),IF(AND(BR54=BR$5,BS$6&lt;=$D$104),-0.5,0),IF(AND(BS54=BR$5,BS$6&lt;=$D$104),-0.5,0),IF(AND(BT54=BR$5,BS$6&lt;=$D$104),-0.5,0))</f>
        <v/>
      </c>
      <c r="BW54" s="416" t="n"/>
      <c r="BX54" s="418" t="n"/>
      <c r="BY54" s="418" t="n"/>
      <c r="BZ54" s="418" t="n"/>
      <c r="CA54" s="602">
        <f>SUM(IF(BW54=BW$5,4,0),IF(BW54&amp;BX54=BW$5&amp;BX$5,1,0),
IF(AND(BW54=BW$5,BX$6&gt;=$D$115),1,0),
IF(AND(BX54=BW$5,BX$6&gt;=$D$115),1,0),
IF(AND(BY54=BW$5,BX$6&gt;=$D$115),1,0),
IF(BW54&amp;BZ54=CA$5,1,0),
IF(BX54=BW$5,2,0),
IF(BY54=BW$5,1,0),
IF(OR(BW54&amp;BX54&amp;BY54=BW$5&amp;BX$5&amp;BY$5,BW54&amp;BX54&amp;BY54=BW$5&amp;BY$5&amp;BX$5,BW54&amp;BX54&amp;BY54=BX$5&amp;BW$5&amp;BY$5,BW54&amp;BX54&amp;BY54=BX$5&amp;BY$5&amp;BW$5,BW54&amp;BX54&amp;BY54=BY$5&amp;BW$5&amp;BX$5,BW54&amp;BX54&amp;BY54=BY$5&amp;BX$5&amp;BW$5),2,0),IF(AND(BW54=BW$5,BX$6&gt;=$D$129),1,0),IF(AND(BX54=BW$5,BX$6&gt;=$D$129),1,0),IF(AND(BY54=BW$5,BX$6&gt;=$D$129),1,0),IF(BW54&amp;BZ54=BZ$5,4,0),IF(AND(BW54=BW$5,BX$6&lt;=$D$104),-0.5,0),IF(AND(BX54=BW$5,BX$6&lt;=$D$104),-0.5,0),IF(AND(BY54=BW$5,BX$6&lt;=$D$104),-0.5,0))</f>
        <v/>
      </c>
      <c r="CB54" s="416" t="n"/>
      <c r="CC54" s="418" t="n"/>
      <c r="CD54" s="418" t="n"/>
      <c r="CE54" s="418" t="n"/>
      <c r="CF54" s="602">
        <f>SUM(IF(CB54=CB$5,4,0),IF(CB54&amp;CC54=CB$5&amp;CC$5,1,0),
IF(AND(CB54=CB$5,CC$6&gt;=$D$115),1,0),
IF(AND(CC54=CB$5,CC$6&gt;=$D$115),1,0),
IF(AND(CD54=CB$5,CC$6&gt;=$D$115),1,0),
IF(CB54&amp;CE54=CF$5,1,0),
IF(CC54=CB$5,2,0),
IF(CD54=CB$5,1,0),
IF(OR(CB54&amp;CC54&amp;CD54=CB$5&amp;CC$5&amp;CD$5,CB54&amp;CC54&amp;CD54=CB$5&amp;CD$5&amp;CC$5,CB54&amp;CC54&amp;CD54=CC$5&amp;CB$5&amp;CD$5,CB54&amp;CC54&amp;CD54=CC$5&amp;CD$5&amp;CB$5,CB54&amp;CC54&amp;CD54=CD$5&amp;CB$5&amp;CC$5,CB54&amp;CC54&amp;CD54=CD$5&amp;CC$5&amp;CB$5),2,0),IF(AND(CB54=CB$5,CC$6&gt;=$D$129),1,0),IF(AND(CC54=CB$5,CC$6&gt;=$D$129),1,0),IF(AND(CD54=CB$5,CC$6&gt;=$D$129),1,0),IF(CB54&amp;CE54=CE$5,4,0),IF(AND(CB54=CB$5,CC$6&lt;=$D$104),-0.5,0),IF(AND(CC54=CB$5,CC$6&lt;=$D$104),-0.5,0),IF(AND(CD54=CB$5,CC$6&lt;=$D$104),-0.5,0))</f>
        <v/>
      </c>
      <c r="CG54" s="164">
        <f>IF(SEMANA29[[#This Row],[1]]="",0,$B$4)</f>
        <v/>
      </c>
      <c r="CH54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4" s="189">
        <f>IF(SEMANA29[[#This Row],[Columna14]]=0,0,(CH54/CG54))</f>
        <v/>
      </c>
      <c r="CJ54" s="165">
        <f>IF(SEMANA29[[#This Row],[1]]="",0,$B$4)</f>
        <v/>
      </c>
      <c r="CK54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4" s="189">
        <f>IF(SEMANA29[[#This Row],[Columna14]]=0,0,(CK54/CJ54))</f>
        <v/>
      </c>
      <c r="CM54" s="164">
        <f>IF(SEMANA29[[#This Row],[1]]="",0,$B$4)</f>
        <v/>
      </c>
      <c r="CN54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4" s="189">
        <f>IF(SEMANA29[[#This Row],[Columna14]]=0,0,(CN54/CM54))</f>
        <v/>
      </c>
      <c r="CP54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4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Row],[Columna25]],$AX$5,BA54,"SF")+COUNTIFS(SEMANA29[[#This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4" s="189">
        <f>IFERROR(IF(SEMANA29[[#This Row],[Columna14]]=0,0,(CQ54/CP54)),0)</f>
        <v/>
      </c>
      <c r="CS54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4" s="95">
        <f>_xlfn.XLOOKUP(SEMANA29[[#This Row],[COD]],SEMANA2[COD],SEMANA2[Columna33])</f>
        <v/>
      </c>
      <c r="CU54" s="604">
        <f>SUM(CS54,CT54)</f>
        <v/>
      </c>
      <c r="CV54" s="450">
        <f>IF(SEMANA29[[#This Row],[TIPO]]="PREMIO",$O$3,"0,00")</f>
        <v/>
      </c>
      <c r="CW54" s="576" t="n"/>
      <c r="CY54" s="392">
        <f>IF(CZ54="","",$CZ$25)</f>
        <v/>
      </c>
      <c r="CZ54" s="392" t="n"/>
      <c r="DA54" s="392">
        <f t="array" ref="DA54">IF(CZ54="", "", IF((INDEX(E$8:CE$57, MATCH(CZ54, C$8:C$57, 0), ($CZ$25-1)*5 + 1) &amp; "") = (INDEX(E$5:CE$5, 1, ($CZ$25-1)*5 + 1) &amp; ""), 1, IF((INDEX(E$8:CE$57, MATCH(CZ54, C$8:C$57, 0), ($CZ$25-1)*5 + 2) &amp; "") = (INDEX(E$5:CE$5, 1, ($CZ$25-1)*5 + 1) &amp; ""), 2, IF((INDEX(E$8:CE$57, MATCH(CZ54, C$8:C$57, 0), ($CZ$25-1)*5 + 3) &amp; "") = (INDEX(E$5:CE$5, 1, ($CZ$25-1)*5 + 1) &amp; ""), 3, ""))))</f>
        <v/>
      </c>
      <c r="DB54" s="605">
        <f>SEMANA29[[#This Row],[COD]]</f>
        <v/>
      </c>
      <c r="DC54" s="395">
        <f t="array" ref="DC54">IFERROR(IF(AND(INDEX($E$8:$CE$57, MATCH($C54, $C$8:$C$57, 0), (COLUMNS($DC54:DC54)-1)*5 + 1) = INDEX($E$5:$CE$5, 1, (COLUMNS($DC54:DC54)-1)*5 + 1), INDEX($E$8:$CE$57, MATCH($C54, $C$8:$C$57, 0), (COLUMNS($DC54:DC54)-1)*5 + 4) = "F"), INDEX($CZ$8:$CZ$23, COLUMNS($DC54:DC54)), "0"), "")</f>
        <v/>
      </c>
      <c r="DD54" s="395">
        <f t="array" ref="DD54">IFERROR(IF(AND(INDEX($E$8:$CE$57, MATCH($C54, $C$8:$C$57, 0), (COLUMNS($DC54:DD54)-1)*5 + 1) = INDEX($E$5:$CE$5, 1, (COLUMNS($DC54:DD54)-1)*5 + 1), INDEX($E$8:$CE$57, MATCH($C54, $C$8:$C$57, 0), (COLUMNS($DC54:DD54)-1)*5 + 4) = "F"), INDEX($CZ$8:$CZ$23, COLUMNS($DC54:DD54)), "0"), "")</f>
        <v/>
      </c>
      <c r="DE54" s="395">
        <f t="array" ref="DE54">IFERROR(IF(AND(INDEX($E$8:$CE$57, MATCH($C54, $C$8:$C$57, 0), (COLUMNS($DC54:DE54)-1)*5 + 1) = INDEX($E$5:$CE$5, 1, (COLUMNS($DC54:DE54)-1)*5 + 1), INDEX($E$8:$CE$57, MATCH($C54, $C$8:$C$57, 0), (COLUMNS($DC54:DE54)-1)*5 + 4) = "F"), INDEX($CZ$8:$CZ$23, COLUMNS($DC54:DE54)), "0"), "")</f>
        <v/>
      </c>
      <c r="DF54" s="395">
        <f t="array" ref="DF54">IFERROR(IF(AND(INDEX($E$8:$CE$57, MATCH($C54, $C$8:$C$57, 0), (COLUMNS($DC54:DF54)-1)*5 + 1) = INDEX($E$5:$CE$5, 1, (COLUMNS($DC54:DF54)-1)*5 + 1), INDEX($E$8:$CE$57, MATCH($C54, $C$8:$C$57, 0), (COLUMNS($DC54:DF54)-1)*5 + 4) = "F"), INDEX($CZ$8:$CZ$23, COLUMNS($DC54:DF54)), "0"), "")</f>
        <v/>
      </c>
      <c r="DG54" s="395">
        <f t="array" ref="DG54">IFERROR(IF(AND(INDEX($E$8:$CE$57, MATCH($C54, $C$8:$C$57, 0), (COLUMNS($DC54:DG54)-1)*5 + 1) = INDEX($E$5:$CE$5, 1, (COLUMNS($DC54:DG54)-1)*5 + 1), INDEX($E$8:$CE$57, MATCH($C54, $C$8:$C$57, 0), (COLUMNS($DC54:DG54)-1)*5 + 4) = "F"), INDEX($CZ$8:$CZ$23, COLUMNS($DC54:DG54)), "0"), "")</f>
        <v/>
      </c>
      <c r="DH54" s="395">
        <f t="array" ref="DH54">IFERROR(IF(AND(INDEX($E$8:$CE$57, MATCH($C54, $C$8:$C$57, 0), (COLUMNS($DC54:DH54)-1)*5 + 1) = INDEX($E$5:$CE$5, 1, (COLUMNS($DC54:DH54)-1)*5 + 1), INDEX($E$8:$CE$57, MATCH($C54, $C$8:$C$57, 0), (COLUMNS($DC54:DH54)-1)*5 + 4) = "F"), INDEX($CZ$8:$CZ$23, COLUMNS($DC54:DH54)), "0"), "")</f>
        <v/>
      </c>
      <c r="DI54" s="395">
        <f t="array" ref="DI54">IFERROR(IF(AND(INDEX($E$8:$CE$57, MATCH($C54, $C$8:$C$57, 0), (COLUMNS($DC54:DI54)-1)*5 + 1) = INDEX($E$5:$CE$5, 1, (COLUMNS($DC54:DI54)-1)*5 + 1), INDEX($E$8:$CE$57, MATCH($C54, $C$8:$C$57, 0), (COLUMNS($DC54:DI54)-1)*5 + 4) = "F"), INDEX($CZ$8:$CZ$23, COLUMNS($DC54:DI54)), "0"), "")</f>
        <v/>
      </c>
      <c r="DJ54" s="395">
        <f t="array" ref="DJ54">IFERROR(IF(AND(INDEX($E$8:$CE$57, MATCH($C54, $C$8:$C$57, 0), (COLUMNS($DC54:DJ54)-1)*5 + 1) = INDEX($E$5:$CE$5, 1, (COLUMNS($DC54:DJ54)-1)*5 + 1), INDEX($E$8:$CE$57, MATCH($C54, $C$8:$C$57, 0), (COLUMNS($DC54:DJ54)-1)*5 + 4) = "F"), INDEX($CZ$8:$CZ$23, COLUMNS($DC54:DJ54)), "0"), "")</f>
        <v/>
      </c>
      <c r="DK54" s="395">
        <f t="array" ref="DK54">IFERROR(IF(AND(INDEX($E$8:$CE$57, MATCH($C54, $C$8:$C$57, 0), (COLUMNS($DC54:DK54)-1)*5 + 1) = INDEX($E$5:$CE$5, 1, (COLUMNS($DC54:DK54)-1)*5 + 1), INDEX($E$8:$CE$57, MATCH($C54, $C$8:$C$57, 0), (COLUMNS($DC54:DK54)-1)*5 + 4) = "F"), INDEX($CZ$8:$CZ$23, COLUMNS($DC54:DK54)), "0"), "")</f>
        <v/>
      </c>
      <c r="DL54" s="395">
        <f t="array" ref="DL54">IFERROR(IF(AND(INDEX($E$8:$CE$57, MATCH($C54, $C$8:$C$57, 0), (COLUMNS($DC54:DL54)-1)*5 + 1) = INDEX($E$5:$CE$5, 1, (COLUMNS($DC54:DL54)-1)*5 + 1), INDEX($E$8:$CE$57, MATCH($C54, $C$8:$C$57, 0), (COLUMNS($DC54:DL54)-1)*5 + 4) = "F"), INDEX($CZ$8:$CZ$23, COLUMNS($DC54:DL54)), "0"), "")</f>
        <v/>
      </c>
      <c r="DM54" s="395">
        <f t="array" ref="DM54">IFERROR(IF(AND(INDEX($E$8:$CE$57, MATCH($C54, $C$8:$C$57, 0), (COLUMNS($DC54:DM54)-1)*5 + 1) = INDEX($E$5:$CE$5, 1, (COLUMNS($DC54:DM54)-1)*5 + 1), INDEX($E$8:$CE$57, MATCH($C54, $C$8:$C$57, 0), (COLUMNS($DC54:DM54)-1)*5 + 4) = "F"), INDEX($CZ$8:$CZ$23, COLUMNS($DC54:DM54)), "0"), "")</f>
        <v/>
      </c>
      <c r="DN54" s="395">
        <f t="array" ref="DN54">IFERROR(IF(AND(INDEX($E$8:$CE$57, MATCH($C54, $C$8:$C$57, 0), (COLUMNS($DC54:DN54)-1)*5 + 1) = INDEX($E$5:$CE$5, 1, (COLUMNS($DC54:DN54)-1)*5 + 1), INDEX($E$8:$CE$57, MATCH($C54, $C$8:$C$57, 0), (COLUMNS($DC54:DN54)-1)*5 + 4) = "F"), INDEX($CZ$8:$CZ$23, COLUMNS($DC54:DN54)), "0"), "")</f>
        <v/>
      </c>
      <c r="DO54" s="395">
        <f t="array" ref="DO54">IFERROR(IF(AND(INDEX($E$8:$CE$57, MATCH($C54, $C$8:$C$57, 0), (COLUMNS($DC54:DO54)-1)*5 + 1) = INDEX($E$5:$CE$5, 1, (COLUMNS($DC54:DO54)-1)*5 + 1), INDEX($E$8:$CE$57, MATCH($C54, $C$8:$C$57, 0), (COLUMNS($DC54:DO54)-1)*5 + 4) = "F"), INDEX($CZ$8:$CZ$23, COLUMNS($DC54:DO54)), "0"), "")</f>
        <v/>
      </c>
      <c r="DP54" s="395">
        <f t="array" ref="DP54">IFERROR(IF(AND(INDEX($E$8:$CE$57, MATCH($C54, $C$8:$C$57, 0), (COLUMNS($DC54:DP54)-1)*5 + 1) = INDEX($E$5:$CE$5, 1, (COLUMNS($DC54:DP54)-1)*5 + 1), INDEX($E$8:$CE$57, MATCH($C54, $C$8:$C$57, 0), (COLUMNS($DC54:DP54)-1)*5 + 4) = "F"), INDEX($CZ$8:$CZ$23, COLUMNS($DC54:DP54)), "0"), "")</f>
        <v/>
      </c>
      <c r="DQ54" s="395">
        <f t="array" ref="DQ54">IFERROR(IF(AND(INDEX($E$8:$CE$57, MATCH($C54, $C$8:$C$57, 0), (COLUMNS($DC54:DQ54)-1)*5 + 1) = INDEX($E$5:$CE$5, 1, (COLUMNS($DC54:DQ54)-1)*5 + 1), INDEX($E$8:$CE$57, MATCH($C54, $C$8:$C$57, 0), (COLUMNS($DC54:DQ54)-1)*5 + 4) = "F"), INDEX($CZ$8:$CZ$23, COLUMNS($DC54:DQ54)), "0"), "")</f>
        <v/>
      </c>
      <c r="DR54" s="395">
        <f t="array" ref="DR54">IFERROR(IF(AND(INDEX($E$8:$CE$57, MATCH($C54, $C$8:$C$57, 0), (COLUMNS($DC54:DR54)-1)*5 + 1) = INDEX($E$5:$CE$5, 1, (COLUMNS($DC54:DR54)-1)*5 + 1), INDEX($E$8:$CE$57, MATCH($C54, $C$8:$C$57, 0), (COLUMNS($DC54:DR54)-1)*5 + 4) = "F"), INDEX($CZ$8:$CZ$23, COLUMNS($DC54:DR54)), "0"), "")</f>
        <v/>
      </c>
      <c r="DT54" s="605">
        <f>SEMANA29[[#This Row],[COD]]</f>
        <v/>
      </c>
      <c r="DU54" s="395">
        <f t="array" ref="DU54">IFERROR(IF(AND(INDEX($E$8:$CE$57, MATCH($C54, $C$8:$C$57, 0), (COLUMNS($DU54:DU54)-1)*5 + 1) = INDEX($E$5:$CE$5, 1, (COLUMNS($DU54:DU54)-1)*5 + 1), INDEX($E$8:$CE$57, MATCH($C54, $C$8:$C$57, 0), (COLUMNS($DU54:DU54)-1)*5 + 4) = "SF"), INDEX($CZ$8:$CZ$23, COLUMNS($DU54:DU54)), "0"), "")</f>
        <v/>
      </c>
      <c r="DV54" s="395">
        <f t="array" ref="DV54">IFERROR(IF(AND(INDEX($E$8:$CE$57, MATCH($C54, $C$8:$C$57, 0), (COLUMNS($DU54:DV54)-1)*5 + 1) = INDEX($E$5:$CE$5, 1, (COLUMNS($DU54:DV54)-1)*5 + 1), INDEX($E$8:$CE$57, MATCH($C54, $C$8:$C$57, 0), (COLUMNS($DU54:DV54)-1)*5 + 4) = "SF"), INDEX($CZ$8:$CZ$23, COLUMNS($DU54:DV54)), "0"), "")</f>
        <v/>
      </c>
      <c r="DW54" s="395">
        <f t="array" ref="DW54">IFERROR(IF(AND(INDEX($E$8:$CE$57, MATCH($C54, $C$8:$C$57, 0), (COLUMNS($DU54:DW54)-1)*5 + 1) = INDEX($E$5:$CE$5, 1, (COLUMNS($DU54:DW54)-1)*5 + 1), INDEX($E$8:$CE$57, MATCH($C54, $C$8:$C$57, 0), (COLUMNS($DU54:DW54)-1)*5 + 4) = "SF"), INDEX($CZ$8:$CZ$23, COLUMNS($DU54:DW54)), "0"), "")</f>
        <v/>
      </c>
      <c r="DX54" s="395">
        <f t="array" ref="DX54">IFERROR(IF(AND(INDEX($E$8:$CE$57, MATCH($C54, $C$8:$C$57, 0), (COLUMNS($DU54:DX54)-1)*5 + 1) = INDEX($E$5:$CE$5, 1, (COLUMNS($DU54:DX54)-1)*5 + 1), INDEX($E$8:$CE$57, MATCH($C54, $C$8:$C$57, 0), (COLUMNS($DU54:DX54)-1)*5 + 4) = "SF"), INDEX($CZ$8:$CZ$23, COLUMNS($DU54:DX54)), "0"), "")</f>
        <v/>
      </c>
      <c r="DY54" s="395">
        <f t="array" ref="DY54">IFERROR(IF(AND(INDEX($E$8:$CE$57, MATCH($C54, $C$8:$C$57, 0), (COLUMNS($DU54:DY54)-1)*5 + 1) = INDEX($E$5:$CE$5, 1, (COLUMNS($DU54:DY54)-1)*5 + 1), INDEX($E$8:$CE$57, MATCH($C54, $C$8:$C$57, 0), (COLUMNS($DU54:DY54)-1)*5 + 4) = "SF"), INDEX($CZ$8:$CZ$23, COLUMNS($DU54:DY54)), "0"), "")</f>
        <v/>
      </c>
      <c r="DZ54" s="395">
        <f t="array" ref="DZ54">IFERROR(IF(AND(INDEX($E$8:$CE$57, MATCH($C54, $C$8:$C$57, 0), (COLUMNS($DU54:DZ54)-1)*5 + 1) = INDEX($E$5:$CE$5, 1, (COLUMNS($DU54:DZ54)-1)*5 + 1), INDEX($E$8:$CE$57, MATCH($C54, $C$8:$C$57, 0), (COLUMNS($DU54:DZ54)-1)*5 + 4) = "SF"), INDEX($CZ$8:$CZ$23, COLUMNS($DU54:DZ54)), "0"), "")</f>
        <v/>
      </c>
      <c r="EA54" s="395">
        <f t="array" ref="EA54">IFERROR(IF(AND(INDEX($E$8:$CE$57, MATCH($C54, $C$8:$C$57, 0), (COLUMNS($DU54:EA54)-1)*5 + 1) = INDEX($E$5:$CE$5, 1, (COLUMNS($DU54:EA54)-1)*5 + 1), INDEX($E$8:$CE$57, MATCH($C54, $C$8:$C$57, 0), (COLUMNS($DU54:EA54)-1)*5 + 4) = "SF"), INDEX($CZ$8:$CZ$23, COLUMNS($DU54:EA54)), "0"), "")</f>
        <v/>
      </c>
      <c r="EB54" s="395">
        <f t="array" ref="EB54">IFERROR(IF(AND(INDEX($E$8:$CE$57, MATCH($C54, $C$8:$C$57, 0), (COLUMNS($DU54:EB54)-1)*5 + 1) = INDEX($E$5:$CE$5, 1, (COLUMNS($DU54:EB54)-1)*5 + 1), INDEX($E$8:$CE$57, MATCH($C54, $C$8:$C$57, 0), (COLUMNS($DU54:EB54)-1)*5 + 4) = "SF"), INDEX($CZ$8:$CZ$23, COLUMNS($DU54:EB54)), "0"), "")</f>
        <v/>
      </c>
      <c r="EC54" s="395">
        <f t="array" ref="EC54">IFERROR(IF(AND(INDEX($E$8:$CE$57, MATCH($C54, $C$8:$C$57, 0), (COLUMNS($DU54:EC54)-1)*5 + 1) = INDEX($E$5:$CE$5, 1, (COLUMNS($DU54:EC54)-1)*5 + 1), INDEX($E$8:$CE$57, MATCH($C54, $C$8:$C$57, 0), (COLUMNS($DU54:EC54)-1)*5 + 4) = "SF"), INDEX($CZ$8:$CZ$23, COLUMNS($DU54:EC54)), "0"), "")</f>
        <v/>
      </c>
      <c r="ED54" s="395">
        <f t="array" ref="ED54">IFERROR(IF(AND(INDEX($E$8:$CE$57, MATCH($C54, $C$8:$C$57, 0), (COLUMNS($DU54:ED54)-1)*5 + 1) = INDEX($E$5:$CE$5, 1, (COLUMNS($DU54:ED54)-1)*5 + 1), INDEX($E$8:$CE$57, MATCH($C54, $C$8:$C$57, 0), (COLUMNS($DU54:ED54)-1)*5 + 4) = "SF"), INDEX($CZ$8:$CZ$23, COLUMNS($DU54:ED54)), "0"), "")</f>
        <v/>
      </c>
      <c r="EE54" s="395">
        <f t="array" ref="EE54">IFERROR(IF(AND(INDEX($E$8:$CE$57, MATCH($C54, $C$8:$C$57, 0), (COLUMNS($DU54:EE54)-1)*5 + 1) = INDEX($E$5:$CE$5, 1, (COLUMNS($DU54:EE54)-1)*5 + 1), INDEX($E$8:$CE$57, MATCH($C54, $C$8:$C$57, 0), (COLUMNS($DU54:EE54)-1)*5 + 4) = "SF"), INDEX($CZ$8:$CZ$23, COLUMNS($DU54:EE54)), "0"), "")</f>
        <v/>
      </c>
      <c r="EF54" s="395">
        <f t="array" ref="EF54">IFERROR(IF(AND(INDEX($E$8:$CE$57, MATCH($C54, $C$8:$C$57, 0), (COLUMNS($DU54:EF54)-1)*5 + 1) = INDEX($E$5:$CE$5, 1, (COLUMNS($DU54:EF54)-1)*5 + 1), INDEX($E$8:$CE$57, MATCH($C54, $C$8:$C$57, 0), (COLUMNS($DU54:EF54)-1)*5 + 4) = "SF"), INDEX($CZ$8:$CZ$23, COLUMNS($DU54:EF54)), "0"), "")</f>
        <v/>
      </c>
      <c r="EG54" s="395">
        <f t="array" ref="EG54">IFERROR(IF(AND(INDEX($E$8:$CE$57, MATCH($C54, $C$8:$C$57, 0), (COLUMNS($DU54:EG54)-1)*5 + 1) = INDEX($E$5:$CE$5, 1, (COLUMNS($DU54:EG54)-1)*5 + 1), INDEX($E$8:$CE$57, MATCH($C54, $C$8:$C$57, 0), (COLUMNS($DU54:EG54)-1)*5 + 4) = "SF"), INDEX($CZ$8:$CZ$23, COLUMNS($DU54:EG54)), "0"), "")</f>
        <v/>
      </c>
      <c r="EH54" s="395">
        <f t="array" ref="EH54">IFERROR(IF(AND(INDEX($E$8:$CE$57, MATCH($C54, $C$8:$C$57, 0), (COLUMNS($DU54:EH54)-1)*5 + 1) = INDEX($E$5:$CE$5, 1, (COLUMNS($DU54:EH54)-1)*5 + 1), INDEX($E$8:$CE$57, MATCH($C54, $C$8:$C$57, 0), (COLUMNS($DU54:EH54)-1)*5 + 4) = "SF"), INDEX($CZ$8:$CZ$23, COLUMNS($DU54:EH54)), "0"), "")</f>
        <v/>
      </c>
      <c r="EI54" s="395">
        <f t="array" ref="EI54">IFERROR(IF(AND(INDEX($E$8:$CE$57, MATCH($C54, $C$8:$C$57, 0), (COLUMNS($DU54:EI54)-1)*5 + 1) = INDEX($E$5:$CE$5, 1, (COLUMNS($DU54:EI54)-1)*5 + 1), INDEX($E$8:$CE$57, MATCH($C54, $C$8:$C$57, 0), (COLUMNS($DU54:EI54)-1)*5 + 4) = "SF"), INDEX($CZ$8:$CZ$23, COLUMNS($DU54:EI54)), "0"), "")</f>
        <v/>
      </c>
      <c r="EJ54" s="395">
        <f t="array" ref="EJ54">IFERROR(IF(AND(INDEX($E$8:$CE$57, MATCH($C54, $C$8:$C$57, 0), (COLUMNS($DU54:EJ54)-1)*5 + 1) = INDEX($E$5:$CE$5, 1, (COLUMNS($DU54:EJ54)-1)*5 + 1), INDEX($E$8:$CE$57, MATCH($C54, $C$8:$C$57, 0), (COLUMNS($DU54:EJ54)-1)*5 + 4) = "SF"), INDEX($CZ$8:$CZ$23, COLUMNS($DU54:EJ54)), "0"), "")</f>
        <v/>
      </c>
    </row>
    <row r="55" ht="20.1" customHeight="1" s="568">
      <c r="A55" s="576" t="n"/>
      <c r="B55" s="449">
        <f>IF(SEMANA29[[#This Row],[COD]]&lt;&gt;"",B54+1,"")</f>
        <v/>
      </c>
      <c r="C55" s="622" t="inlineStr">
        <is>
          <t>COD 48</t>
        </is>
      </c>
      <c r="D55" s="415">
        <f t="array" ref="D55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5" s="416" t="n"/>
      <c r="F55" s="418" t="n"/>
      <c r="G55" s="418" t="n"/>
      <c r="H55" s="418" t="n"/>
      <c r="I55" s="602">
        <f>SUM(IF(E55=E$5,4,0),IF(E55&amp;F55=E$5&amp;F$5,1,0),
IF(AND(E55=E$5,F$6&gt;=$D$115),1,0),
IF(AND(F55=E$5,F$6&gt;=$D$115),1,0),
IF(AND(G55=E$5,F$6&gt;=$D$115),1,0),
IF(E55&amp;H55=I$5,1,0),
IF(F55=E$5,2,0),
IF(G55=E$5,1,0),
IF(OR(E55&amp;F55&amp;G55=E$5&amp;F$5&amp;G$5,E55&amp;F55&amp;G55=E$5&amp;G$5&amp;F$5,E55&amp;F55&amp;G55=F$5&amp;E$5&amp;G$5,E55&amp;F55&amp;G55=F$5&amp;G$5&amp;E$5,E55&amp;F55&amp;G55=G$5&amp;E$5&amp;F$5,E55&amp;F55&amp;G55=G$5&amp;F$5&amp;E$5),2,0),IF(AND(E55=E$5,F$6&gt;=$D$129),1,0),IF(AND(F55=E$5,F$6&gt;=$D$129),1,0),IF(AND(G55=E$5,F$6&gt;=$D$129),1,0),IF(E55&amp;H55=H$5,4,0),IF(AND(E55=E$5,F$6&lt;=$D$104),-0.5,0),IF(AND(F55=E$5,F$6&lt;=$D$104),-0.5,0),IF(AND(G55=E$5,F$6&lt;=$D$104),-0.5,0))</f>
        <v/>
      </c>
      <c r="J55" s="416" t="n"/>
      <c r="K55" s="418" t="n"/>
      <c r="L55" s="418" t="n"/>
      <c r="M55" s="418" t="n"/>
      <c r="N55" s="602">
        <f>SUM(IF(J55=J$5,4,0),IF(J55&amp;K55=J$5&amp;K$5,1,0),
IF(AND(J55=J$5,K$6&gt;=$D$115),1,0),
IF(AND(K55=J$5,K$6&gt;=$D$115),1,0),
IF(AND(L55=J$5,K$6&gt;=$D$115),1,0),
IF(J55&amp;M55=N$5,1,0),
IF(K55=J$5,2,0),
IF(L55=J$5,1,0),
IF(OR(J55&amp;K55&amp;L55=J$5&amp;K$5&amp;L$5,J55&amp;K55&amp;L55=J$5&amp;L$5&amp;K$5,J55&amp;K55&amp;L55=K$5&amp;J$5&amp;L$5,J55&amp;K55&amp;L55=K$5&amp;L$5&amp;J$5,J55&amp;K55&amp;L55=L$5&amp;J$5&amp;K$5,J55&amp;K55&amp;L55=L$5&amp;K$5&amp;J$5),2,0),IF(AND(J55=J$5,K$6&gt;=$D$129),1,0),IF(AND(K55=J$5,K$6&gt;=$D$129),1,0),IF(AND(L55=J$5,K$6&gt;=$D$129),1,0),IF(J55&amp;M55=M$5,4,0),IF(AND(J55=J$5,K$6&lt;=$D$104),-0.5,0),IF(AND(K55=J$5,K$6&lt;=$D$104),-0.5,0),IF(AND(L55=J$5,K$6&lt;=$D$104),-0.5,0))</f>
        <v/>
      </c>
      <c r="O55" s="416" t="n"/>
      <c r="P55" s="418" t="n"/>
      <c r="Q55" s="418" t="n"/>
      <c r="R55" s="418" t="n"/>
      <c r="S55" s="602">
        <f>SUM(IF(O55=O$5,4,0),IF(O55&amp;P55=O$5&amp;P$5,1,0),
IF(AND(O55=O$5,P$6&gt;=$D$115),1,0),
IF(AND(P55=O$5,P$6&gt;=$D$115),1,0),
IF(AND(Q55=O$5,P$6&gt;=$D$115),1,0),
IF(O55&amp;R55=S$5,1,0),
IF(P55=O$5,2,0),
IF(Q55=O$5,1,0),
IF(OR(O55&amp;P55&amp;Q55=O$5&amp;P$5&amp;Q$5,O55&amp;P55&amp;Q55=O$5&amp;Q$5&amp;P$5,O55&amp;P55&amp;Q55=P$5&amp;O$5&amp;Q$5,O55&amp;P55&amp;Q55=P$5&amp;Q$5&amp;O$5,O55&amp;P55&amp;Q55=Q$5&amp;O$5&amp;P$5,O55&amp;P55&amp;Q55=Q$5&amp;P$5&amp;O$5),2,0),IF(AND(O55=O$5,P$6&gt;=$D$129),1,0),IF(AND(P55=O$5,P$6&gt;=$D$129),1,0),IF(AND(Q55=O$5,P$6&gt;=$D$129),1,0),IF(O55&amp;R55=R$5,4,0),IF(AND(O55=O$5,P$6&lt;=$D$104),-0.5,0),IF(AND(P55=O$5,P$6&lt;=$D$104),-0.5,0),IF(AND(Q55=O$5,P$6&lt;=$D$104),-0.5,0))</f>
        <v/>
      </c>
      <c r="T55" s="416" t="n"/>
      <c r="U55" s="418" t="n"/>
      <c r="V55" s="418" t="n"/>
      <c r="W55" s="418" t="n"/>
      <c r="X55" s="602">
        <f>SUM(IF(T55=T$5,4,0),IF(T55&amp;U55=T$5&amp;U$5,1,0),
IF(AND(T55=T$5,U$6&gt;=$D$115),1,0),
IF(AND(U55=T$5,U$6&gt;=$D$115),1,0),
IF(AND(V55=T$5,U$6&gt;=$D$115),1,0),
IF(T55&amp;W55=X$5,1,0),
IF(U55=T$5,2,0),
IF(V55=T$5,1,0),
IF(OR(T55&amp;U55&amp;V55=T$5&amp;U$5&amp;V$5,T55&amp;U55&amp;V55=T$5&amp;V$5&amp;U$5,T55&amp;U55&amp;V55=U$5&amp;T$5&amp;V$5,T55&amp;U55&amp;V55=U$5&amp;V$5&amp;T$5,T55&amp;U55&amp;V55=V$5&amp;T$5&amp;U$5,T55&amp;U55&amp;V55=V$5&amp;U$5&amp;T$5),2,0),IF(AND(T55=T$5,U$6&gt;=$D$129),1,0),IF(AND(U55=T$5,U$6&gt;=$D$129),1,0),IF(AND(V55=T$5,U$6&gt;=$D$129),1,0),IF(T55&amp;W55=W$5,4,0),IF(AND(T55=T$5,U$6&lt;=$D$104),-0.5,0),IF(AND(U55=T$5,U$6&lt;=$D$104),-0.5,0),IF(AND(V55=T$5,U$6&lt;=$D$104),-0.5,0))</f>
        <v/>
      </c>
      <c r="Y55" s="416" t="n"/>
      <c r="Z55" s="418" t="n"/>
      <c r="AA55" s="418" t="n"/>
      <c r="AB55" s="418" t="n"/>
      <c r="AC55" s="602">
        <f>SUM(IF(Y55=Y$5,4,0),IF(Y55&amp;Z55=Y$5&amp;Z$5,1,0),
IF(AND(Y55=Y$5,Z$6&gt;=$D$115),1,0),
IF(AND(Z55=Y$5,Z$6&gt;=$D$115),1,0),
IF(AND(AA55=Y$5,Z$6&gt;=$D$115),1,0),
IF(Y55&amp;AB55=AC$5,1,0),
IF(Z55=Y$5,2,0),
IF(AA55=Y$5,1,0),
IF(OR(Y55&amp;Z55&amp;AA55=Y$5&amp;Z$5&amp;AA$5,Y55&amp;Z55&amp;AA55=Y$5&amp;AA$5&amp;Z$5,Y55&amp;Z55&amp;AA55=Z$5&amp;Y$5&amp;AA$5,Y55&amp;Z55&amp;AA55=Z$5&amp;AA$5&amp;Y$5,Y55&amp;Z55&amp;AA55=AA$5&amp;Y$5&amp;Z$5,Y55&amp;Z55&amp;AA55=AA$5&amp;Z$5&amp;Y$5),2,0),IF(AND(Y55=Y$5,Z$6&gt;=$D$129),1,0),IF(AND(Z55=Y$5,Z$6&gt;=$D$129),1,0),IF(AND(AA55=Y$5,Z$6&gt;=$D$129),1,0),IF(Y55&amp;AB55=AB$5,4,0),IF(AND(Y55=Y$5,Z$6&lt;=$D$104),-0.5,0),IF(AND(Z55=Y$5,Z$6&lt;=$D$104),-0.5,0),IF(AND(AA55=Y$5,Z$6&lt;=$D$104),-0.5,0))</f>
        <v/>
      </c>
      <c r="AD55" s="416" t="n"/>
      <c r="AE55" s="418" t="n"/>
      <c r="AF55" s="418" t="n"/>
      <c r="AG55" s="418" t="n"/>
      <c r="AH55" s="602">
        <f>SUM(IF(AD55=AD$5,4,0),IF(AD55&amp;AE55=AD$5&amp;AE$5,1,0),
IF(AND(AD55=AD$5,AE$6&gt;=$D$115),1,0),
IF(AND(AE55=AD$5,AE$6&gt;=$D$115),1,0),
IF(AND(AF55=AD$5,AE$6&gt;=$D$115),1,0),
IF(AD55&amp;AG55=AH$5,1,0),
IF(AE55=AD$5,2,0),
IF(AF55=AD$5,1,0),
IF(OR(AD55&amp;AE55&amp;AF55=AD$5&amp;AE$5&amp;AF$5,AD55&amp;AE55&amp;AF55=AD$5&amp;AF$5&amp;AE$5,AD55&amp;AE55&amp;AF55=AE$5&amp;AD$5&amp;AF$5,AD55&amp;AE55&amp;AF55=AE$5&amp;AF$5&amp;AD$5,AD55&amp;AE55&amp;AF55=AF$5&amp;AD$5&amp;AE$5,AD55&amp;AE55&amp;AF55=AF$5&amp;AE$5&amp;AD$5),2,0),IF(AND(AD55=AD$5,AE$6&gt;=$D$129),1,0),IF(AND(AE55=AD$5,AE$6&gt;=$D$129),1,0),IF(AND(AF55=AD$5,AE$6&gt;=$D$129),1,0),IF(AD55&amp;AG55=AG$5,4,0),IF(AND(AD55=AD$5,AE$6&lt;=$D$104),-0.5,0),IF(AND(AE55=AD$5,AE$6&lt;=$D$104),-0.5,0),IF(AND(AF55=AD$5,AE$6&lt;=$D$104),-0.5,0))</f>
        <v/>
      </c>
      <c r="AI55" s="416" t="n"/>
      <c r="AJ55" s="418" t="n"/>
      <c r="AK55" s="418" t="n"/>
      <c r="AL55" s="418" t="n"/>
      <c r="AM55" s="602">
        <f>SUM(IF(AI55=AI$5,4,0),IF(AI55&amp;AJ55=AI$5&amp;AJ$5,1,0),
IF(AND(AI55=AI$5,AJ$6&gt;=$D$115),1,0),
IF(AND(AJ55=AI$5,AJ$6&gt;=$D$115),1,0),
IF(AND(AK55=AI$5,AJ$6&gt;=$D$115),1,0),
IF(AI55&amp;AL55=AM$5,1,0),
IF(AJ55=AI$5,2,0),
IF(AK55=AI$5,1,0),
IF(OR(AI55&amp;AJ55&amp;AK55=AI$5&amp;AJ$5&amp;AK$5,AI55&amp;AJ55&amp;AK55=AI$5&amp;AK$5&amp;AJ$5,AI55&amp;AJ55&amp;AK55=AJ$5&amp;AI$5&amp;AK$5,AI55&amp;AJ55&amp;AK55=AJ$5&amp;AK$5&amp;AI$5,AI55&amp;AJ55&amp;AK55=AK$5&amp;AI$5&amp;AJ$5,AI55&amp;AJ55&amp;AK55=AK$5&amp;AJ$5&amp;AI$5),2,0),IF(AND(AI55=AI$5,AJ$6&gt;=$D$129),1,0),IF(AND(AJ55=AI$5,AJ$6&gt;=$D$129),1,0),IF(AND(AK55=AI$5,AJ$6&gt;=$D$129),1,0),IF(AI55&amp;AL55=AL$5,4,0),IF(AND(AI55=AI$5,AJ$6&lt;=$D$104),-0.5,0),IF(AND(AJ55=AI$5,AJ$6&lt;=$D$104),-0.5,0),IF(AND(AK55=AI$5,AJ$6&lt;=$D$104),-0.5,0))</f>
        <v/>
      </c>
      <c r="AN55" s="416" t="n"/>
      <c r="AO55" s="418" t="n"/>
      <c r="AP55" s="418" t="n"/>
      <c r="AQ55" s="418" t="n"/>
      <c r="AR55" s="602">
        <f>SUM(IF(AN55=AN$5,4,0),IF(AN55&amp;AO55=AN$5&amp;AO$5,1,0),
IF(AND(AN55=AN$5,AO$6&gt;=$D$115),1,0),
IF(AND(AO55=AN$5,AO$6&gt;=$D$115),1,0),
IF(AND(AP55=AN$5,AO$6&gt;=$D$115),1,0),
IF(AN55&amp;AQ55=AR$5,1,0),
IF(AO55=AN$5,2,0),
IF(AP55=AN$5,1,0),
IF(OR(AN55&amp;AO55&amp;AP55=AN$5&amp;AO$5&amp;AP$5,AN55&amp;AO55&amp;AP55=AN$5&amp;AP$5&amp;AO$5,AN55&amp;AO55&amp;AP55=AO$5&amp;AN$5&amp;AP$5,AN55&amp;AO55&amp;AP55=AO$5&amp;AP$5&amp;AN$5,AN55&amp;AO55&amp;AP55=AP$5&amp;AN$5&amp;AO$5,AN55&amp;AO55&amp;AP55=AP$5&amp;AO$5&amp;AN$5),2,0),IF(AND(AN55=AN$5,AO$6&gt;=$D$129),1,0),IF(AND(AO55=AN$5,AO$6&gt;=$D$129),1,0),IF(AND(AP55=AN$5,AO$6&gt;=$D$129),1,0),IF(AN55&amp;AQ55=AQ$5,4,0),IF(AND(AN55=AN$5,AO$6&lt;=$D$104),-0.5,0),IF(AND(AO55=AN$5,AO$6&lt;=$D$104),-0.5,0),IF(AND(AP55=AN$5,AO$6&lt;=$D$104),-0.5,0))</f>
        <v/>
      </c>
      <c r="AS55" s="416" t="n"/>
      <c r="AT55" s="418" t="n"/>
      <c r="AU55" s="418" t="n"/>
      <c r="AV55" s="418" t="n"/>
      <c r="AW55" s="602">
        <f>SUM(IF(AS55=AS$5,4,0),IF(AS55&amp;AT55=AS$5&amp;AT$5,1,0),
IF(AND(AS55=AS$5,AT$6&gt;=$D$115),1,0),
IF(AND(AT55=AS$5,AT$6&gt;=$D$115),1,0),
IF(AND(AU55=AS$5,AT$6&gt;=$D$115),1,0),
IF(AS55&amp;AV55=AW$5,1,0),
IF(AT55=AS$5,2,0),
IF(AU55=AS$5,1,0),
IF(OR(AS55&amp;AT55&amp;AU55=AS$5&amp;AT$5&amp;AU$5,AS55&amp;AT55&amp;AU55=AS$5&amp;AU$5&amp;AT$5,AS55&amp;AT55&amp;AU55=AT$5&amp;AS$5&amp;AU$5,AS55&amp;AT55&amp;AU55=AT$5&amp;AU$5&amp;AS$5,AS55&amp;AT55&amp;AU55=AU$5&amp;AS$5&amp;AT$5,AS55&amp;AT55&amp;AU55=AU$5&amp;AT$5&amp;AS$5),2,0),IF(AND(AS55=AS$5,AT$6&gt;=$D$129),1,0),IF(AND(AT55=AS$5,AT$6&gt;=$D$129),1,0),IF(AND(AU55=AS$5,AT$6&gt;=$D$129),1,0),IF(AS55&amp;AV55=AV$5,4,0),IF(AND(AS55=AS$5,AT$6&lt;=$D$104),-0.5,0),IF(AND(AT55=AS$5,AT$6&lt;=$D$104),-0.5,0),IF(AND(AU55=AS$5,AT$6&lt;=$D$104),-0.5,0))</f>
        <v/>
      </c>
      <c r="AX55" s="416" t="n"/>
      <c r="AY55" s="418" t="n"/>
      <c r="AZ55" s="418" t="n"/>
      <c r="BA55" s="418" t="n"/>
      <c r="BB55" s="602">
        <f>SUM(IF(AX55=AX$5,4,0),IF(AX55&amp;AY55=AX$5&amp;AY$5,1,0),
IF(AND(AX55=AX$5,AY$6&gt;=$D$115),1,0),
IF(AND(AY55=AX$5,AY$6&gt;=$D$115),1,0),
IF(AND(AZ55=AX$5,AY$6&gt;=$D$115),1,0),
IF(AX55&amp;BA55=BB$5,1,0),
IF(AY55=AX$5,2,0),
IF(AZ55=AX$5,1,0),
IF(OR(AX55&amp;AY55&amp;AZ55=AX$5&amp;AY$5&amp;AZ$5,AX55&amp;AY55&amp;AZ55=AX$5&amp;AZ$5&amp;AY$5,AX55&amp;AY55&amp;AZ55=AY$5&amp;AX$5&amp;AZ$5,AX55&amp;AY55&amp;AZ55=AY$5&amp;AZ$5&amp;AX$5,AX55&amp;AY55&amp;AZ55=AZ$5&amp;AX$5&amp;AY$5,AX55&amp;AY55&amp;AZ55=AZ$5&amp;AY$5&amp;AX$5),2,0),IF(AND(AX55=AX$5,AY$6&gt;=$D$129),1,0),IF(AND(AY55=AX$5,AY$6&gt;=$D$129),1,0),IF(AND(AZ55=AX$5,AY$6&gt;=$D$129),1,0),IF(AX55&amp;BA55=BA$5,4,0),IF(AND(AX55=AX$5,AY$6&lt;=$D$104),-0.5,0),IF(AND(AY55=AX$5,AY$6&lt;=$D$104),-0.5,0),IF(AND(AZ55=AX$5,AY$6&lt;=$D$104),-0.5,0))</f>
        <v/>
      </c>
      <c r="BC55" s="416" t="n"/>
      <c r="BD55" s="418" t="n"/>
      <c r="BE55" s="418" t="n"/>
      <c r="BF55" s="418" t="n"/>
      <c r="BG55" s="602">
        <f>SUM(IF(BC55=BC$5,4,0),IF(BC55&amp;BD55=BC$5&amp;BD$5,1,0),
IF(AND(BC55=BC$5,BD$6&gt;=$D$115),1,0),
IF(AND(BD55=BC$5,BD$6&gt;=$D$115),1,0),
IF(AND(BE55=BC$5,BD$6&gt;=$D$115),1,0),
IF(BC55&amp;BF55=BG$5,1,0),
IF(BD55=BC$5,2,0),
IF(BE55=BC$5,1,0),
IF(OR(BC55&amp;BD55&amp;BE55=BC$5&amp;BD$5&amp;BE$5,BC55&amp;BD55&amp;BE55=BC$5&amp;BE$5&amp;BD$5,BC55&amp;BD55&amp;BE55=BD$5&amp;BC$5&amp;BE$5,BC55&amp;BD55&amp;BE55=BD$5&amp;BE$5&amp;BC$5,BC55&amp;BD55&amp;BE55=BE$5&amp;BC$5&amp;BD$5,BC55&amp;BD55&amp;BE55=BE$5&amp;BD$5&amp;BC$5),2,0),IF(AND(BC55=BC$5,BD$6&gt;=$D$129),1,0),IF(AND(BD55=BC$5,BD$6&gt;=$D$129),1,0),IF(AND(BE55=BC$5,BD$6&gt;=$D$129),1,0),IF(BC55&amp;BF55=BF$5,4,0),IF(AND(BC55=BC$5,BD$6&lt;=$D$104),-0.5,0),IF(AND(BD55=BC$5,BD$6&lt;=$D$104),-0.5,0),IF(AND(BE55=BC$5,BD$6&lt;=$D$104),-0.5,0))</f>
        <v/>
      </c>
      <c r="BH55" s="416" t="n"/>
      <c r="BI55" s="418" t="n"/>
      <c r="BJ55" s="418" t="n"/>
      <c r="BK55" s="418" t="n"/>
      <c r="BL55" s="602">
        <f>SUM(IF(BH55=BH$5,4,0),IF(BH55&amp;BI55=BH$5&amp;BI$5,1,0),
IF(AND(BH55=BH$5,BI$6&gt;=$D$115),1,0),
IF(AND(BI55=BH$5,BI$6&gt;=$D$115),1,0),
IF(AND(BJ55=BH$5,BI$6&gt;=$D$115),1,0),
IF(BH55&amp;BK55=BL$5,1,0),
IF(BI55=BH$5,2,0),
IF(BJ55=BH$5,1,0),
IF(OR(BH55&amp;BI55&amp;BJ55=BH$5&amp;BI$5&amp;BJ$5,BH55&amp;BI55&amp;BJ55=BH$5&amp;BJ$5&amp;BI$5,BH55&amp;BI55&amp;BJ55=BI$5&amp;BH$5&amp;BJ$5,BH55&amp;BI55&amp;BJ55=BI$5&amp;BJ$5&amp;BH$5,BH55&amp;BI55&amp;BJ55=BJ$5&amp;BH$5&amp;BI$5,BH55&amp;BI55&amp;BJ55=BJ$5&amp;BI$5&amp;BH$5),2,0),IF(AND(BH55=BH$5,BI$6&gt;=$D$129),1,0),IF(AND(BI55=BH$5,BI$6&gt;=$D$129),1,0),IF(AND(BJ55=BH$5,BI$6&gt;=$D$129),1,0),IF(BH55&amp;BK55=BK$5,4,0),IF(AND(BH55=BH$5,BI$6&lt;=$D$104),-0.5,0),IF(AND(BI55=BH$5,BI$6&lt;=$D$104),-0.5,0),IF(AND(BJ55=BH$5,BI$6&lt;=$D$104),-0.5,0))</f>
        <v/>
      </c>
      <c r="BM55" s="416" t="n"/>
      <c r="BN55" s="418" t="n"/>
      <c r="BO55" s="418" t="n"/>
      <c r="BP55" s="418" t="n"/>
      <c r="BQ55" s="602">
        <f>SUM(IF(BM55=BM$5,4,0),IF(BM55&amp;BN55=BM$5&amp;BN$5,1,0),
IF(AND(BM55=BM$5,BN$6&gt;=$D$115),1,0),
IF(AND(BN55=BM$5,BN$6&gt;=$D$115),1,0),
IF(AND(BO55=BM$5,BN$6&gt;=$D$115),1,0),
IF(BM55&amp;BP55=BQ$5,1,0),
IF(BN55=BM$5,2,0),
IF(BO55=BM$5,1,0),
IF(OR(BM55&amp;BN55&amp;BO55=BM$5&amp;BN$5&amp;BO$5,BM55&amp;BN55&amp;BO55=BM$5&amp;BO$5&amp;BN$5,BM55&amp;BN55&amp;BO55=BN$5&amp;BM$5&amp;BO$5,BM55&amp;BN55&amp;BO55=BN$5&amp;BO$5&amp;BM$5,BM55&amp;BN55&amp;BO55=BO$5&amp;BM$5&amp;BN$5,BM55&amp;BN55&amp;BO55=BO$5&amp;BN$5&amp;BM$5),2,0),IF(AND(BM55=BM$5,BN$6&gt;=$D$129),1,0),IF(AND(BN55=BM$5,BN$6&gt;=$D$129),1,0),IF(AND(BO55=BM$5,BN$6&gt;=$D$129),1,0),IF(BM55&amp;BP55=BP$5,4,0),IF(AND(BM55=BM$5,BN$6&lt;=$D$104),-0.5,0),IF(AND(BN55=BM$5,BN$6&lt;=$D$104),-0.5,0),IF(AND(BO55=BM$5,BN$6&lt;=$D$104),-0.5,0))</f>
        <v/>
      </c>
      <c r="BR55" s="416" t="n"/>
      <c r="BS55" s="418" t="n"/>
      <c r="BT55" s="418" t="n"/>
      <c r="BU55" s="418" t="n"/>
      <c r="BV55" s="602">
        <f>SUM(IF(BR55=BR$5,4,0),IF(BR55&amp;BS55=BR$5&amp;BS$5,1,0),
IF(AND(BR55=BR$5,BS$6&gt;=$D$115),1,0),
IF(AND(BS55=BR$5,BS$6&gt;=$D$115),1,0),
IF(AND(BT55=BR$5,BS$6&gt;=$D$115),1,0),
IF(BR55&amp;BU55=BV$5,1,0),
IF(BS55=BR$5,2,0),
IF(BT55=BR$5,1,0),
IF(OR(BR55&amp;BS55&amp;BT55=BR$5&amp;BS$5&amp;BT$5,BR55&amp;BS55&amp;BT55=BR$5&amp;BT$5&amp;BS$5,BR55&amp;BS55&amp;BT55=BS$5&amp;BR$5&amp;BT$5,BR55&amp;BS55&amp;BT55=BS$5&amp;BT$5&amp;BR$5,BR55&amp;BS55&amp;BT55=BT$5&amp;BR$5&amp;BS$5,BR55&amp;BS55&amp;BT55=BT$5&amp;BS$5&amp;BR$5),2,0),IF(AND(BR55=BR$5,BS$6&gt;=$D$129),1,0),IF(AND(BS55=BR$5,BS$6&gt;=$D$129),1,0),IF(AND(BT55=BR$5,BS$6&gt;=$D$129),1,0),IF(BR55&amp;BU55=BU$5,4,0),IF(AND(BR55=BR$5,BS$6&lt;=$D$104),-0.5,0),IF(AND(BS55=BR$5,BS$6&lt;=$D$104),-0.5,0),IF(AND(BT55=BR$5,BS$6&lt;=$D$104),-0.5,0))</f>
        <v/>
      </c>
      <c r="BW55" s="416" t="n"/>
      <c r="BX55" s="418" t="n"/>
      <c r="BY55" s="418" t="n"/>
      <c r="BZ55" s="418" t="n"/>
      <c r="CA55" s="602">
        <f>SUM(IF(BW55=BW$5,4,0),IF(BW55&amp;BX55=BW$5&amp;BX$5,1,0),
IF(AND(BW55=BW$5,BX$6&gt;=$D$115),1,0),
IF(AND(BX55=BW$5,BX$6&gt;=$D$115),1,0),
IF(AND(BY55=BW$5,BX$6&gt;=$D$115),1,0),
IF(BW55&amp;BZ55=CA$5,1,0),
IF(BX55=BW$5,2,0),
IF(BY55=BW$5,1,0),
IF(OR(BW55&amp;BX55&amp;BY55=BW$5&amp;BX$5&amp;BY$5,BW55&amp;BX55&amp;BY55=BW$5&amp;BY$5&amp;BX$5,BW55&amp;BX55&amp;BY55=BX$5&amp;BW$5&amp;BY$5,BW55&amp;BX55&amp;BY55=BX$5&amp;BY$5&amp;BW$5,BW55&amp;BX55&amp;BY55=BY$5&amp;BW$5&amp;BX$5,BW55&amp;BX55&amp;BY55=BY$5&amp;BX$5&amp;BW$5),2,0),IF(AND(BW55=BW$5,BX$6&gt;=$D$129),1,0),IF(AND(BX55=BW$5,BX$6&gt;=$D$129),1,0),IF(AND(BY55=BW$5,BX$6&gt;=$D$129),1,0),IF(BW55&amp;BZ55=BZ$5,4,0),IF(AND(BW55=BW$5,BX$6&lt;=$D$104),-0.5,0),IF(AND(BX55=BW$5,BX$6&lt;=$D$104),-0.5,0),IF(AND(BY55=BW$5,BX$6&lt;=$D$104),-0.5,0))</f>
        <v/>
      </c>
      <c r="CB55" s="416" t="n"/>
      <c r="CC55" s="418" t="n"/>
      <c r="CD55" s="418" t="n"/>
      <c r="CE55" s="418" t="n"/>
      <c r="CF55" s="602">
        <f>SUM(IF(CB55=CB$5,4,0),IF(CB55&amp;CC55=CB$5&amp;CC$5,1,0),
IF(AND(CB55=CB$5,CC$6&gt;=$D$115),1,0),
IF(AND(CC55=CB$5,CC$6&gt;=$D$115),1,0),
IF(AND(CD55=CB$5,CC$6&gt;=$D$115),1,0),
IF(CB55&amp;CE55=CF$5,1,0),
IF(CC55=CB$5,2,0),
IF(CD55=CB$5,1,0),
IF(OR(CB55&amp;CC55&amp;CD55=CB$5&amp;CC$5&amp;CD$5,CB55&amp;CC55&amp;CD55=CB$5&amp;CD$5&amp;CC$5,CB55&amp;CC55&amp;CD55=CC$5&amp;CB$5&amp;CD$5,CB55&amp;CC55&amp;CD55=CC$5&amp;CD$5&amp;CB$5,CB55&amp;CC55&amp;CD55=CD$5&amp;CB$5&amp;CC$5,CB55&amp;CC55&amp;CD55=CD$5&amp;CC$5&amp;CB$5),2,0),IF(AND(CB55=CB$5,CC$6&gt;=$D$129),1,0),IF(AND(CC55=CB$5,CC$6&gt;=$D$129),1,0),IF(AND(CD55=CB$5,CC$6&gt;=$D$129),1,0),IF(CB55&amp;CE55=CE$5,4,0),IF(AND(CB55=CB$5,CC$6&lt;=$D$104),-0.5,0),IF(AND(CC55=CB$5,CC$6&lt;=$D$104),-0.5,0),IF(AND(CD55=CB$5,CC$6&lt;=$D$104),-0.5,0))</f>
        <v/>
      </c>
      <c r="CG55" s="164">
        <f>IF(SEMANA29[[#This Row],[1]]="",0,$B$4)</f>
        <v/>
      </c>
      <c r="CH55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5" s="189">
        <f>IF(SEMANA29[[#This Row],[Columna14]]=0,0,(CH55/CG55))</f>
        <v/>
      </c>
      <c r="CJ55" s="165">
        <f>IF(SEMANA29[[#This Row],[1]]="",0,$B$4)</f>
        <v/>
      </c>
      <c r="CK55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5" s="189">
        <f>IF(SEMANA29[[#This Row],[Columna14]]=0,0,(CK55/CJ55))</f>
        <v/>
      </c>
      <c r="CM55" s="164">
        <f>IF(SEMANA29[[#This Row],[1]]="",0,$B$4)</f>
        <v/>
      </c>
      <c r="CN55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5" s="189">
        <f>IF(SEMANA29[[#This Row],[Columna14]]=0,0,(CN55/CM55))</f>
        <v/>
      </c>
      <c r="CP55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5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Row],[Columna25]],$AX$5,BA55,"SF")+COUNTIFS(SEMANA29[[#This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5" s="189">
        <f>IFERROR(IF(SEMANA29[[#This Row],[Columna14]]=0,0,(CQ55/CP55)),0)</f>
        <v/>
      </c>
      <c r="CS55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5" s="95">
        <f>_xlfn.XLOOKUP(SEMANA29[[#This Row],[COD]],SEMANA2[COD],SEMANA2[Columna33])</f>
        <v/>
      </c>
      <c r="CU55" s="604">
        <f>SUM(CS55,CT55)</f>
        <v/>
      </c>
      <c r="CV55" s="450">
        <f>IF(SEMANA29[[#This Row],[TIPO]]="PREMIO",$O$3,"0,00")</f>
        <v/>
      </c>
      <c r="CW55" s="576" t="n"/>
      <c r="CY55" s="392">
        <f>IF(CZ55="","",$CZ$25)</f>
        <v/>
      </c>
      <c r="CZ55" s="392" t="n"/>
      <c r="DA55" s="392">
        <f t="array" ref="DA55">IF(CZ55="", "", IF((INDEX(E$8:CE$57, MATCH(CZ55, C$8:C$57, 0), ($CZ$25-1)*5 + 1) &amp; "") = (INDEX(E$5:CE$5, 1, ($CZ$25-1)*5 + 1) &amp; ""), 1, IF((INDEX(E$8:CE$57, MATCH(CZ55, C$8:C$57, 0), ($CZ$25-1)*5 + 2) &amp; "") = (INDEX(E$5:CE$5, 1, ($CZ$25-1)*5 + 1) &amp; ""), 2, IF((INDEX(E$8:CE$57, MATCH(CZ55, C$8:C$57, 0), ($CZ$25-1)*5 + 3) &amp; "") = (INDEX(E$5:CE$5, 1, ($CZ$25-1)*5 + 1) &amp; ""), 3, ""))))</f>
        <v/>
      </c>
      <c r="DB55" s="605">
        <f>SEMANA29[[#This Row],[COD]]</f>
        <v/>
      </c>
      <c r="DC55" s="395">
        <f t="array" ref="DC55">IFERROR(IF(AND(INDEX($E$8:$CE$57, MATCH($C55, $C$8:$C$57, 0), (COLUMNS($DC55:DC55)-1)*5 + 1) = INDEX($E$5:$CE$5, 1, (COLUMNS($DC55:DC55)-1)*5 + 1), INDEX($E$8:$CE$57, MATCH($C55, $C$8:$C$57, 0), (COLUMNS($DC55:DC55)-1)*5 + 4) = "F"), INDEX($CZ$8:$CZ$23, COLUMNS($DC55:DC55)), "0"), "")</f>
        <v/>
      </c>
      <c r="DD55" s="395">
        <f t="array" ref="DD55">IFERROR(IF(AND(INDEX($E$8:$CE$57, MATCH($C55, $C$8:$C$57, 0), (COLUMNS($DC55:DD55)-1)*5 + 1) = INDEX($E$5:$CE$5, 1, (COLUMNS($DC55:DD55)-1)*5 + 1), INDEX($E$8:$CE$57, MATCH($C55, $C$8:$C$57, 0), (COLUMNS($DC55:DD55)-1)*5 + 4) = "F"), INDEX($CZ$8:$CZ$23, COLUMNS($DC55:DD55)), "0"), "")</f>
        <v/>
      </c>
      <c r="DE55" s="395">
        <f t="array" ref="DE55">IFERROR(IF(AND(INDEX($E$8:$CE$57, MATCH($C55, $C$8:$C$57, 0), (COLUMNS($DC55:DE55)-1)*5 + 1) = INDEX($E$5:$CE$5, 1, (COLUMNS($DC55:DE55)-1)*5 + 1), INDEX($E$8:$CE$57, MATCH($C55, $C$8:$C$57, 0), (COLUMNS($DC55:DE55)-1)*5 + 4) = "F"), INDEX($CZ$8:$CZ$23, COLUMNS($DC55:DE55)), "0"), "")</f>
        <v/>
      </c>
      <c r="DF55" s="395">
        <f t="array" ref="DF55">IFERROR(IF(AND(INDEX($E$8:$CE$57, MATCH($C55, $C$8:$C$57, 0), (COLUMNS($DC55:DF55)-1)*5 + 1) = INDEX($E$5:$CE$5, 1, (COLUMNS($DC55:DF55)-1)*5 + 1), INDEX($E$8:$CE$57, MATCH($C55, $C$8:$C$57, 0), (COLUMNS($DC55:DF55)-1)*5 + 4) = "F"), INDEX($CZ$8:$CZ$23, COLUMNS($DC55:DF55)), "0"), "")</f>
        <v/>
      </c>
      <c r="DG55" s="395">
        <f t="array" ref="DG55">IFERROR(IF(AND(INDEX($E$8:$CE$57, MATCH($C55, $C$8:$C$57, 0), (COLUMNS($DC55:DG55)-1)*5 + 1) = INDEX($E$5:$CE$5, 1, (COLUMNS($DC55:DG55)-1)*5 + 1), INDEX($E$8:$CE$57, MATCH($C55, $C$8:$C$57, 0), (COLUMNS($DC55:DG55)-1)*5 + 4) = "F"), INDEX($CZ$8:$CZ$23, COLUMNS($DC55:DG55)), "0"), "")</f>
        <v/>
      </c>
      <c r="DH55" s="395">
        <f t="array" ref="DH55">IFERROR(IF(AND(INDEX($E$8:$CE$57, MATCH($C55, $C$8:$C$57, 0), (COLUMNS($DC55:DH55)-1)*5 + 1) = INDEX($E$5:$CE$5, 1, (COLUMNS($DC55:DH55)-1)*5 + 1), INDEX($E$8:$CE$57, MATCH($C55, $C$8:$C$57, 0), (COLUMNS($DC55:DH55)-1)*5 + 4) = "F"), INDEX($CZ$8:$CZ$23, COLUMNS($DC55:DH55)), "0"), "")</f>
        <v/>
      </c>
      <c r="DI55" s="395">
        <f t="array" ref="DI55">IFERROR(IF(AND(INDEX($E$8:$CE$57, MATCH($C55, $C$8:$C$57, 0), (COLUMNS($DC55:DI55)-1)*5 + 1) = INDEX($E$5:$CE$5, 1, (COLUMNS($DC55:DI55)-1)*5 + 1), INDEX($E$8:$CE$57, MATCH($C55, $C$8:$C$57, 0), (COLUMNS($DC55:DI55)-1)*5 + 4) = "F"), INDEX($CZ$8:$CZ$23, COLUMNS($DC55:DI55)), "0"), "")</f>
        <v/>
      </c>
      <c r="DJ55" s="395">
        <f t="array" ref="DJ55">IFERROR(IF(AND(INDEX($E$8:$CE$57, MATCH($C55, $C$8:$C$57, 0), (COLUMNS($DC55:DJ55)-1)*5 + 1) = INDEX($E$5:$CE$5, 1, (COLUMNS($DC55:DJ55)-1)*5 + 1), INDEX($E$8:$CE$57, MATCH($C55, $C$8:$C$57, 0), (COLUMNS($DC55:DJ55)-1)*5 + 4) = "F"), INDEX($CZ$8:$CZ$23, COLUMNS($DC55:DJ55)), "0"), "")</f>
        <v/>
      </c>
      <c r="DK55" s="395">
        <f t="array" ref="DK55">IFERROR(IF(AND(INDEX($E$8:$CE$57, MATCH($C55, $C$8:$C$57, 0), (COLUMNS($DC55:DK55)-1)*5 + 1) = INDEX($E$5:$CE$5, 1, (COLUMNS($DC55:DK55)-1)*5 + 1), INDEX($E$8:$CE$57, MATCH($C55, $C$8:$C$57, 0), (COLUMNS($DC55:DK55)-1)*5 + 4) = "F"), INDEX($CZ$8:$CZ$23, COLUMNS($DC55:DK55)), "0"), "")</f>
        <v/>
      </c>
      <c r="DL55" s="395">
        <f t="array" ref="DL55">IFERROR(IF(AND(INDEX($E$8:$CE$57, MATCH($C55, $C$8:$C$57, 0), (COLUMNS($DC55:DL55)-1)*5 + 1) = INDEX($E$5:$CE$5, 1, (COLUMNS($DC55:DL55)-1)*5 + 1), INDEX($E$8:$CE$57, MATCH($C55, $C$8:$C$57, 0), (COLUMNS($DC55:DL55)-1)*5 + 4) = "F"), INDEX($CZ$8:$CZ$23, COLUMNS($DC55:DL55)), "0"), "")</f>
        <v/>
      </c>
      <c r="DM55" s="395">
        <f t="array" ref="DM55">IFERROR(IF(AND(INDEX($E$8:$CE$57, MATCH($C55, $C$8:$C$57, 0), (COLUMNS($DC55:DM55)-1)*5 + 1) = INDEX($E$5:$CE$5, 1, (COLUMNS($DC55:DM55)-1)*5 + 1), INDEX($E$8:$CE$57, MATCH($C55, $C$8:$C$57, 0), (COLUMNS($DC55:DM55)-1)*5 + 4) = "F"), INDEX($CZ$8:$CZ$23, COLUMNS($DC55:DM55)), "0"), "")</f>
        <v/>
      </c>
      <c r="DN55" s="395">
        <f t="array" ref="DN55">IFERROR(IF(AND(INDEX($E$8:$CE$57, MATCH($C55, $C$8:$C$57, 0), (COLUMNS($DC55:DN55)-1)*5 + 1) = INDEX($E$5:$CE$5, 1, (COLUMNS($DC55:DN55)-1)*5 + 1), INDEX($E$8:$CE$57, MATCH($C55, $C$8:$C$57, 0), (COLUMNS($DC55:DN55)-1)*5 + 4) = "F"), INDEX($CZ$8:$CZ$23, COLUMNS($DC55:DN55)), "0"), "")</f>
        <v/>
      </c>
      <c r="DO55" s="395">
        <f t="array" ref="DO55">IFERROR(IF(AND(INDEX($E$8:$CE$57, MATCH($C55, $C$8:$C$57, 0), (COLUMNS($DC55:DO55)-1)*5 + 1) = INDEX($E$5:$CE$5, 1, (COLUMNS($DC55:DO55)-1)*5 + 1), INDEX($E$8:$CE$57, MATCH($C55, $C$8:$C$57, 0), (COLUMNS($DC55:DO55)-1)*5 + 4) = "F"), INDEX($CZ$8:$CZ$23, COLUMNS($DC55:DO55)), "0"), "")</f>
        <v/>
      </c>
      <c r="DP55" s="395">
        <f t="array" ref="DP55">IFERROR(IF(AND(INDEX($E$8:$CE$57, MATCH($C55, $C$8:$C$57, 0), (COLUMNS($DC55:DP55)-1)*5 + 1) = INDEX($E$5:$CE$5, 1, (COLUMNS($DC55:DP55)-1)*5 + 1), INDEX($E$8:$CE$57, MATCH($C55, $C$8:$C$57, 0), (COLUMNS($DC55:DP55)-1)*5 + 4) = "F"), INDEX($CZ$8:$CZ$23, COLUMNS($DC55:DP55)), "0"), "")</f>
        <v/>
      </c>
      <c r="DQ55" s="395">
        <f t="array" ref="DQ55">IFERROR(IF(AND(INDEX($E$8:$CE$57, MATCH($C55, $C$8:$C$57, 0), (COLUMNS($DC55:DQ55)-1)*5 + 1) = INDEX($E$5:$CE$5, 1, (COLUMNS($DC55:DQ55)-1)*5 + 1), INDEX($E$8:$CE$57, MATCH($C55, $C$8:$C$57, 0), (COLUMNS($DC55:DQ55)-1)*5 + 4) = "F"), INDEX($CZ$8:$CZ$23, COLUMNS($DC55:DQ55)), "0"), "")</f>
        <v/>
      </c>
      <c r="DR55" s="395">
        <f t="array" ref="DR55">IFERROR(IF(AND(INDEX($E$8:$CE$57, MATCH($C55, $C$8:$C$57, 0), (COLUMNS($DC55:DR55)-1)*5 + 1) = INDEX($E$5:$CE$5, 1, (COLUMNS($DC55:DR55)-1)*5 + 1), INDEX($E$8:$CE$57, MATCH($C55, $C$8:$C$57, 0), (COLUMNS($DC55:DR55)-1)*5 + 4) = "F"), INDEX($CZ$8:$CZ$23, COLUMNS($DC55:DR55)), "0"), "")</f>
        <v/>
      </c>
      <c r="DT55" s="605">
        <f>SEMANA29[[#This Row],[COD]]</f>
        <v/>
      </c>
      <c r="DU55" s="395">
        <f t="array" ref="DU55">IFERROR(IF(AND(INDEX($E$8:$CE$57, MATCH($C55, $C$8:$C$57, 0), (COLUMNS($DU55:DU55)-1)*5 + 1) = INDEX($E$5:$CE$5, 1, (COLUMNS($DU55:DU55)-1)*5 + 1), INDEX($E$8:$CE$57, MATCH($C55, $C$8:$C$57, 0), (COLUMNS($DU55:DU55)-1)*5 + 4) = "SF"), INDEX($CZ$8:$CZ$23, COLUMNS($DU55:DU55)), "0"), "")</f>
        <v/>
      </c>
      <c r="DV55" s="395">
        <f t="array" ref="DV55">IFERROR(IF(AND(INDEX($E$8:$CE$57, MATCH($C55, $C$8:$C$57, 0), (COLUMNS($DU55:DV55)-1)*5 + 1) = INDEX($E$5:$CE$5, 1, (COLUMNS($DU55:DV55)-1)*5 + 1), INDEX($E$8:$CE$57, MATCH($C55, $C$8:$C$57, 0), (COLUMNS($DU55:DV55)-1)*5 + 4) = "SF"), INDEX($CZ$8:$CZ$23, COLUMNS($DU55:DV55)), "0"), "")</f>
        <v/>
      </c>
      <c r="DW55" s="395">
        <f t="array" ref="DW55">IFERROR(IF(AND(INDEX($E$8:$CE$57, MATCH($C55, $C$8:$C$57, 0), (COLUMNS($DU55:DW55)-1)*5 + 1) = INDEX($E$5:$CE$5, 1, (COLUMNS($DU55:DW55)-1)*5 + 1), INDEX($E$8:$CE$57, MATCH($C55, $C$8:$C$57, 0), (COLUMNS($DU55:DW55)-1)*5 + 4) = "SF"), INDEX($CZ$8:$CZ$23, COLUMNS($DU55:DW55)), "0"), "")</f>
        <v/>
      </c>
      <c r="DX55" s="395">
        <f t="array" ref="DX55">IFERROR(IF(AND(INDEX($E$8:$CE$57, MATCH($C55, $C$8:$C$57, 0), (COLUMNS($DU55:DX55)-1)*5 + 1) = INDEX($E$5:$CE$5, 1, (COLUMNS($DU55:DX55)-1)*5 + 1), INDEX($E$8:$CE$57, MATCH($C55, $C$8:$C$57, 0), (COLUMNS($DU55:DX55)-1)*5 + 4) = "SF"), INDEX($CZ$8:$CZ$23, COLUMNS($DU55:DX55)), "0"), "")</f>
        <v/>
      </c>
      <c r="DY55" s="395">
        <f t="array" ref="DY55">IFERROR(IF(AND(INDEX($E$8:$CE$57, MATCH($C55, $C$8:$C$57, 0), (COLUMNS($DU55:DY55)-1)*5 + 1) = INDEX($E$5:$CE$5, 1, (COLUMNS($DU55:DY55)-1)*5 + 1), INDEX($E$8:$CE$57, MATCH($C55, $C$8:$C$57, 0), (COLUMNS($DU55:DY55)-1)*5 + 4) = "SF"), INDEX($CZ$8:$CZ$23, COLUMNS($DU55:DY55)), "0"), "")</f>
        <v/>
      </c>
      <c r="DZ55" s="395">
        <f t="array" ref="DZ55">IFERROR(IF(AND(INDEX($E$8:$CE$57, MATCH($C55, $C$8:$C$57, 0), (COLUMNS($DU55:DZ55)-1)*5 + 1) = INDEX($E$5:$CE$5, 1, (COLUMNS($DU55:DZ55)-1)*5 + 1), INDEX($E$8:$CE$57, MATCH($C55, $C$8:$C$57, 0), (COLUMNS($DU55:DZ55)-1)*5 + 4) = "SF"), INDEX($CZ$8:$CZ$23, COLUMNS($DU55:DZ55)), "0"), "")</f>
        <v/>
      </c>
      <c r="EA55" s="395">
        <f t="array" ref="EA55">IFERROR(IF(AND(INDEX($E$8:$CE$57, MATCH($C55, $C$8:$C$57, 0), (COLUMNS($DU55:EA55)-1)*5 + 1) = INDEX($E$5:$CE$5, 1, (COLUMNS($DU55:EA55)-1)*5 + 1), INDEX($E$8:$CE$57, MATCH($C55, $C$8:$C$57, 0), (COLUMNS($DU55:EA55)-1)*5 + 4) = "SF"), INDEX($CZ$8:$CZ$23, COLUMNS($DU55:EA55)), "0"), "")</f>
        <v/>
      </c>
      <c r="EB55" s="395">
        <f t="array" ref="EB55">IFERROR(IF(AND(INDEX($E$8:$CE$57, MATCH($C55, $C$8:$C$57, 0), (COLUMNS($DU55:EB55)-1)*5 + 1) = INDEX($E$5:$CE$5, 1, (COLUMNS($DU55:EB55)-1)*5 + 1), INDEX($E$8:$CE$57, MATCH($C55, $C$8:$C$57, 0), (COLUMNS($DU55:EB55)-1)*5 + 4) = "SF"), INDEX($CZ$8:$CZ$23, COLUMNS($DU55:EB55)), "0"), "")</f>
        <v/>
      </c>
      <c r="EC55" s="395">
        <f t="array" ref="EC55">IFERROR(IF(AND(INDEX($E$8:$CE$57, MATCH($C55, $C$8:$C$57, 0), (COLUMNS($DU55:EC55)-1)*5 + 1) = INDEX($E$5:$CE$5, 1, (COLUMNS($DU55:EC55)-1)*5 + 1), INDEX($E$8:$CE$57, MATCH($C55, $C$8:$C$57, 0), (COLUMNS($DU55:EC55)-1)*5 + 4) = "SF"), INDEX($CZ$8:$CZ$23, COLUMNS($DU55:EC55)), "0"), "")</f>
        <v/>
      </c>
      <c r="ED55" s="395">
        <f t="array" ref="ED55">IFERROR(IF(AND(INDEX($E$8:$CE$57, MATCH($C55, $C$8:$C$57, 0), (COLUMNS($DU55:ED55)-1)*5 + 1) = INDEX($E$5:$CE$5, 1, (COLUMNS($DU55:ED55)-1)*5 + 1), INDEX($E$8:$CE$57, MATCH($C55, $C$8:$C$57, 0), (COLUMNS($DU55:ED55)-1)*5 + 4) = "SF"), INDEX($CZ$8:$CZ$23, COLUMNS($DU55:ED55)), "0"), "")</f>
        <v/>
      </c>
      <c r="EE55" s="395">
        <f t="array" ref="EE55">IFERROR(IF(AND(INDEX($E$8:$CE$57, MATCH($C55, $C$8:$C$57, 0), (COLUMNS($DU55:EE55)-1)*5 + 1) = INDEX($E$5:$CE$5, 1, (COLUMNS($DU55:EE55)-1)*5 + 1), INDEX($E$8:$CE$57, MATCH($C55, $C$8:$C$57, 0), (COLUMNS($DU55:EE55)-1)*5 + 4) = "SF"), INDEX($CZ$8:$CZ$23, COLUMNS($DU55:EE55)), "0"), "")</f>
        <v/>
      </c>
      <c r="EF55" s="395">
        <f t="array" ref="EF55">IFERROR(IF(AND(INDEX($E$8:$CE$57, MATCH($C55, $C$8:$C$57, 0), (COLUMNS($DU55:EF55)-1)*5 + 1) = INDEX($E$5:$CE$5, 1, (COLUMNS($DU55:EF55)-1)*5 + 1), INDEX($E$8:$CE$57, MATCH($C55, $C$8:$C$57, 0), (COLUMNS($DU55:EF55)-1)*5 + 4) = "SF"), INDEX($CZ$8:$CZ$23, COLUMNS($DU55:EF55)), "0"), "")</f>
        <v/>
      </c>
      <c r="EG55" s="395">
        <f t="array" ref="EG55">IFERROR(IF(AND(INDEX($E$8:$CE$57, MATCH($C55, $C$8:$C$57, 0), (COLUMNS($DU55:EG55)-1)*5 + 1) = INDEX($E$5:$CE$5, 1, (COLUMNS($DU55:EG55)-1)*5 + 1), INDEX($E$8:$CE$57, MATCH($C55, $C$8:$C$57, 0), (COLUMNS($DU55:EG55)-1)*5 + 4) = "SF"), INDEX($CZ$8:$CZ$23, COLUMNS($DU55:EG55)), "0"), "")</f>
        <v/>
      </c>
      <c r="EH55" s="395">
        <f t="array" ref="EH55">IFERROR(IF(AND(INDEX($E$8:$CE$57, MATCH($C55, $C$8:$C$57, 0), (COLUMNS($DU55:EH55)-1)*5 + 1) = INDEX($E$5:$CE$5, 1, (COLUMNS($DU55:EH55)-1)*5 + 1), INDEX($E$8:$CE$57, MATCH($C55, $C$8:$C$57, 0), (COLUMNS($DU55:EH55)-1)*5 + 4) = "SF"), INDEX($CZ$8:$CZ$23, COLUMNS($DU55:EH55)), "0"), "")</f>
        <v/>
      </c>
      <c r="EI55" s="395">
        <f t="array" ref="EI55">IFERROR(IF(AND(INDEX($E$8:$CE$57, MATCH($C55, $C$8:$C$57, 0), (COLUMNS($DU55:EI55)-1)*5 + 1) = INDEX($E$5:$CE$5, 1, (COLUMNS($DU55:EI55)-1)*5 + 1), INDEX($E$8:$CE$57, MATCH($C55, $C$8:$C$57, 0), (COLUMNS($DU55:EI55)-1)*5 + 4) = "SF"), INDEX($CZ$8:$CZ$23, COLUMNS($DU55:EI55)), "0"), "")</f>
        <v/>
      </c>
      <c r="EJ55" s="395">
        <f t="array" ref="EJ55">IFERROR(IF(AND(INDEX($E$8:$CE$57, MATCH($C55, $C$8:$C$57, 0), (COLUMNS($DU55:EJ55)-1)*5 + 1) = INDEX($E$5:$CE$5, 1, (COLUMNS($DU55:EJ55)-1)*5 + 1), INDEX($E$8:$CE$57, MATCH($C55, $C$8:$C$57, 0), (COLUMNS($DU55:EJ55)-1)*5 + 4) = "SF"), INDEX($CZ$8:$CZ$23, COLUMNS($DU55:EJ55)), "0"), "")</f>
        <v/>
      </c>
    </row>
    <row r="56" ht="20.1" customHeight="1" s="568">
      <c r="A56" s="576" t="n"/>
      <c r="B56" s="449">
        <f>IF(SEMANA29[[#This Row],[COD]]&lt;&gt;"",B55+1,"")</f>
        <v/>
      </c>
      <c r="C56" s="622" t="inlineStr">
        <is>
          <t>COD 49</t>
        </is>
      </c>
      <c r="D56" s="415">
        <f t="array" ref="D56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6" s="416" t="n"/>
      <c r="F56" s="418" t="n"/>
      <c r="G56" s="418" t="n"/>
      <c r="H56" s="418" t="n"/>
      <c r="I56" s="602">
        <f>SUM(IF(E56=E$5,4,0),IF(E56&amp;F56=E$5&amp;F$5,1,0),
IF(AND(E56=E$5,F$6&gt;=$D$115),1,0),
IF(AND(F56=E$5,F$6&gt;=$D$115),1,0),
IF(AND(G56=E$5,F$6&gt;=$D$115),1,0),
IF(E56&amp;H56=I$5,1,0),
IF(F56=E$5,2,0),
IF(G56=E$5,1,0),
IF(OR(E56&amp;F56&amp;G56=E$5&amp;F$5&amp;G$5,E56&amp;F56&amp;G56=E$5&amp;G$5&amp;F$5,E56&amp;F56&amp;G56=F$5&amp;E$5&amp;G$5,E56&amp;F56&amp;G56=F$5&amp;G$5&amp;E$5,E56&amp;F56&amp;G56=G$5&amp;E$5&amp;F$5,E56&amp;F56&amp;G56=G$5&amp;F$5&amp;E$5),2,0),IF(AND(E56=E$5,F$6&gt;=$D$129),1,0),IF(AND(F56=E$5,F$6&gt;=$D$129),1,0),IF(AND(G56=E$5,F$6&gt;=$D$129),1,0),IF(E56&amp;H56=H$5,4,0),IF(AND(E56=E$5,F$6&lt;=$D$104),-0.5,0),IF(AND(F56=E$5,F$6&lt;=$D$104),-0.5,0),IF(AND(G56=E$5,F$6&lt;=$D$104),-0.5,0))</f>
        <v/>
      </c>
      <c r="J56" s="416" t="n"/>
      <c r="K56" s="418" t="n"/>
      <c r="L56" s="418" t="n"/>
      <c r="M56" s="418" t="n"/>
      <c r="N56" s="602">
        <f>SUM(IF(J56=J$5,4,0),IF(J56&amp;K56=J$5&amp;K$5,1,0),
IF(AND(J56=J$5,K$6&gt;=$D$115),1,0),
IF(AND(K56=J$5,K$6&gt;=$D$115),1,0),
IF(AND(L56=J$5,K$6&gt;=$D$115),1,0),
IF(J56&amp;M56=N$5,1,0),
IF(K56=J$5,2,0),
IF(L56=J$5,1,0),
IF(OR(J56&amp;K56&amp;L56=J$5&amp;K$5&amp;L$5,J56&amp;K56&amp;L56=J$5&amp;L$5&amp;K$5,J56&amp;K56&amp;L56=K$5&amp;J$5&amp;L$5,J56&amp;K56&amp;L56=K$5&amp;L$5&amp;J$5,J56&amp;K56&amp;L56=L$5&amp;J$5&amp;K$5,J56&amp;K56&amp;L56=L$5&amp;K$5&amp;J$5),2,0),IF(AND(J56=J$5,K$6&gt;=$D$129),1,0),IF(AND(K56=J$5,K$6&gt;=$D$129),1,0),IF(AND(L56=J$5,K$6&gt;=$D$129),1,0),IF(J56&amp;M56=M$5,4,0),IF(AND(J56=J$5,K$6&lt;=$D$104),-0.5,0),IF(AND(K56=J$5,K$6&lt;=$D$104),-0.5,0),IF(AND(L56=J$5,K$6&lt;=$D$104),-0.5,0))</f>
        <v/>
      </c>
      <c r="O56" s="416" t="n"/>
      <c r="P56" s="418" t="n"/>
      <c r="Q56" s="418" t="n"/>
      <c r="R56" s="418" t="n"/>
      <c r="S56" s="602">
        <f>SUM(IF(O56=O$5,4,0),IF(O56&amp;P56=O$5&amp;P$5,1,0),
IF(AND(O56=O$5,P$6&gt;=$D$115),1,0),
IF(AND(P56=O$5,P$6&gt;=$D$115),1,0),
IF(AND(Q56=O$5,P$6&gt;=$D$115),1,0),
IF(O56&amp;R56=S$5,1,0),
IF(P56=O$5,2,0),
IF(Q56=O$5,1,0),
IF(OR(O56&amp;P56&amp;Q56=O$5&amp;P$5&amp;Q$5,O56&amp;P56&amp;Q56=O$5&amp;Q$5&amp;P$5,O56&amp;P56&amp;Q56=P$5&amp;O$5&amp;Q$5,O56&amp;P56&amp;Q56=P$5&amp;Q$5&amp;O$5,O56&amp;P56&amp;Q56=Q$5&amp;O$5&amp;P$5,O56&amp;P56&amp;Q56=Q$5&amp;P$5&amp;O$5),2,0),IF(AND(O56=O$5,P$6&gt;=$D$129),1,0),IF(AND(P56=O$5,P$6&gt;=$D$129),1,0),IF(AND(Q56=O$5,P$6&gt;=$D$129),1,0),IF(O56&amp;R56=R$5,4,0),IF(AND(O56=O$5,P$6&lt;=$D$104),-0.5,0),IF(AND(P56=O$5,P$6&lt;=$D$104),-0.5,0),IF(AND(Q56=O$5,P$6&lt;=$D$104),-0.5,0))</f>
        <v/>
      </c>
      <c r="T56" s="416" t="n"/>
      <c r="U56" s="418" t="n"/>
      <c r="V56" s="418" t="n"/>
      <c r="W56" s="418" t="n"/>
      <c r="X56" s="602">
        <f>SUM(IF(T56=T$5,4,0),IF(T56&amp;U56=T$5&amp;U$5,1,0),
IF(AND(T56=T$5,U$6&gt;=$D$115),1,0),
IF(AND(U56=T$5,U$6&gt;=$D$115),1,0),
IF(AND(V56=T$5,U$6&gt;=$D$115),1,0),
IF(T56&amp;W56=X$5,1,0),
IF(U56=T$5,2,0),
IF(V56=T$5,1,0),
IF(OR(T56&amp;U56&amp;V56=T$5&amp;U$5&amp;V$5,T56&amp;U56&amp;V56=T$5&amp;V$5&amp;U$5,T56&amp;U56&amp;V56=U$5&amp;T$5&amp;V$5,T56&amp;U56&amp;V56=U$5&amp;V$5&amp;T$5,T56&amp;U56&amp;V56=V$5&amp;T$5&amp;U$5,T56&amp;U56&amp;V56=V$5&amp;U$5&amp;T$5),2,0),IF(AND(T56=T$5,U$6&gt;=$D$129),1,0),IF(AND(U56=T$5,U$6&gt;=$D$129),1,0),IF(AND(V56=T$5,U$6&gt;=$D$129),1,0),IF(T56&amp;W56=W$5,4,0),IF(AND(T56=T$5,U$6&lt;=$D$104),-0.5,0),IF(AND(U56=T$5,U$6&lt;=$D$104),-0.5,0),IF(AND(V56=T$5,U$6&lt;=$D$104),-0.5,0))</f>
        <v/>
      </c>
      <c r="Y56" s="416" t="n"/>
      <c r="Z56" s="418" t="n"/>
      <c r="AA56" s="418" t="n"/>
      <c r="AB56" s="418" t="n"/>
      <c r="AC56" s="602">
        <f>SUM(IF(Y56=Y$5,4,0),IF(Y56&amp;Z56=Y$5&amp;Z$5,1,0),
IF(AND(Y56=Y$5,Z$6&gt;=$D$115),1,0),
IF(AND(Z56=Y$5,Z$6&gt;=$D$115),1,0),
IF(AND(AA56=Y$5,Z$6&gt;=$D$115),1,0),
IF(Y56&amp;AB56=AC$5,1,0),
IF(Z56=Y$5,2,0),
IF(AA56=Y$5,1,0),
IF(OR(Y56&amp;Z56&amp;AA56=Y$5&amp;Z$5&amp;AA$5,Y56&amp;Z56&amp;AA56=Y$5&amp;AA$5&amp;Z$5,Y56&amp;Z56&amp;AA56=Z$5&amp;Y$5&amp;AA$5,Y56&amp;Z56&amp;AA56=Z$5&amp;AA$5&amp;Y$5,Y56&amp;Z56&amp;AA56=AA$5&amp;Y$5&amp;Z$5,Y56&amp;Z56&amp;AA56=AA$5&amp;Z$5&amp;Y$5),2,0),IF(AND(Y56=Y$5,Z$6&gt;=$D$129),1,0),IF(AND(Z56=Y$5,Z$6&gt;=$D$129),1,0),IF(AND(AA56=Y$5,Z$6&gt;=$D$129),1,0),IF(Y56&amp;AB56=AB$5,4,0),IF(AND(Y56=Y$5,Z$6&lt;=$D$104),-0.5,0),IF(AND(Z56=Y$5,Z$6&lt;=$D$104),-0.5,0),IF(AND(AA56=Y$5,Z$6&lt;=$D$104),-0.5,0))</f>
        <v/>
      </c>
      <c r="AD56" s="416" t="n"/>
      <c r="AE56" s="418" t="n"/>
      <c r="AF56" s="418" t="n"/>
      <c r="AG56" s="418" t="n"/>
      <c r="AH56" s="602">
        <f>SUM(IF(AD56=AD$5,4,0),IF(AD56&amp;AE56=AD$5&amp;AE$5,1,0),
IF(AND(AD56=AD$5,AE$6&gt;=$D$115),1,0),
IF(AND(AE56=AD$5,AE$6&gt;=$D$115),1,0),
IF(AND(AF56=AD$5,AE$6&gt;=$D$115),1,0),
IF(AD56&amp;AG56=AH$5,1,0),
IF(AE56=AD$5,2,0),
IF(AF56=AD$5,1,0),
IF(OR(AD56&amp;AE56&amp;AF56=AD$5&amp;AE$5&amp;AF$5,AD56&amp;AE56&amp;AF56=AD$5&amp;AF$5&amp;AE$5,AD56&amp;AE56&amp;AF56=AE$5&amp;AD$5&amp;AF$5,AD56&amp;AE56&amp;AF56=AE$5&amp;AF$5&amp;AD$5,AD56&amp;AE56&amp;AF56=AF$5&amp;AD$5&amp;AE$5,AD56&amp;AE56&amp;AF56=AF$5&amp;AE$5&amp;AD$5),2,0),IF(AND(AD56=AD$5,AE$6&gt;=$D$129),1,0),IF(AND(AE56=AD$5,AE$6&gt;=$D$129),1,0),IF(AND(AF56=AD$5,AE$6&gt;=$D$129),1,0),IF(AD56&amp;AG56=AG$5,4,0),IF(AND(AD56=AD$5,AE$6&lt;=$D$104),-0.5,0),IF(AND(AE56=AD$5,AE$6&lt;=$D$104),-0.5,0),IF(AND(AF56=AD$5,AE$6&lt;=$D$104),-0.5,0))</f>
        <v/>
      </c>
      <c r="AI56" s="416" t="n"/>
      <c r="AJ56" s="418" t="n"/>
      <c r="AK56" s="418" t="n"/>
      <c r="AL56" s="418" t="n"/>
      <c r="AM56" s="602">
        <f>SUM(IF(AI56=AI$5,4,0),IF(AI56&amp;AJ56=AI$5&amp;AJ$5,1,0),
IF(AND(AI56=AI$5,AJ$6&gt;=$D$115),1,0),
IF(AND(AJ56=AI$5,AJ$6&gt;=$D$115),1,0),
IF(AND(AK56=AI$5,AJ$6&gt;=$D$115),1,0),
IF(AI56&amp;AL56=AM$5,1,0),
IF(AJ56=AI$5,2,0),
IF(AK56=AI$5,1,0),
IF(OR(AI56&amp;AJ56&amp;AK56=AI$5&amp;AJ$5&amp;AK$5,AI56&amp;AJ56&amp;AK56=AI$5&amp;AK$5&amp;AJ$5,AI56&amp;AJ56&amp;AK56=AJ$5&amp;AI$5&amp;AK$5,AI56&amp;AJ56&amp;AK56=AJ$5&amp;AK$5&amp;AI$5,AI56&amp;AJ56&amp;AK56=AK$5&amp;AI$5&amp;AJ$5,AI56&amp;AJ56&amp;AK56=AK$5&amp;AJ$5&amp;AI$5),2,0),IF(AND(AI56=AI$5,AJ$6&gt;=$D$129),1,0),IF(AND(AJ56=AI$5,AJ$6&gt;=$D$129),1,0),IF(AND(AK56=AI$5,AJ$6&gt;=$D$129),1,0),IF(AI56&amp;AL56=AL$5,4,0),IF(AND(AI56=AI$5,AJ$6&lt;=$D$104),-0.5,0),IF(AND(AJ56=AI$5,AJ$6&lt;=$D$104),-0.5,0),IF(AND(AK56=AI$5,AJ$6&lt;=$D$104),-0.5,0))</f>
        <v/>
      </c>
      <c r="AN56" s="416" t="n"/>
      <c r="AO56" s="418" t="n"/>
      <c r="AP56" s="418" t="n"/>
      <c r="AQ56" s="418" t="n"/>
      <c r="AR56" s="602">
        <f>SUM(IF(AN56=AN$5,4,0),IF(AN56&amp;AO56=AN$5&amp;AO$5,1,0),
IF(AND(AN56=AN$5,AO$6&gt;=$D$115),1,0),
IF(AND(AO56=AN$5,AO$6&gt;=$D$115),1,0),
IF(AND(AP56=AN$5,AO$6&gt;=$D$115),1,0),
IF(AN56&amp;AQ56=AR$5,1,0),
IF(AO56=AN$5,2,0),
IF(AP56=AN$5,1,0),
IF(OR(AN56&amp;AO56&amp;AP56=AN$5&amp;AO$5&amp;AP$5,AN56&amp;AO56&amp;AP56=AN$5&amp;AP$5&amp;AO$5,AN56&amp;AO56&amp;AP56=AO$5&amp;AN$5&amp;AP$5,AN56&amp;AO56&amp;AP56=AO$5&amp;AP$5&amp;AN$5,AN56&amp;AO56&amp;AP56=AP$5&amp;AN$5&amp;AO$5,AN56&amp;AO56&amp;AP56=AP$5&amp;AO$5&amp;AN$5),2,0),IF(AND(AN56=AN$5,AO$6&gt;=$D$129),1,0),IF(AND(AO56=AN$5,AO$6&gt;=$D$129),1,0),IF(AND(AP56=AN$5,AO$6&gt;=$D$129),1,0),IF(AN56&amp;AQ56=AQ$5,4,0),IF(AND(AN56=AN$5,AO$6&lt;=$D$104),-0.5,0),IF(AND(AO56=AN$5,AO$6&lt;=$D$104),-0.5,0),IF(AND(AP56=AN$5,AO$6&lt;=$D$104),-0.5,0))</f>
        <v/>
      </c>
      <c r="AS56" s="416" t="n"/>
      <c r="AT56" s="418" t="n"/>
      <c r="AU56" s="418" t="n"/>
      <c r="AV56" s="418" t="n"/>
      <c r="AW56" s="602">
        <f>SUM(IF(AS56=AS$5,4,0),IF(AS56&amp;AT56=AS$5&amp;AT$5,1,0),
IF(AND(AS56=AS$5,AT$6&gt;=$D$115),1,0),
IF(AND(AT56=AS$5,AT$6&gt;=$D$115),1,0),
IF(AND(AU56=AS$5,AT$6&gt;=$D$115),1,0),
IF(AS56&amp;AV56=AW$5,1,0),
IF(AT56=AS$5,2,0),
IF(AU56=AS$5,1,0),
IF(OR(AS56&amp;AT56&amp;AU56=AS$5&amp;AT$5&amp;AU$5,AS56&amp;AT56&amp;AU56=AS$5&amp;AU$5&amp;AT$5,AS56&amp;AT56&amp;AU56=AT$5&amp;AS$5&amp;AU$5,AS56&amp;AT56&amp;AU56=AT$5&amp;AU$5&amp;AS$5,AS56&amp;AT56&amp;AU56=AU$5&amp;AS$5&amp;AT$5,AS56&amp;AT56&amp;AU56=AU$5&amp;AT$5&amp;AS$5),2,0),IF(AND(AS56=AS$5,AT$6&gt;=$D$129),1,0),IF(AND(AT56=AS$5,AT$6&gt;=$D$129),1,0),IF(AND(AU56=AS$5,AT$6&gt;=$D$129),1,0),IF(AS56&amp;AV56=AV$5,4,0),IF(AND(AS56=AS$5,AT$6&lt;=$D$104),-0.5,0),IF(AND(AT56=AS$5,AT$6&lt;=$D$104),-0.5,0),IF(AND(AU56=AS$5,AT$6&lt;=$D$104),-0.5,0))</f>
        <v/>
      </c>
      <c r="AX56" s="416" t="n"/>
      <c r="AY56" s="418" t="n"/>
      <c r="AZ56" s="418" t="n"/>
      <c r="BA56" s="418" t="n"/>
      <c r="BB56" s="602">
        <f>SUM(IF(AX56=AX$5,4,0),IF(AX56&amp;AY56=AX$5&amp;AY$5,1,0),
IF(AND(AX56=AX$5,AY$6&gt;=$D$115),1,0),
IF(AND(AY56=AX$5,AY$6&gt;=$D$115),1,0),
IF(AND(AZ56=AX$5,AY$6&gt;=$D$115),1,0),
IF(AX56&amp;BA56=BB$5,1,0),
IF(AY56=AX$5,2,0),
IF(AZ56=AX$5,1,0),
IF(OR(AX56&amp;AY56&amp;AZ56=AX$5&amp;AY$5&amp;AZ$5,AX56&amp;AY56&amp;AZ56=AX$5&amp;AZ$5&amp;AY$5,AX56&amp;AY56&amp;AZ56=AY$5&amp;AX$5&amp;AZ$5,AX56&amp;AY56&amp;AZ56=AY$5&amp;AZ$5&amp;AX$5,AX56&amp;AY56&amp;AZ56=AZ$5&amp;AX$5&amp;AY$5,AX56&amp;AY56&amp;AZ56=AZ$5&amp;AY$5&amp;AX$5),2,0),IF(AND(AX56=AX$5,AY$6&gt;=$D$129),1,0),IF(AND(AY56=AX$5,AY$6&gt;=$D$129),1,0),IF(AND(AZ56=AX$5,AY$6&gt;=$D$129),1,0),IF(AX56&amp;BA56=BA$5,4,0),IF(AND(AX56=AX$5,AY$6&lt;=$D$104),-0.5,0),IF(AND(AY56=AX$5,AY$6&lt;=$D$104),-0.5,0),IF(AND(AZ56=AX$5,AY$6&lt;=$D$104),-0.5,0))</f>
        <v/>
      </c>
      <c r="BC56" s="416" t="n"/>
      <c r="BD56" s="418" t="n"/>
      <c r="BE56" s="418" t="n"/>
      <c r="BF56" s="418" t="n"/>
      <c r="BG56" s="602">
        <f>SUM(IF(BC56=BC$5,4,0),IF(BC56&amp;BD56=BC$5&amp;BD$5,1,0),
IF(AND(BC56=BC$5,BD$6&gt;=$D$115),1,0),
IF(AND(BD56=BC$5,BD$6&gt;=$D$115),1,0),
IF(AND(BE56=BC$5,BD$6&gt;=$D$115),1,0),
IF(BC56&amp;BF56=BG$5,1,0),
IF(BD56=BC$5,2,0),
IF(BE56=BC$5,1,0),
IF(OR(BC56&amp;BD56&amp;BE56=BC$5&amp;BD$5&amp;BE$5,BC56&amp;BD56&amp;BE56=BC$5&amp;BE$5&amp;BD$5,BC56&amp;BD56&amp;BE56=BD$5&amp;BC$5&amp;BE$5,BC56&amp;BD56&amp;BE56=BD$5&amp;BE$5&amp;BC$5,BC56&amp;BD56&amp;BE56=BE$5&amp;BC$5&amp;BD$5,BC56&amp;BD56&amp;BE56=BE$5&amp;BD$5&amp;BC$5),2,0),IF(AND(BC56=BC$5,BD$6&gt;=$D$129),1,0),IF(AND(BD56=BC$5,BD$6&gt;=$D$129),1,0),IF(AND(BE56=BC$5,BD$6&gt;=$D$129),1,0),IF(BC56&amp;BF56=BF$5,4,0),IF(AND(BC56=BC$5,BD$6&lt;=$D$104),-0.5,0),IF(AND(BD56=BC$5,BD$6&lt;=$D$104),-0.5,0),IF(AND(BE56=BC$5,BD$6&lt;=$D$104),-0.5,0))</f>
        <v/>
      </c>
      <c r="BH56" s="416" t="n"/>
      <c r="BI56" s="418" t="n"/>
      <c r="BJ56" s="418" t="n"/>
      <c r="BK56" s="418" t="n"/>
      <c r="BL56" s="602">
        <f>SUM(IF(BH56=BH$5,4,0),IF(BH56&amp;BI56=BH$5&amp;BI$5,1,0),
IF(AND(BH56=BH$5,BI$6&gt;=$D$115),1,0),
IF(AND(BI56=BH$5,BI$6&gt;=$D$115),1,0),
IF(AND(BJ56=BH$5,BI$6&gt;=$D$115),1,0),
IF(BH56&amp;BK56=BL$5,1,0),
IF(BI56=BH$5,2,0),
IF(BJ56=BH$5,1,0),
IF(OR(BH56&amp;BI56&amp;BJ56=BH$5&amp;BI$5&amp;BJ$5,BH56&amp;BI56&amp;BJ56=BH$5&amp;BJ$5&amp;BI$5,BH56&amp;BI56&amp;BJ56=BI$5&amp;BH$5&amp;BJ$5,BH56&amp;BI56&amp;BJ56=BI$5&amp;BJ$5&amp;BH$5,BH56&amp;BI56&amp;BJ56=BJ$5&amp;BH$5&amp;BI$5,BH56&amp;BI56&amp;BJ56=BJ$5&amp;BI$5&amp;BH$5),2,0),IF(AND(BH56=BH$5,BI$6&gt;=$D$129),1,0),IF(AND(BI56=BH$5,BI$6&gt;=$D$129),1,0),IF(AND(BJ56=BH$5,BI$6&gt;=$D$129),1,0),IF(BH56&amp;BK56=BK$5,4,0),IF(AND(BH56=BH$5,BI$6&lt;=$D$104),-0.5,0),IF(AND(BI56=BH$5,BI$6&lt;=$D$104),-0.5,0),IF(AND(BJ56=BH$5,BI$6&lt;=$D$104),-0.5,0))</f>
        <v/>
      </c>
      <c r="BM56" s="416" t="n"/>
      <c r="BN56" s="418" t="n"/>
      <c r="BO56" s="418" t="n"/>
      <c r="BP56" s="418" t="n"/>
      <c r="BQ56" s="602">
        <f>SUM(IF(BM56=BM$5,4,0),IF(BM56&amp;BN56=BM$5&amp;BN$5,1,0),
IF(AND(BM56=BM$5,BN$6&gt;=$D$115),1,0),
IF(AND(BN56=BM$5,BN$6&gt;=$D$115),1,0),
IF(AND(BO56=BM$5,BN$6&gt;=$D$115),1,0),
IF(BM56&amp;BP56=BQ$5,1,0),
IF(BN56=BM$5,2,0),
IF(BO56=BM$5,1,0),
IF(OR(BM56&amp;BN56&amp;BO56=BM$5&amp;BN$5&amp;BO$5,BM56&amp;BN56&amp;BO56=BM$5&amp;BO$5&amp;BN$5,BM56&amp;BN56&amp;BO56=BN$5&amp;BM$5&amp;BO$5,BM56&amp;BN56&amp;BO56=BN$5&amp;BO$5&amp;BM$5,BM56&amp;BN56&amp;BO56=BO$5&amp;BM$5&amp;BN$5,BM56&amp;BN56&amp;BO56=BO$5&amp;BN$5&amp;BM$5),2,0),IF(AND(BM56=BM$5,BN$6&gt;=$D$129),1,0),IF(AND(BN56=BM$5,BN$6&gt;=$D$129),1,0),IF(AND(BO56=BM$5,BN$6&gt;=$D$129),1,0),IF(BM56&amp;BP56=BP$5,4,0),IF(AND(BM56=BM$5,BN$6&lt;=$D$104),-0.5,0),IF(AND(BN56=BM$5,BN$6&lt;=$D$104),-0.5,0),IF(AND(BO56=BM$5,BN$6&lt;=$D$104),-0.5,0))</f>
        <v/>
      </c>
      <c r="BR56" s="416" t="n"/>
      <c r="BS56" s="418" t="n"/>
      <c r="BT56" s="418" t="n"/>
      <c r="BU56" s="418" t="n"/>
      <c r="BV56" s="602">
        <f>SUM(IF(BR56=BR$5,4,0),IF(BR56&amp;BS56=BR$5&amp;BS$5,1,0),
IF(AND(BR56=BR$5,BS$6&gt;=$D$115),1,0),
IF(AND(BS56=BR$5,BS$6&gt;=$D$115),1,0),
IF(AND(BT56=BR$5,BS$6&gt;=$D$115),1,0),
IF(BR56&amp;BU56=BV$5,1,0),
IF(BS56=BR$5,2,0),
IF(BT56=BR$5,1,0),
IF(OR(BR56&amp;BS56&amp;BT56=BR$5&amp;BS$5&amp;BT$5,BR56&amp;BS56&amp;BT56=BR$5&amp;BT$5&amp;BS$5,BR56&amp;BS56&amp;BT56=BS$5&amp;BR$5&amp;BT$5,BR56&amp;BS56&amp;BT56=BS$5&amp;BT$5&amp;BR$5,BR56&amp;BS56&amp;BT56=BT$5&amp;BR$5&amp;BS$5,BR56&amp;BS56&amp;BT56=BT$5&amp;BS$5&amp;BR$5),2,0),IF(AND(BR56=BR$5,BS$6&gt;=$D$129),1,0),IF(AND(BS56=BR$5,BS$6&gt;=$D$129),1,0),IF(AND(BT56=BR$5,BS$6&gt;=$D$129),1,0),IF(BR56&amp;BU56=BU$5,4,0),IF(AND(BR56=BR$5,BS$6&lt;=$D$104),-0.5,0),IF(AND(BS56=BR$5,BS$6&lt;=$D$104),-0.5,0),IF(AND(BT56=BR$5,BS$6&lt;=$D$104),-0.5,0))</f>
        <v/>
      </c>
      <c r="BW56" s="416" t="n"/>
      <c r="BX56" s="418" t="n"/>
      <c r="BY56" s="418" t="n"/>
      <c r="BZ56" s="418" t="n"/>
      <c r="CA56" s="602">
        <f>SUM(IF(BW56=BW$5,4,0),IF(BW56&amp;BX56=BW$5&amp;BX$5,1,0),
IF(AND(BW56=BW$5,BX$6&gt;=$D$115),1,0),
IF(AND(BX56=BW$5,BX$6&gt;=$D$115),1,0),
IF(AND(BY56=BW$5,BX$6&gt;=$D$115),1,0),
IF(BW56&amp;BZ56=CA$5,1,0),
IF(BX56=BW$5,2,0),
IF(BY56=BW$5,1,0),
IF(OR(BW56&amp;BX56&amp;BY56=BW$5&amp;BX$5&amp;BY$5,BW56&amp;BX56&amp;BY56=BW$5&amp;BY$5&amp;BX$5,BW56&amp;BX56&amp;BY56=BX$5&amp;BW$5&amp;BY$5,BW56&amp;BX56&amp;BY56=BX$5&amp;BY$5&amp;BW$5,BW56&amp;BX56&amp;BY56=BY$5&amp;BW$5&amp;BX$5,BW56&amp;BX56&amp;BY56=BY$5&amp;BX$5&amp;BW$5),2,0),IF(AND(BW56=BW$5,BX$6&gt;=$D$129),1,0),IF(AND(BX56=BW$5,BX$6&gt;=$D$129),1,0),IF(AND(BY56=BW$5,BX$6&gt;=$D$129),1,0),IF(BW56&amp;BZ56=BZ$5,4,0),IF(AND(BW56=BW$5,BX$6&lt;=$D$104),-0.5,0),IF(AND(BX56=BW$5,BX$6&lt;=$D$104),-0.5,0),IF(AND(BY56=BW$5,BX$6&lt;=$D$104),-0.5,0))</f>
        <v/>
      </c>
      <c r="CB56" s="416" t="n"/>
      <c r="CC56" s="418" t="n"/>
      <c r="CD56" s="418" t="n"/>
      <c r="CE56" s="418" t="n"/>
      <c r="CF56" s="602">
        <f>SUM(IF(CB56=CB$5,4,0),IF(CB56&amp;CC56=CB$5&amp;CC$5,1,0),
IF(AND(CB56=CB$5,CC$6&gt;=$D$115),1,0),
IF(AND(CC56=CB$5,CC$6&gt;=$D$115),1,0),
IF(AND(CD56=CB$5,CC$6&gt;=$D$115),1,0),
IF(CB56&amp;CE56=CF$5,1,0),
IF(CC56=CB$5,2,0),
IF(CD56=CB$5,1,0),
IF(OR(CB56&amp;CC56&amp;CD56=CB$5&amp;CC$5&amp;CD$5,CB56&amp;CC56&amp;CD56=CB$5&amp;CD$5&amp;CC$5,CB56&amp;CC56&amp;CD56=CC$5&amp;CB$5&amp;CD$5,CB56&amp;CC56&amp;CD56=CC$5&amp;CD$5&amp;CB$5,CB56&amp;CC56&amp;CD56=CD$5&amp;CB$5&amp;CC$5,CB56&amp;CC56&amp;CD56=CD$5&amp;CC$5&amp;CB$5),2,0),IF(AND(CB56=CB$5,CC$6&gt;=$D$129),1,0),IF(AND(CC56=CB$5,CC$6&gt;=$D$129),1,0),IF(AND(CD56=CB$5,CC$6&gt;=$D$129),1,0),IF(CB56&amp;CE56=CE$5,4,0),IF(AND(CB56=CB$5,CC$6&lt;=$D$104),-0.5,0),IF(AND(CC56=CB$5,CC$6&lt;=$D$104),-0.5,0),IF(AND(CD56=CB$5,CC$6&lt;=$D$104),-0.5,0))</f>
        <v/>
      </c>
      <c r="CG56" s="164">
        <f>IF(SEMANA29[[#This Row],[1]]="",0,$B$4)</f>
        <v/>
      </c>
      <c r="CH56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6" s="189">
        <f>IF(SEMANA29[[#This Row],[Columna14]]=0,0,(CH56/CG56))</f>
        <v/>
      </c>
      <c r="CJ56" s="165">
        <f>IF(SEMANA29[[#This Row],[1]]="",0,$B$4)</f>
        <v/>
      </c>
      <c r="CK56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6" s="189">
        <f>IF(SEMANA29[[#This Row],[Columna14]]=0,0,(CK56/CJ56))</f>
        <v/>
      </c>
      <c r="CM56" s="164">
        <f>IF(SEMANA29[[#This Row],[1]]="",0,$B$4)</f>
        <v/>
      </c>
      <c r="CN56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6" s="189">
        <f>IF(SEMANA29[[#This Row],[Columna14]]=0,0,(CN56/CM56))</f>
        <v/>
      </c>
      <c r="CP56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6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Row],[Columna25]],$AX$5,BA56,"SF")+COUNTIFS(SEMANA29[[#This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6" s="189">
        <f>IFERROR(IF(SEMANA29[[#This Row],[Columna14]]=0,0,(CQ56/CP56)),0)</f>
        <v/>
      </c>
      <c r="CS56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6" s="95">
        <f>_xlfn.XLOOKUP(SEMANA29[[#This Row],[COD]],SEMANA2[COD],SEMANA2[Columna33])</f>
        <v/>
      </c>
      <c r="CU56" s="604">
        <f>SUM(CS56,CT56)</f>
        <v/>
      </c>
      <c r="CV56" s="450">
        <f>IF(SEMANA29[[#This Row],[TIPO]]="PREMIO",$O$3,"0,00")</f>
        <v/>
      </c>
      <c r="CW56" s="576" t="n"/>
      <c r="CY56" s="392">
        <f>IF(CZ56="","",$CZ$25)</f>
        <v/>
      </c>
      <c r="CZ56" s="392" t="n"/>
      <c r="DA56" s="392">
        <f t="array" ref="DA56">IF(CZ56="", "", IF((INDEX(E$8:CE$57, MATCH(CZ56, C$8:C$57, 0), ($CZ$25-1)*5 + 1) &amp; "") = (INDEX(E$5:CE$5, 1, ($CZ$25-1)*5 + 1) &amp; ""), 1, IF((INDEX(E$8:CE$57, MATCH(CZ56, C$8:C$57, 0), ($CZ$25-1)*5 + 2) &amp; "") = (INDEX(E$5:CE$5, 1, ($CZ$25-1)*5 + 1) &amp; ""), 2, IF((INDEX(E$8:CE$57, MATCH(CZ56, C$8:C$57, 0), ($CZ$25-1)*5 + 3) &amp; "") = (INDEX(E$5:CE$5, 1, ($CZ$25-1)*5 + 1) &amp; ""), 3, ""))))</f>
        <v/>
      </c>
      <c r="DB56" s="605">
        <f>SEMANA29[[#This Row],[COD]]</f>
        <v/>
      </c>
      <c r="DC56" s="395">
        <f t="array" ref="DC56">IFERROR(IF(AND(INDEX($E$8:$CE$57, MATCH($C56, $C$8:$C$57, 0), (COLUMNS($DC56:DC56)-1)*5 + 1) = INDEX($E$5:$CE$5, 1, (COLUMNS($DC56:DC56)-1)*5 + 1), INDEX($E$8:$CE$57, MATCH($C56, $C$8:$C$57, 0), (COLUMNS($DC56:DC56)-1)*5 + 4) = "F"), INDEX($CZ$8:$CZ$23, COLUMNS($DC56:DC56)), "0"), "")</f>
        <v/>
      </c>
      <c r="DD56" s="395">
        <f t="array" ref="DD56">IFERROR(IF(AND(INDEX($E$8:$CE$57, MATCH($C56, $C$8:$C$57, 0), (COLUMNS($DC56:DD56)-1)*5 + 1) = INDEX($E$5:$CE$5, 1, (COLUMNS($DC56:DD56)-1)*5 + 1), INDEX($E$8:$CE$57, MATCH($C56, $C$8:$C$57, 0), (COLUMNS($DC56:DD56)-1)*5 + 4) = "F"), INDEX($CZ$8:$CZ$23, COLUMNS($DC56:DD56)), "0"), "")</f>
        <v/>
      </c>
      <c r="DE56" s="395">
        <f t="array" ref="DE56">IFERROR(IF(AND(INDEX($E$8:$CE$57, MATCH($C56, $C$8:$C$57, 0), (COLUMNS($DC56:DE56)-1)*5 + 1) = INDEX($E$5:$CE$5, 1, (COLUMNS($DC56:DE56)-1)*5 + 1), INDEX($E$8:$CE$57, MATCH($C56, $C$8:$C$57, 0), (COLUMNS($DC56:DE56)-1)*5 + 4) = "F"), INDEX($CZ$8:$CZ$23, COLUMNS($DC56:DE56)), "0"), "")</f>
        <v/>
      </c>
      <c r="DF56" s="395">
        <f t="array" ref="DF56">IFERROR(IF(AND(INDEX($E$8:$CE$57, MATCH($C56, $C$8:$C$57, 0), (COLUMNS($DC56:DF56)-1)*5 + 1) = INDEX($E$5:$CE$5, 1, (COLUMNS($DC56:DF56)-1)*5 + 1), INDEX($E$8:$CE$57, MATCH($C56, $C$8:$C$57, 0), (COLUMNS($DC56:DF56)-1)*5 + 4) = "F"), INDEX($CZ$8:$CZ$23, COLUMNS($DC56:DF56)), "0"), "")</f>
        <v/>
      </c>
      <c r="DG56" s="395">
        <f t="array" ref="DG56">IFERROR(IF(AND(INDEX($E$8:$CE$57, MATCH($C56, $C$8:$C$57, 0), (COLUMNS($DC56:DG56)-1)*5 + 1) = INDEX($E$5:$CE$5, 1, (COLUMNS($DC56:DG56)-1)*5 + 1), INDEX($E$8:$CE$57, MATCH($C56, $C$8:$C$57, 0), (COLUMNS($DC56:DG56)-1)*5 + 4) = "F"), INDEX($CZ$8:$CZ$23, COLUMNS($DC56:DG56)), "0"), "")</f>
        <v/>
      </c>
      <c r="DH56" s="395">
        <f t="array" ref="DH56">IFERROR(IF(AND(INDEX($E$8:$CE$57, MATCH($C56, $C$8:$C$57, 0), (COLUMNS($DC56:DH56)-1)*5 + 1) = INDEX($E$5:$CE$5, 1, (COLUMNS($DC56:DH56)-1)*5 + 1), INDEX($E$8:$CE$57, MATCH($C56, $C$8:$C$57, 0), (COLUMNS($DC56:DH56)-1)*5 + 4) = "F"), INDEX($CZ$8:$CZ$23, COLUMNS($DC56:DH56)), "0"), "")</f>
        <v/>
      </c>
      <c r="DI56" s="395">
        <f t="array" ref="DI56">IFERROR(IF(AND(INDEX($E$8:$CE$57, MATCH($C56, $C$8:$C$57, 0), (COLUMNS($DC56:DI56)-1)*5 + 1) = INDEX($E$5:$CE$5, 1, (COLUMNS($DC56:DI56)-1)*5 + 1), INDEX($E$8:$CE$57, MATCH($C56, $C$8:$C$57, 0), (COLUMNS($DC56:DI56)-1)*5 + 4) = "F"), INDEX($CZ$8:$CZ$23, COLUMNS($DC56:DI56)), "0"), "")</f>
        <v/>
      </c>
      <c r="DJ56" s="395">
        <f t="array" ref="DJ56">IFERROR(IF(AND(INDEX($E$8:$CE$57, MATCH($C56, $C$8:$C$57, 0), (COLUMNS($DC56:DJ56)-1)*5 + 1) = INDEX($E$5:$CE$5, 1, (COLUMNS($DC56:DJ56)-1)*5 + 1), INDEX($E$8:$CE$57, MATCH($C56, $C$8:$C$57, 0), (COLUMNS($DC56:DJ56)-1)*5 + 4) = "F"), INDEX($CZ$8:$CZ$23, COLUMNS($DC56:DJ56)), "0"), "")</f>
        <v/>
      </c>
      <c r="DK56" s="395">
        <f t="array" ref="DK56">IFERROR(IF(AND(INDEX($E$8:$CE$57, MATCH($C56, $C$8:$C$57, 0), (COLUMNS($DC56:DK56)-1)*5 + 1) = INDEX($E$5:$CE$5, 1, (COLUMNS($DC56:DK56)-1)*5 + 1), INDEX($E$8:$CE$57, MATCH($C56, $C$8:$C$57, 0), (COLUMNS($DC56:DK56)-1)*5 + 4) = "F"), INDEX($CZ$8:$CZ$23, COLUMNS($DC56:DK56)), "0"), "")</f>
        <v/>
      </c>
      <c r="DL56" s="395">
        <f t="array" ref="DL56">IFERROR(IF(AND(INDEX($E$8:$CE$57, MATCH($C56, $C$8:$C$57, 0), (COLUMNS($DC56:DL56)-1)*5 + 1) = INDEX($E$5:$CE$5, 1, (COLUMNS($DC56:DL56)-1)*5 + 1), INDEX($E$8:$CE$57, MATCH($C56, $C$8:$C$57, 0), (COLUMNS($DC56:DL56)-1)*5 + 4) = "F"), INDEX($CZ$8:$CZ$23, COLUMNS($DC56:DL56)), "0"), "")</f>
        <v/>
      </c>
      <c r="DM56" s="395">
        <f t="array" ref="DM56">IFERROR(IF(AND(INDEX($E$8:$CE$57, MATCH($C56, $C$8:$C$57, 0), (COLUMNS($DC56:DM56)-1)*5 + 1) = INDEX($E$5:$CE$5, 1, (COLUMNS($DC56:DM56)-1)*5 + 1), INDEX($E$8:$CE$57, MATCH($C56, $C$8:$C$57, 0), (COLUMNS($DC56:DM56)-1)*5 + 4) = "F"), INDEX($CZ$8:$CZ$23, COLUMNS($DC56:DM56)), "0"), "")</f>
        <v/>
      </c>
      <c r="DN56" s="395">
        <f t="array" ref="DN56">IFERROR(IF(AND(INDEX($E$8:$CE$57, MATCH($C56, $C$8:$C$57, 0), (COLUMNS($DC56:DN56)-1)*5 + 1) = INDEX($E$5:$CE$5, 1, (COLUMNS($DC56:DN56)-1)*5 + 1), INDEX($E$8:$CE$57, MATCH($C56, $C$8:$C$57, 0), (COLUMNS($DC56:DN56)-1)*5 + 4) = "F"), INDEX($CZ$8:$CZ$23, COLUMNS($DC56:DN56)), "0"), "")</f>
        <v/>
      </c>
      <c r="DO56" s="395">
        <f t="array" ref="DO56">IFERROR(IF(AND(INDEX($E$8:$CE$57, MATCH($C56, $C$8:$C$57, 0), (COLUMNS($DC56:DO56)-1)*5 + 1) = INDEX($E$5:$CE$5, 1, (COLUMNS($DC56:DO56)-1)*5 + 1), INDEX($E$8:$CE$57, MATCH($C56, $C$8:$C$57, 0), (COLUMNS($DC56:DO56)-1)*5 + 4) = "F"), INDEX($CZ$8:$CZ$23, COLUMNS($DC56:DO56)), "0"), "")</f>
        <v/>
      </c>
      <c r="DP56" s="395">
        <f t="array" ref="DP56">IFERROR(IF(AND(INDEX($E$8:$CE$57, MATCH($C56, $C$8:$C$57, 0), (COLUMNS($DC56:DP56)-1)*5 + 1) = INDEX($E$5:$CE$5, 1, (COLUMNS($DC56:DP56)-1)*5 + 1), INDEX($E$8:$CE$57, MATCH($C56, $C$8:$C$57, 0), (COLUMNS($DC56:DP56)-1)*5 + 4) = "F"), INDEX($CZ$8:$CZ$23, COLUMNS($DC56:DP56)), "0"), "")</f>
        <v/>
      </c>
      <c r="DQ56" s="395">
        <f t="array" ref="DQ56">IFERROR(IF(AND(INDEX($E$8:$CE$57, MATCH($C56, $C$8:$C$57, 0), (COLUMNS($DC56:DQ56)-1)*5 + 1) = INDEX($E$5:$CE$5, 1, (COLUMNS($DC56:DQ56)-1)*5 + 1), INDEX($E$8:$CE$57, MATCH($C56, $C$8:$C$57, 0), (COLUMNS($DC56:DQ56)-1)*5 + 4) = "F"), INDEX($CZ$8:$CZ$23, COLUMNS($DC56:DQ56)), "0"), "")</f>
        <v/>
      </c>
      <c r="DR56" s="395">
        <f t="array" ref="DR56">IFERROR(IF(AND(INDEX($E$8:$CE$57, MATCH($C56, $C$8:$C$57, 0), (COLUMNS($DC56:DR56)-1)*5 + 1) = INDEX($E$5:$CE$5, 1, (COLUMNS($DC56:DR56)-1)*5 + 1), INDEX($E$8:$CE$57, MATCH($C56, $C$8:$C$57, 0), (COLUMNS($DC56:DR56)-1)*5 + 4) = "F"), INDEX($CZ$8:$CZ$23, COLUMNS($DC56:DR56)), "0"), "")</f>
        <v/>
      </c>
      <c r="DT56" s="605">
        <f>SEMANA29[[#This Row],[COD]]</f>
        <v/>
      </c>
      <c r="DU56" s="395">
        <f t="array" ref="DU56">IFERROR(IF(AND(INDEX($E$8:$CE$57, MATCH($C56, $C$8:$C$57, 0), (COLUMNS($DU56:DU56)-1)*5 + 1) = INDEX($E$5:$CE$5, 1, (COLUMNS($DU56:DU56)-1)*5 + 1), INDEX($E$8:$CE$57, MATCH($C56, $C$8:$C$57, 0), (COLUMNS($DU56:DU56)-1)*5 + 4) = "SF"), INDEX($CZ$8:$CZ$23, COLUMNS($DU56:DU56)), "0"), "")</f>
        <v/>
      </c>
      <c r="DV56" s="395">
        <f t="array" ref="DV56">IFERROR(IF(AND(INDEX($E$8:$CE$57, MATCH($C56, $C$8:$C$57, 0), (COLUMNS($DU56:DV56)-1)*5 + 1) = INDEX($E$5:$CE$5, 1, (COLUMNS($DU56:DV56)-1)*5 + 1), INDEX($E$8:$CE$57, MATCH($C56, $C$8:$C$57, 0), (COLUMNS($DU56:DV56)-1)*5 + 4) = "SF"), INDEX($CZ$8:$CZ$23, COLUMNS($DU56:DV56)), "0"), "")</f>
        <v/>
      </c>
      <c r="DW56" s="395">
        <f t="array" ref="DW56">IFERROR(IF(AND(INDEX($E$8:$CE$57, MATCH($C56, $C$8:$C$57, 0), (COLUMNS($DU56:DW56)-1)*5 + 1) = INDEX($E$5:$CE$5, 1, (COLUMNS($DU56:DW56)-1)*5 + 1), INDEX($E$8:$CE$57, MATCH($C56, $C$8:$C$57, 0), (COLUMNS($DU56:DW56)-1)*5 + 4) = "SF"), INDEX($CZ$8:$CZ$23, COLUMNS($DU56:DW56)), "0"), "")</f>
        <v/>
      </c>
      <c r="DX56" s="395">
        <f t="array" ref="DX56">IFERROR(IF(AND(INDEX($E$8:$CE$57, MATCH($C56, $C$8:$C$57, 0), (COLUMNS($DU56:DX56)-1)*5 + 1) = INDEX($E$5:$CE$5, 1, (COLUMNS($DU56:DX56)-1)*5 + 1), INDEX($E$8:$CE$57, MATCH($C56, $C$8:$C$57, 0), (COLUMNS($DU56:DX56)-1)*5 + 4) = "SF"), INDEX($CZ$8:$CZ$23, COLUMNS($DU56:DX56)), "0"), "")</f>
        <v/>
      </c>
      <c r="DY56" s="395">
        <f t="array" ref="DY56">IFERROR(IF(AND(INDEX($E$8:$CE$57, MATCH($C56, $C$8:$C$57, 0), (COLUMNS($DU56:DY56)-1)*5 + 1) = INDEX($E$5:$CE$5, 1, (COLUMNS($DU56:DY56)-1)*5 + 1), INDEX($E$8:$CE$57, MATCH($C56, $C$8:$C$57, 0), (COLUMNS($DU56:DY56)-1)*5 + 4) = "SF"), INDEX($CZ$8:$CZ$23, COLUMNS($DU56:DY56)), "0"), "")</f>
        <v/>
      </c>
      <c r="DZ56" s="395">
        <f t="array" ref="DZ56">IFERROR(IF(AND(INDEX($E$8:$CE$57, MATCH($C56, $C$8:$C$57, 0), (COLUMNS($DU56:DZ56)-1)*5 + 1) = INDEX($E$5:$CE$5, 1, (COLUMNS($DU56:DZ56)-1)*5 + 1), INDEX($E$8:$CE$57, MATCH($C56, $C$8:$C$57, 0), (COLUMNS($DU56:DZ56)-1)*5 + 4) = "SF"), INDEX($CZ$8:$CZ$23, COLUMNS($DU56:DZ56)), "0"), "")</f>
        <v/>
      </c>
      <c r="EA56" s="395">
        <f t="array" ref="EA56">IFERROR(IF(AND(INDEX($E$8:$CE$57, MATCH($C56, $C$8:$C$57, 0), (COLUMNS($DU56:EA56)-1)*5 + 1) = INDEX($E$5:$CE$5, 1, (COLUMNS($DU56:EA56)-1)*5 + 1), INDEX($E$8:$CE$57, MATCH($C56, $C$8:$C$57, 0), (COLUMNS($DU56:EA56)-1)*5 + 4) = "SF"), INDEX($CZ$8:$CZ$23, COLUMNS($DU56:EA56)), "0"), "")</f>
        <v/>
      </c>
      <c r="EB56" s="395">
        <f t="array" ref="EB56">IFERROR(IF(AND(INDEX($E$8:$CE$57, MATCH($C56, $C$8:$C$57, 0), (COLUMNS($DU56:EB56)-1)*5 + 1) = INDEX($E$5:$CE$5, 1, (COLUMNS($DU56:EB56)-1)*5 + 1), INDEX($E$8:$CE$57, MATCH($C56, $C$8:$C$57, 0), (COLUMNS($DU56:EB56)-1)*5 + 4) = "SF"), INDEX($CZ$8:$CZ$23, COLUMNS($DU56:EB56)), "0"), "")</f>
        <v/>
      </c>
      <c r="EC56" s="395">
        <f t="array" ref="EC56">IFERROR(IF(AND(INDEX($E$8:$CE$57, MATCH($C56, $C$8:$C$57, 0), (COLUMNS($DU56:EC56)-1)*5 + 1) = INDEX($E$5:$CE$5, 1, (COLUMNS($DU56:EC56)-1)*5 + 1), INDEX($E$8:$CE$57, MATCH($C56, $C$8:$C$57, 0), (COLUMNS($DU56:EC56)-1)*5 + 4) = "SF"), INDEX($CZ$8:$CZ$23, COLUMNS($DU56:EC56)), "0"), "")</f>
        <v/>
      </c>
      <c r="ED56" s="395">
        <f t="array" ref="ED56">IFERROR(IF(AND(INDEX($E$8:$CE$57, MATCH($C56, $C$8:$C$57, 0), (COLUMNS($DU56:ED56)-1)*5 + 1) = INDEX($E$5:$CE$5, 1, (COLUMNS($DU56:ED56)-1)*5 + 1), INDEX($E$8:$CE$57, MATCH($C56, $C$8:$C$57, 0), (COLUMNS($DU56:ED56)-1)*5 + 4) = "SF"), INDEX($CZ$8:$CZ$23, COLUMNS($DU56:ED56)), "0"), "")</f>
        <v/>
      </c>
      <c r="EE56" s="395">
        <f t="array" ref="EE56">IFERROR(IF(AND(INDEX($E$8:$CE$57, MATCH($C56, $C$8:$C$57, 0), (COLUMNS($DU56:EE56)-1)*5 + 1) = INDEX($E$5:$CE$5, 1, (COLUMNS($DU56:EE56)-1)*5 + 1), INDEX($E$8:$CE$57, MATCH($C56, $C$8:$C$57, 0), (COLUMNS($DU56:EE56)-1)*5 + 4) = "SF"), INDEX($CZ$8:$CZ$23, COLUMNS($DU56:EE56)), "0"), "")</f>
        <v/>
      </c>
      <c r="EF56" s="395">
        <f t="array" ref="EF56">IFERROR(IF(AND(INDEX($E$8:$CE$57, MATCH($C56, $C$8:$C$57, 0), (COLUMNS($DU56:EF56)-1)*5 + 1) = INDEX($E$5:$CE$5, 1, (COLUMNS($DU56:EF56)-1)*5 + 1), INDEX($E$8:$CE$57, MATCH($C56, $C$8:$C$57, 0), (COLUMNS($DU56:EF56)-1)*5 + 4) = "SF"), INDEX($CZ$8:$CZ$23, COLUMNS($DU56:EF56)), "0"), "")</f>
        <v/>
      </c>
      <c r="EG56" s="395">
        <f t="array" ref="EG56">IFERROR(IF(AND(INDEX($E$8:$CE$57, MATCH($C56, $C$8:$C$57, 0), (COLUMNS($DU56:EG56)-1)*5 + 1) = INDEX($E$5:$CE$5, 1, (COLUMNS($DU56:EG56)-1)*5 + 1), INDEX($E$8:$CE$57, MATCH($C56, $C$8:$C$57, 0), (COLUMNS($DU56:EG56)-1)*5 + 4) = "SF"), INDEX($CZ$8:$CZ$23, COLUMNS($DU56:EG56)), "0"), "")</f>
        <v/>
      </c>
      <c r="EH56" s="395">
        <f t="array" ref="EH56">IFERROR(IF(AND(INDEX($E$8:$CE$57, MATCH($C56, $C$8:$C$57, 0), (COLUMNS($DU56:EH56)-1)*5 + 1) = INDEX($E$5:$CE$5, 1, (COLUMNS($DU56:EH56)-1)*5 + 1), INDEX($E$8:$CE$57, MATCH($C56, $C$8:$C$57, 0), (COLUMNS($DU56:EH56)-1)*5 + 4) = "SF"), INDEX($CZ$8:$CZ$23, COLUMNS($DU56:EH56)), "0"), "")</f>
        <v/>
      </c>
      <c r="EI56" s="395">
        <f t="array" ref="EI56">IFERROR(IF(AND(INDEX($E$8:$CE$57, MATCH($C56, $C$8:$C$57, 0), (COLUMNS($DU56:EI56)-1)*5 + 1) = INDEX($E$5:$CE$5, 1, (COLUMNS($DU56:EI56)-1)*5 + 1), INDEX($E$8:$CE$57, MATCH($C56, $C$8:$C$57, 0), (COLUMNS($DU56:EI56)-1)*5 + 4) = "SF"), INDEX($CZ$8:$CZ$23, COLUMNS($DU56:EI56)), "0"), "")</f>
        <v/>
      </c>
      <c r="EJ56" s="395">
        <f t="array" ref="EJ56">IFERROR(IF(AND(INDEX($E$8:$CE$57, MATCH($C56, $C$8:$C$57, 0), (COLUMNS($DU56:EJ56)-1)*5 + 1) = INDEX($E$5:$CE$5, 1, (COLUMNS($DU56:EJ56)-1)*5 + 1), INDEX($E$8:$CE$57, MATCH($C56, $C$8:$C$57, 0), (COLUMNS($DU56:EJ56)-1)*5 + 4) = "SF"), INDEX($CZ$8:$CZ$23, COLUMNS($DU56:EJ56)), "0"), "")</f>
        <v/>
      </c>
    </row>
    <row r="57" ht="20.1" customHeight="1" s="568">
      <c r="A57" s="576" t="n"/>
      <c r="B57" s="449">
        <f>IF(SEMANA29[[#This Row],[COD]]&lt;&gt;"",B56+1,"")</f>
        <v/>
      </c>
      <c r="C57" s="622" t="inlineStr">
        <is>
          <t>COD 50</t>
        </is>
      </c>
      <c r="D57" s="415">
        <f t="array" ref="D57">IF(SEMANA29[[#This Row],[COD]]="","",_xlfn.IFS(_xlfn.XLOOKUP(SEMANA29[[#This Row],[COD]],CODIGOS_Y_PAGOS[CODIGO],CODIGOS_Y_PAGOS[20/09/2026],"")="X","PREMIO",_xlfn.XLOOKUP(SEMANA29[[#This Row],[COD]],CODIGOS_Y_PAGOS[CODIGO],CODIGOS_Y_PAGOS[20/09/2026],"")="","NO ENVIÓ",_xlfn.XLOOKUP(SEMANA29[[#This Row],[COD]],CODIGOS_Y_PAGOS[CODIGO],CODIGOS_Y_PAGOS[20/09/2026],"")=0,"MEETING",_xlfn.XLOOKUP(SEMANA29[[#This Row],[COD]],CODIGOS_Y_PAGOS[CODIGO],CODIGOS_Y_PAGOS[20/09/2026],"")="O","PREMIO",_xlfn.XLOOKUP(SEMANA29[[#This Row],[COD]],CODIGOS_Y_PAGOS[CODIGO],CODIGOS_Y_PAGOS[20/09/2026],"")="-","PAGO PENDIENTE"))</f>
        <v/>
      </c>
      <c r="E57" s="416" t="n"/>
      <c r="F57" s="418" t="n"/>
      <c r="G57" s="418" t="n"/>
      <c r="H57" s="418" t="n"/>
      <c r="I57" s="602">
        <f>SUM(IF(E57=E$5,4,0),IF(E57&amp;F57=E$5&amp;F$5,1,0),
IF(AND(E57=E$5,F$6&gt;=$D$115),1,0),
IF(AND(F57=E$5,F$6&gt;=$D$115),1,0),
IF(AND(G57=E$5,F$6&gt;=$D$115),1,0),
IF(E57&amp;H57=I$5,1,0),
IF(F57=E$5,2,0),
IF(G57=E$5,1,0),
IF(OR(E57&amp;F57&amp;G57=E$5&amp;F$5&amp;G$5,E57&amp;F57&amp;G57=E$5&amp;G$5&amp;F$5,E57&amp;F57&amp;G57=F$5&amp;E$5&amp;G$5,E57&amp;F57&amp;G57=F$5&amp;G$5&amp;E$5,E57&amp;F57&amp;G57=G$5&amp;E$5&amp;F$5,E57&amp;F57&amp;G57=G$5&amp;F$5&amp;E$5),2,0),IF(AND(E57=E$5,F$6&gt;=$D$129),1,0),IF(AND(F57=E$5,F$6&gt;=$D$129),1,0),IF(AND(G57=E$5,F$6&gt;=$D$129),1,0),IF(E57&amp;H57=H$5,4,0),IF(AND(E57=E$5,F$6&lt;=$D$104),-0.5,0),IF(AND(F57=E$5,F$6&lt;=$D$104),-0.5,0),IF(AND(G57=E$5,F$6&lt;=$D$104),-0.5,0))</f>
        <v/>
      </c>
      <c r="J57" s="416" t="n"/>
      <c r="K57" s="418" t="n"/>
      <c r="L57" s="418" t="n"/>
      <c r="M57" s="418" t="n"/>
      <c r="N57" s="602">
        <f>SUM(IF(J57=J$5,4,0),IF(J57&amp;K57=J$5&amp;K$5,1,0),
IF(AND(J57=J$5,K$6&gt;=$D$115),1,0),
IF(AND(K57=J$5,K$6&gt;=$D$115),1,0),
IF(AND(L57=J$5,K$6&gt;=$D$115),1,0),
IF(J57&amp;M57=N$5,1,0),
IF(K57=J$5,2,0),
IF(L57=J$5,1,0),
IF(OR(J57&amp;K57&amp;L57=J$5&amp;K$5&amp;L$5,J57&amp;K57&amp;L57=J$5&amp;L$5&amp;K$5,J57&amp;K57&amp;L57=K$5&amp;J$5&amp;L$5,J57&amp;K57&amp;L57=K$5&amp;L$5&amp;J$5,J57&amp;K57&amp;L57=L$5&amp;J$5&amp;K$5,J57&amp;K57&amp;L57=L$5&amp;K$5&amp;J$5),2,0),IF(AND(J57=J$5,K$6&gt;=$D$129),1,0),IF(AND(K57=J$5,K$6&gt;=$D$129),1,0),IF(AND(L57=J$5,K$6&gt;=$D$129),1,0),IF(J57&amp;M57=M$5,4,0),IF(AND(J57=J$5,K$6&lt;=$D$104),-0.5,0),IF(AND(K57=J$5,K$6&lt;=$D$104),-0.5,0),IF(AND(L57=J$5,K$6&lt;=$D$104),-0.5,0))</f>
        <v/>
      </c>
      <c r="O57" s="416" t="n"/>
      <c r="P57" s="418" t="n"/>
      <c r="Q57" s="418" t="n"/>
      <c r="R57" s="418" t="n"/>
      <c r="S57" s="602">
        <f>SUM(IF(O57=O$5,4,0),IF(O57&amp;P57=O$5&amp;P$5,1,0),
IF(AND(O57=O$5,P$6&gt;=$D$115),1,0),
IF(AND(P57=O$5,P$6&gt;=$D$115),1,0),
IF(AND(Q57=O$5,P$6&gt;=$D$115),1,0),
IF(O57&amp;R57=S$5,1,0),
IF(P57=O$5,2,0),
IF(Q57=O$5,1,0),
IF(OR(O57&amp;P57&amp;Q57=O$5&amp;P$5&amp;Q$5,O57&amp;P57&amp;Q57=O$5&amp;Q$5&amp;P$5,O57&amp;P57&amp;Q57=P$5&amp;O$5&amp;Q$5,O57&amp;P57&amp;Q57=P$5&amp;Q$5&amp;O$5,O57&amp;P57&amp;Q57=Q$5&amp;O$5&amp;P$5,O57&amp;P57&amp;Q57=Q$5&amp;P$5&amp;O$5),2,0),IF(AND(O57=O$5,P$6&gt;=$D$129),1,0),IF(AND(P57=O$5,P$6&gt;=$D$129),1,0),IF(AND(Q57=O$5,P$6&gt;=$D$129),1,0),IF(O57&amp;R57=R$5,4,0),IF(AND(O57=O$5,P$6&lt;=$D$104),-0.5,0),IF(AND(P57=O$5,P$6&lt;=$D$104),-0.5,0),IF(AND(Q57=O$5,P$6&lt;=$D$104),-0.5,0))</f>
        <v/>
      </c>
      <c r="T57" s="416" t="n"/>
      <c r="U57" s="418" t="n"/>
      <c r="V57" s="418" t="n"/>
      <c r="W57" s="418" t="n"/>
      <c r="X57" s="602">
        <f>SUM(IF(T57=T$5,4,0),IF(T57&amp;U57=T$5&amp;U$5,1,0),
IF(AND(T57=T$5,U$6&gt;=$D$115),1,0),
IF(AND(U57=T$5,U$6&gt;=$D$115),1,0),
IF(AND(V57=T$5,U$6&gt;=$D$115),1,0),
IF(T57&amp;W57=X$5,1,0),
IF(U57=T$5,2,0),
IF(V57=T$5,1,0),
IF(OR(T57&amp;U57&amp;V57=T$5&amp;U$5&amp;V$5,T57&amp;U57&amp;V57=T$5&amp;V$5&amp;U$5,T57&amp;U57&amp;V57=U$5&amp;T$5&amp;V$5,T57&amp;U57&amp;V57=U$5&amp;V$5&amp;T$5,T57&amp;U57&amp;V57=V$5&amp;T$5&amp;U$5,T57&amp;U57&amp;V57=V$5&amp;U$5&amp;T$5),2,0),IF(AND(T57=T$5,U$6&gt;=$D$129),1,0),IF(AND(U57=T$5,U$6&gt;=$D$129),1,0),IF(AND(V57=T$5,U$6&gt;=$D$129),1,0),IF(T57&amp;W57=W$5,4,0),IF(AND(T57=T$5,U$6&lt;=$D$104),-0.5,0),IF(AND(U57=T$5,U$6&lt;=$D$104),-0.5,0),IF(AND(V57=T$5,U$6&lt;=$D$104),-0.5,0))</f>
        <v/>
      </c>
      <c r="Y57" s="416" t="n"/>
      <c r="Z57" s="418" t="n"/>
      <c r="AA57" s="418" t="n"/>
      <c r="AB57" s="418" t="n"/>
      <c r="AC57" s="602">
        <f>SUM(IF(Y57=Y$5,4,0),IF(Y57&amp;Z57=Y$5&amp;Z$5,1,0),
IF(AND(Y57=Y$5,Z$6&gt;=$D$115),1,0),
IF(AND(Z57=Y$5,Z$6&gt;=$D$115),1,0),
IF(AND(AA57=Y$5,Z$6&gt;=$D$115),1,0),
IF(Y57&amp;AB57=AC$5,1,0),
IF(Z57=Y$5,2,0),
IF(AA57=Y$5,1,0),
IF(OR(Y57&amp;Z57&amp;AA57=Y$5&amp;Z$5&amp;AA$5,Y57&amp;Z57&amp;AA57=Y$5&amp;AA$5&amp;Z$5,Y57&amp;Z57&amp;AA57=Z$5&amp;Y$5&amp;AA$5,Y57&amp;Z57&amp;AA57=Z$5&amp;AA$5&amp;Y$5,Y57&amp;Z57&amp;AA57=AA$5&amp;Y$5&amp;Z$5,Y57&amp;Z57&amp;AA57=AA$5&amp;Z$5&amp;Y$5),2,0),IF(AND(Y57=Y$5,Z$6&gt;=$D$129),1,0),IF(AND(Z57=Y$5,Z$6&gt;=$D$129),1,0),IF(AND(AA57=Y$5,Z$6&gt;=$D$129),1,0),IF(Y57&amp;AB57=AB$5,4,0),IF(AND(Y57=Y$5,Z$6&lt;=$D$104),-0.5,0),IF(AND(Z57=Y$5,Z$6&lt;=$D$104),-0.5,0),IF(AND(AA57=Y$5,Z$6&lt;=$D$104),-0.5,0))</f>
        <v/>
      </c>
      <c r="AD57" s="416" t="n"/>
      <c r="AE57" s="418" t="n"/>
      <c r="AF57" s="418" t="n"/>
      <c r="AG57" s="418" t="n"/>
      <c r="AH57" s="602">
        <f>SUM(IF(AD57=AD$5,4,0),IF(AD57&amp;AE57=AD$5&amp;AE$5,1,0),
IF(AND(AD57=AD$5,AE$6&gt;=$D$115),1,0),
IF(AND(AE57=AD$5,AE$6&gt;=$D$115),1,0),
IF(AND(AF57=AD$5,AE$6&gt;=$D$115),1,0),
IF(AD57&amp;AG57=AH$5,1,0),
IF(AE57=AD$5,2,0),
IF(AF57=AD$5,1,0),
IF(OR(AD57&amp;AE57&amp;AF57=AD$5&amp;AE$5&amp;AF$5,AD57&amp;AE57&amp;AF57=AD$5&amp;AF$5&amp;AE$5,AD57&amp;AE57&amp;AF57=AE$5&amp;AD$5&amp;AF$5,AD57&amp;AE57&amp;AF57=AE$5&amp;AF$5&amp;AD$5,AD57&amp;AE57&amp;AF57=AF$5&amp;AD$5&amp;AE$5,AD57&amp;AE57&amp;AF57=AF$5&amp;AE$5&amp;AD$5),2,0),IF(AND(AD57=AD$5,AE$6&gt;=$D$129),1,0),IF(AND(AE57=AD$5,AE$6&gt;=$D$129),1,0),IF(AND(AF57=AD$5,AE$6&gt;=$D$129),1,0),IF(AD57&amp;AG57=AG$5,4,0),IF(AND(AD57=AD$5,AE$6&lt;=$D$104),-0.5,0),IF(AND(AE57=AD$5,AE$6&lt;=$D$104),-0.5,0),IF(AND(AF57=AD$5,AE$6&lt;=$D$104),-0.5,0))</f>
        <v/>
      </c>
      <c r="AI57" s="416" t="n"/>
      <c r="AJ57" s="418" t="n"/>
      <c r="AK57" s="418" t="n"/>
      <c r="AL57" s="418" t="n"/>
      <c r="AM57" s="602">
        <f>SUM(IF(AI57=AI$5,4,0),IF(AI57&amp;AJ57=AI$5&amp;AJ$5,1,0),
IF(AND(AI57=AI$5,AJ$6&gt;=$D$115),1,0),
IF(AND(AJ57=AI$5,AJ$6&gt;=$D$115),1,0),
IF(AND(AK57=AI$5,AJ$6&gt;=$D$115),1,0),
IF(AI57&amp;AL57=AM$5,1,0),
IF(AJ57=AI$5,2,0),
IF(AK57=AI$5,1,0),
IF(OR(AI57&amp;AJ57&amp;AK57=AI$5&amp;AJ$5&amp;AK$5,AI57&amp;AJ57&amp;AK57=AI$5&amp;AK$5&amp;AJ$5,AI57&amp;AJ57&amp;AK57=AJ$5&amp;AI$5&amp;AK$5,AI57&amp;AJ57&amp;AK57=AJ$5&amp;AK$5&amp;AI$5,AI57&amp;AJ57&amp;AK57=AK$5&amp;AI$5&amp;AJ$5,AI57&amp;AJ57&amp;AK57=AK$5&amp;AJ$5&amp;AI$5),2,0),IF(AND(AI57=AI$5,AJ$6&gt;=$D$129),1,0),IF(AND(AJ57=AI$5,AJ$6&gt;=$D$129),1,0),IF(AND(AK57=AI$5,AJ$6&gt;=$D$129),1,0),IF(AI57&amp;AL57=AL$5,4,0),IF(AND(AI57=AI$5,AJ$6&lt;=$D$104),-0.5,0),IF(AND(AJ57=AI$5,AJ$6&lt;=$D$104),-0.5,0),IF(AND(AK57=AI$5,AJ$6&lt;=$D$104),-0.5,0))</f>
        <v/>
      </c>
      <c r="AN57" s="416" t="n"/>
      <c r="AO57" s="418" t="n"/>
      <c r="AP57" s="418" t="n"/>
      <c r="AQ57" s="418" t="n"/>
      <c r="AR57" s="602">
        <f>SUM(IF(AN57=AN$5,4,0),IF(AN57&amp;AO57=AN$5&amp;AO$5,1,0),
IF(AND(AN57=AN$5,AO$6&gt;=$D$115),1,0),
IF(AND(AO57=AN$5,AO$6&gt;=$D$115),1,0),
IF(AND(AP57=AN$5,AO$6&gt;=$D$115),1,0),
IF(AN57&amp;AQ57=AR$5,1,0),
IF(AO57=AN$5,2,0),
IF(AP57=AN$5,1,0),
IF(OR(AN57&amp;AO57&amp;AP57=AN$5&amp;AO$5&amp;AP$5,AN57&amp;AO57&amp;AP57=AN$5&amp;AP$5&amp;AO$5,AN57&amp;AO57&amp;AP57=AO$5&amp;AN$5&amp;AP$5,AN57&amp;AO57&amp;AP57=AO$5&amp;AP$5&amp;AN$5,AN57&amp;AO57&amp;AP57=AP$5&amp;AN$5&amp;AO$5,AN57&amp;AO57&amp;AP57=AP$5&amp;AO$5&amp;AN$5),2,0),IF(AND(AN57=AN$5,AO$6&gt;=$D$129),1,0),IF(AND(AO57=AN$5,AO$6&gt;=$D$129),1,0),IF(AND(AP57=AN$5,AO$6&gt;=$D$129),1,0),IF(AN57&amp;AQ57=AQ$5,4,0),IF(AND(AN57=AN$5,AO$6&lt;=$D$104),-0.5,0),IF(AND(AO57=AN$5,AO$6&lt;=$D$104),-0.5,0),IF(AND(AP57=AN$5,AO$6&lt;=$D$104),-0.5,0))</f>
        <v/>
      </c>
      <c r="AS57" s="416" t="n"/>
      <c r="AT57" s="418" t="n"/>
      <c r="AU57" s="418" t="n"/>
      <c r="AV57" s="418" t="n"/>
      <c r="AW57" s="602">
        <f>SUM(IF(AS57=AS$5,4,0),IF(AS57&amp;AT57=AS$5&amp;AT$5,1,0),
IF(AND(AS57=AS$5,AT$6&gt;=$D$115),1,0),
IF(AND(AT57=AS$5,AT$6&gt;=$D$115),1,0),
IF(AND(AU57=AS$5,AT$6&gt;=$D$115),1,0),
IF(AS57&amp;AV57=AW$5,1,0),
IF(AT57=AS$5,2,0),
IF(AU57=AS$5,1,0),
IF(OR(AS57&amp;AT57&amp;AU57=AS$5&amp;AT$5&amp;AU$5,AS57&amp;AT57&amp;AU57=AS$5&amp;AU$5&amp;AT$5,AS57&amp;AT57&amp;AU57=AT$5&amp;AS$5&amp;AU$5,AS57&amp;AT57&amp;AU57=AT$5&amp;AU$5&amp;AS$5,AS57&amp;AT57&amp;AU57=AU$5&amp;AS$5&amp;AT$5,AS57&amp;AT57&amp;AU57=AU$5&amp;AT$5&amp;AS$5),2,0),IF(AND(AS57=AS$5,AT$6&gt;=$D$129),1,0),IF(AND(AT57=AS$5,AT$6&gt;=$D$129),1,0),IF(AND(AU57=AS$5,AT$6&gt;=$D$129),1,0),IF(AS57&amp;AV57=AV$5,4,0),IF(AND(AS57=AS$5,AT$6&lt;=$D$104),-0.5,0),IF(AND(AT57=AS$5,AT$6&lt;=$D$104),-0.5,0),IF(AND(AU57=AS$5,AT$6&lt;=$D$104),-0.5,0))</f>
        <v/>
      </c>
      <c r="AX57" s="416" t="n"/>
      <c r="AY57" s="418" t="n"/>
      <c r="AZ57" s="418" t="n"/>
      <c r="BA57" s="418" t="n"/>
      <c r="BB57" s="602">
        <f>SUM(IF(AX57=AX$5,4,0),IF(AX57&amp;AY57=AX$5&amp;AY$5,1,0),
IF(AND(AX57=AX$5,AY$6&gt;=$D$115),1,0),
IF(AND(AY57=AX$5,AY$6&gt;=$D$115),1,0),
IF(AND(AZ57=AX$5,AY$6&gt;=$D$115),1,0),
IF(AX57&amp;BA57=BB$5,1,0),
IF(AY57=AX$5,2,0),
IF(AZ57=AX$5,1,0),
IF(OR(AX57&amp;AY57&amp;AZ57=AX$5&amp;AY$5&amp;AZ$5,AX57&amp;AY57&amp;AZ57=AX$5&amp;AZ$5&amp;AY$5,AX57&amp;AY57&amp;AZ57=AY$5&amp;AX$5&amp;AZ$5,AX57&amp;AY57&amp;AZ57=AY$5&amp;AZ$5&amp;AX$5,AX57&amp;AY57&amp;AZ57=AZ$5&amp;AX$5&amp;AY$5,AX57&amp;AY57&amp;AZ57=AZ$5&amp;AY$5&amp;AX$5),2,0),IF(AND(AX57=AX$5,AY$6&gt;=$D$129),1,0),IF(AND(AY57=AX$5,AY$6&gt;=$D$129),1,0),IF(AND(AZ57=AX$5,AY$6&gt;=$D$129),1,0),IF(AX57&amp;BA57=BA$5,4,0),IF(AND(AX57=AX$5,AY$6&lt;=$D$104),-0.5,0),IF(AND(AY57=AX$5,AY$6&lt;=$D$104),-0.5,0),IF(AND(AZ57=AX$5,AY$6&lt;=$D$104),-0.5,0))</f>
        <v/>
      </c>
      <c r="BC57" s="416" t="n"/>
      <c r="BD57" s="418" t="n"/>
      <c r="BE57" s="418" t="n"/>
      <c r="BF57" s="418" t="n"/>
      <c r="BG57" s="602">
        <f>SUM(IF(BC57=BC$5,4,0),IF(BC57&amp;BD57=BC$5&amp;BD$5,1,0),
IF(AND(BC57=BC$5,BD$6&gt;=$D$115),1,0),
IF(AND(BD57=BC$5,BD$6&gt;=$D$115),1,0),
IF(AND(BE57=BC$5,BD$6&gt;=$D$115),1,0),
IF(BC57&amp;BF57=BG$5,1,0),
IF(BD57=BC$5,2,0),
IF(BE57=BC$5,1,0),
IF(OR(BC57&amp;BD57&amp;BE57=BC$5&amp;BD$5&amp;BE$5,BC57&amp;BD57&amp;BE57=BC$5&amp;BE$5&amp;BD$5,BC57&amp;BD57&amp;BE57=BD$5&amp;BC$5&amp;BE$5,BC57&amp;BD57&amp;BE57=BD$5&amp;BE$5&amp;BC$5,BC57&amp;BD57&amp;BE57=BE$5&amp;BC$5&amp;BD$5,BC57&amp;BD57&amp;BE57=BE$5&amp;BD$5&amp;BC$5),2,0),IF(AND(BC57=BC$5,BD$6&gt;=$D$129),1,0),IF(AND(BD57=BC$5,BD$6&gt;=$D$129),1,0),IF(AND(BE57=BC$5,BD$6&gt;=$D$129),1,0),IF(BC57&amp;BF57=BF$5,4,0),IF(AND(BC57=BC$5,BD$6&lt;=$D$104),-0.5,0),IF(AND(BD57=BC$5,BD$6&lt;=$D$104),-0.5,0),IF(AND(BE57=BC$5,BD$6&lt;=$D$104),-0.5,0))</f>
        <v/>
      </c>
      <c r="BH57" s="416" t="n"/>
      <c r="BI57" s="418" t="n"/>
      <c r="BJ57" s="418" t="n"/>
      <c r="BK57" s="418" t="n"/>
      <c r="BL57" s="602">
        <f>SUM(IF(BH57=BH$5,4,0),IF(BH57&amp;BI57=BH$5&amp;BI$5,1,0),
IF(AND(BH57=BH$5,BI$6&gt;=$D$115),1,0),
IF(AND(BI57=BH$5,BI$6&gt;=$D$115),1,0),
IF(AND(BJ57=BH$5,BI$6&gt;=$D$115),1,0),
IF(BH57&amp;BK57=BL$5,1,0),
IF(BI57=BH$5,2,0),
IF(BJ57=BH$5,1,0),
IF(OR(BH57&amp;BI57&amp;BJ57=BH$5&amp;BI$5&amp;BJ$5,BH57&amp;BI57&amp;BJ57=BH$5&amp;BJ$5&amp;BI$5,BH57&amp;BI57&amp;BJ57=BI$5&amp;BH$5&amp;BJ$5,BH57&amp;BI57&amp;BJ57=BI$5&amp;BJ$5&amp;BH$5,BH57&amp;BI57&amp;BJ57=BJ$5&amp;BH$5&amp;BI$5,BH57&amp;BI57&amp;BJ57=BJ$5&amp;BI$5&amp;BH$5),2,0),IF(AND(BH57=BH$5,BI$6&gt;=$D$129),1,0),IF(AND(BI57=BH$5,BI$6&gt;=$D$129),1,0),IF(AND(BJ57=BH$5,BI$6&gt;=$D$129),1,0),IF(BH57&amp;BK57=BK$5,4,0),IF(AND(BH57=BH$5,BI$6&lt;=$D$104),-0.5,0),IF(AND(BI57=BH$5,BI$6&lt;=$D$104),-0.5,0),IF(AND(BJ57=BH$5,BI$6&lt;=$D$104),-0.5,0))</f>
        <v/>
      </c>
      <c r="BM57" s="416" t="n"/>
      <c r="BN57" s="418" t="n"/>
      <c r="BO57" s="418" t="n"/>
      <c r="BP57" s="418" t="n"/>
      <c r="BQ57" s="602">
        <f>SUM(IF(BM57=BM$5,4,0),IF(BM57&amp;BN57=BM$5&amp;BN$5,1,0),
IF(AND(BM57=BM$5,BN$6&gt;=$D$115),1,0),
IF(AND(BN57=BM$5,BN$6&gt;=$D$115),1,0),
IF(AND(BO57=BM$5,BN$6&gt;=$D$115),1,0),
IF(BM57&amp;BP57=BQ$5,1,0),
IF(BN57=BM$5,2,0),
IF(BO57=BM$5,1,0),
IF(OR(BM57&amp;BN57&amp;BO57=BM$5&amp;BN$5&amp;BO$5,BM57&amp;BN57&amp;BO57=BM$5&amp;BO$5&amp;BN$5,BM57&amp;BN57&amp;BO57=BN$5&amp;BM$5&amp;BO$5,BM57&amp;BN57&amp;BO57=BN$5&amp;BO$5&amp;BM$5,BM57&amp;BN57&amp;BO57=BO$5&amp;BM$5&amp;BN$5,BM57&amp;BN57&amp;BO57=BO$5&amp;BN$5&amp;BM$5),2,0),IF(AND(BM57=BM$5,BN$6&gt;=$D$129),1,0),IF(AND(BN57=BM$5,BN$6&gt;=$D$129),1,0),IF(AND(BO57=BM$5,BN$6&gt;=$D$129),1,0),IF(BM57&amp;BP57=BP$5,4,0),IF(AND(BM57=BM$5,BN$6&lt;=$D$104),-0.5,0),IF(AND(BN57=BM$5,BN$6&lt;=$D$104),-0.5,0),IF(AND(BO57=BM$5,BN$6&lt;=$D$104),-0.5,0))</f>
        <v/>
      </c>
      <c r="BR57" s="416" t="n"/>
      <c r="BS57" s="418" t="n"/>
      <c r="BT57" s="418" t="n"/>
      <c r="BU57" s="418" t="n"/>
      <c r="BV57" s="602">
        <f>SUM(IF(BR57=BR$5,4,0),IF(BR57&amp;BS57=BR$5&amp;BS$5,1,0),
IF(AND(BR57=BR$5,BS$6&gt;=$D$115),1,0),
IF(AND(BS57=BR$5,BS$6&gt;=$D$115),1,0),
IF(AND(BT57=BR$5,BS$6&gt;=$D$115),1,0),
IF(BR57&amp;BU57=BV$5,1,0),
IF(BS57=BR$5,2,0),
IF(BT57=BR$5,1,0),
IF(OR(BR57&amp;BS57&amp;BT57=BR$5&amp;BS$5&amp;BT$5,BR57&amp;BS57&amp;BT57=BR$5&amp;BT$5&amp;BS$5,BR57&amp;BS57&amp;BT57=BS$5&amp;BR$5&amp;BT$5,BR57&amp;BS57&amp;BT57=BS$5&amp;BT$5&amp;BR$5,BR57&amp;BS57&amp;BT57=BT$5&amp;BR$5&amp;BS$5,BR57&amp;BS57&amp;BT57=BT$5&amp;BS$5&amp;BR$5),2,0),IF(AND(BR57=BR$5,BS$6&gt;=$D$129),1,0),IF(AND(BS57=BR$5,BS$6&gt;=$D$129),1,0),IF(AND(BT57=BR$5,BS$6&gt;=$D$129),1,0),IF(BR57&amp;BU57=BU$5,4,0),IF(AND(BR57=BR$5,BS$6&lt;=$D$104),-0.5,0),IF(AND(BS57=BR$5,BS$6&lt;=$D$104),-0.5,0),IF(AND(BT57=BR$5,BS$6&lt;=$D$104),-0.5,0))</f>
        <v/>
      </c>
      <c r="BW57" s="416" t="n"/>
      <c r="BX57" s="418" t="n"/>
      <c r="BY57" s="418" t="n"/>
      <c r="BZ57" s="418" t="n"/>
      <c r="CA57" s="602">
        <f>SUM(IF(BW57=BW$5,4,0),IF(BW57&amp;BX57=BW$5&amp;BX$5,1,0),
IF(AND(BW57=BW$5,BX$6&gt;=$D$115),1,0),
IF(AND(BX57=BW$5,BX$6&gt;=$D$115),1,0),
IF(AND(BY57=BW$5,BX$6&gt;=$D$115),1,0),
IF(BW57&amp;BZ57=CA$5,1,0),
IF(BX57=BW$5,2,0),
IF(BY57=BW$5,1,0),
IF(OR(BW57&amp;BX57&amp;BY57=BW$5&amp;BX$5&amp;BY$5,BW57&amp;BX57&amp;BY57=BW$5&amp;BY$5&amp;BX$5,BW57&amp;BX57&amp;BY57=BX$5&amp;BW$5&amp;BY$5,BW57&amp;BX57&amp;BY57=BX$5&amp;BY$5&amp;BW$5,BW57&amp;BX57&amp;BY57=BY$5&amp;BW$5&amp;BX$5,BW57&amp;BX57&amp;BY57=BY$5&amp;BX$5&amp;BW$5),2,0),IF(AND(BW57=BW$5,BX$6&gt;=$D$129),1,0),IF(AND(BX57=BW$5,BX$6&gt;=$D$129),1,0),IF(AND(BY57=BW$5,BX$6&gt;=$D$129),1,0),IF(BW57&amp;BZ57=BZ$5,4,0),IF(AND(BW57=BW$5,BX$6&lt;=$D$104),-0.5,0),IF(AND(BX57=BW$5,BX$6&lt;=$D$104),-0.5,0),IF(AND(BY57=BW$5,BX$6&lt;=$D$104),-0.5,0))</f>
        <v/>
      </c>
      <c r="CB57" s="416" t="n"/>
      <c r="CC57" s="418" t="n"/>
      <c r="CD57" s="418" t="n"/>
      <c r="CE57" s="418" t="n"/>
      <c r="CF57" s="602">
        <f>SUM(IF(CB57=CB$5,4,0),IF(CB57&amp;CC57=CB$5&amp;CC$5,1,0),
IF(AND(CB57=CB$5,CC$6&gt;=$D$115),1,0),
IF(AND(CC57=CB$5,CC$6&gt;=$D$115),1,0),
IF(AND(CD57=CB$5,CC$6&gt;=$D$115),1,0),
IF(CB57&amp;CE57=CF$5,1,0),
IF(CC57=CB$5,2,0),
IF(CD57=CB$5,1,0),
IF(OR(CB57&amp;CC57&amp;CD57=CB$5&amp;CC$5&amp;CD$5,CB57&amp;CC57&amp;CD57=CB$5&amp;CD$5&amp;CC$5,CB57&amp;CC57&amp;CD57=CC$5&amp;CB$5&amp;CD$5,CB57&amp;CC57&amp;CD57=CC$5&amp;CD$5&amp;CB$5,CB57&amp;CC57&amp;CD57=CD$5&amp;CB$5&amp;CC$5,CB57&amp;CC57&amp;CD57=CD$5&amp;CC$5&amp;CB$5),2,0),IF(AND(CB57=CB$5,CC$6&gt;=$D$129),1,0),IF(AND(CC57=CB$5,CC$6&gt;=$D$129),1,0),IF(AND(CD57=CB$5,CC$6&gt;=$D$129),1,0),IF(CB57&amp;CE57=CE$5,4,0),IF(AND(CB57=CB$5,CC$6&lt;=$D$104),-0.5,0),IF(AND(CC57=CB$5,CC$6&lt;=$D$104),-0.5,0),IF(AND(CD57=CB$5,CC$6&lt;=$D$104),-0.5,0))</f>
        <v/>
      </c>
      <c r="CG57" s="164">
        <f>IF(SEMANA29[[#This Row],[1]]="",0,$B$4)</f>
        <v/>
      </c>
      <c r="CH57" s="165">
        <f>COUNTIF(SEMANA29[[#This Row],[1]],$E$5)+COUNTIF(SEMANA29[[#This Row],[12]],$J$5)+COUNTIF(SEMANA29[[#This Row],[Columna4]],$O$5)+COUNTIF(SEMANA29[[#This Row],[Columna7]],$T$5)+COUNTIF(SEMANA29[[#This Row],[Columna10]],$Y$5)+COUNTIF(SEMANA29[[#This Row],[1RA]],$AD$5)+COUNTIF(SEMANA29[[#This Row],[Columna16]],$AI$5)+COUNTIF(SEMANA29[[#This Row],[123]],$AN$5)+COUNTIF(SEMANA29[[#This Row],[AAAA]],$AS$5)+COUNTIF(SEMANA29[[#This Row],[Columna25]],$AX$5)+COUNTIF(SEMANA29[[#This Row],[Columna272]],$BC$5)+COUNTIF(SEMANA29[[#This Row],[Columna276]],$BH$5)+COUNTIF(SEMANA29[[#This Row],[Columna280]],$BM$5)+COUNTIF(SEMANA29[[#This Row],[Columna2802]],$BR$5)+COUNTIF(SEMANA29[[#This Row],[Columna2803]],$BW$5)+COUNTIF(SEMANA29[[#This Row],[Columna2804]],$CB$5)</f>
        <v/>
      </c>
      <c r="CI57" s="189">
        <f>IF(SEMANA29[[#This Row],[Columna14]]=0,0,(CH57/CG57))</f>
        <v/>
      </c>
      <c r="CJ57" s="165">
        <f>IF(SEMANA29[[#This Row],[1]]="",0,$B$4)</f>
        <v/>
      </c>
      <c r="CK57" s="190">
        <f>COUNTIF(SEMANA29[[#This Row],[1]]:SEMANA29[[#This Row],[2]],$E$5)+COUNTIF(SEMANA29[[#This Row],[12]]:SEMANA29[[#This Row],[Columna2]],$J$5)+COUNTIF(SEMANA29[[#This Row],[Columna4]]:SEMANA29[[#This Row],[Columna5]],$O$5)+COUNTIF(SEMANA29[[#This Row],[Columna7]]:SEMANA29[[#This Row],[Columna8]],$T$5)+COUNTIF(SEMANA29[[#This Row],[Columna10]]:SEMANA29[[#This Row],[Columna11]],$Y$5)+COUNTIF(SEMANA29[[#This Row],[1RA]]:SEMANA29[[#This Row],[2DA]],$AD$5)+COUNTIF(SEMANA29[[#This Row],[Columna16]:[Columna17]],$AI$5)+COUNTIF(SEMANA29[[#This Row],[123]:[555]],$AN$5)+COUNTIF(SEMANA29[[#This Row],[AAAA]]:SEMANA29[[#This Row],[BBBB]],$AS$5)+COUNTIF(SEMANA29[[#This Row],[Columna25]]:SEMANA29[[#This Row],[Columna26]],$AX$5)+COUNTIF(SEMANA29[[#This Row],[Columna272]]:SEMANA29[[#This Row],[Columna273]],$BC$5)+COUNTIF(SEMANA29[[#This Row],[Columna276]]:SEMANA29[[#This Row],[Columna277]],$BH$5)+COUNTIF(SEMANA29[[#This Row],[Columna280]]:SEMANA29[[#This Row],[Columna281]],$BM$5)+COUNTIF(SEMANA29[[#This Row],[Columna2802]]:SEMANA29[[#This Row],[Columna2813]],$BR$5)+COUNTIF(SEMANA29[[#This Row],[Columna2803]:[Columna2814]],$BW$5)+COUNTIF(SEMANA29[[#This Row],[Columna2804]:[Columna2815]],$CB$5)</f>
        <v/>
      </c>
      <c r="CL57" s="189">
        <f>IF(SEMANA29[[#This Row],[Columna14]]=0,0,(CK57/CJ57))</f>
        <v/>
      </c>
      <c r="CM57" s="164">
        <f>IF(SEMANA29[[#This Row],[1]]="",0,$B$4)</f>
        <v/>
      </c>
      <c r="CN57" s="190">
        <f>COUNTIF(SEMANA29[[#This Row],[1]:[22]],$E$5)+COUNTIF(SEMANA29[[#This Row],[12]:[Columna23]],$J$5)+COUNTIF(SEMANA29[[#This Row],[Columna4]:[Columna53]],$O$5)+COUNTIF(SEMANA29[[#This Row],[Columna7]:[Columna83]],$T$5)+COUNTIF(SEMANA29[[#This Row],[Columna10]:[Columna113]],$Y$5)+COUNTIF(SEMANA29[[#This Row],[1RA]:[2DA2]],$AD$5)+COUNTIF(SEMANA29[[#This Row],[Columna16]:[Columna173]],$AI$5)+COUNTIF(SEMANA29[[#This Row],[123]:[556]],$AN$5)+COUNTIF(SEMANA29[[#This Row],[AAAA]:[Columna13]],$AS$5)+COUNTIF(SEMANA29[[#This Row],[Columna25]:[Columna263]],$AX$5)+COUNTIF(SEMANA29[[#This Row],[Columna272]:[Columna2732]],$BC$5)+COUNTIF(SEMANA29[[#This Row],[Columna276]:[Columna2772]],$BH$5)+COUNTIF(SEMANA29[[#This Row],[Columna280]:[Columna2812]],$BM$5)+COUNTIF(SEMANA29[[#This Row],[Columna2802]:[Columna28124]],$BR$5)+COUNTIF(SEMANA29[[#This Row],[Columna2803]:[Columna28125]],$BW$5)+COUNTIF(SEMANA29[[#This Row],[Columna2804]:[Columna28126]],$CB$5)</f>
        <v/>
      </c>
      <c r="CO57" s="189">
        <f>IF(SEMANA29[[#This Row],[Columna14]]=0,0,(CN57/CM57))</f>
        <v/>
      </c>
      <c r="CP57" s="165">
        <f>SUM(
  (AND(OR(SEMANA29[[#This Row],[3]]="F", SEMANA29[[#This Row],[3]]="SF"), F$6&lt;&gt;"")),
  (AND(OR(SEMANA29[[#This Row],[Columna28]]="F", SEMANA29[[#This Row],[Columna28]]="SF"), K$6&lt;&gt;"")),
  (AND(OR(SEMANA29[[#This Row],[Columna52]]="F", SEMANA29[[#This Row],[Columna52]]="SF"), P$6&lt;&gt;"")),
  (AND(OR(SEMANA29[[#This Row],[Columna82]]="F", SEMANA29[[#This Row],[Columna82]]="SF"), U$6&lt;&gt;"")),
  (AND(OR(SEMANA29[[#This Row],[Columna112]]="F", SEMANA29[[#This Row],[Columna112]]="SF"), Z$6&lt;&gt;"")),
  (AND(OR(SEMANA29[[#This Row],[3RA]]="F", SEMANA29[[#This Row],[3RA]]="SF"), AE$6&lt;&gt;"")),
  (AND(OR(SEMANA29[[#This Row],[Columna172]]="F",SEMANA29[[#This Row],[Columna172]]="SF"), AJ$6&lt;&gt;"")),
  (AND(OR(SEMANA29[[#This Row],[111]]="F", SEMANA29[[#This Row],[111]]="SF"), AO$6&lt;&gt;"")),
  (AND(OR(SEMANA29[[#This Row],[CCCC]]="F", SEMANA29[[#This Row],[CCCC]]="SF"), AT$6&lt;&gt;"")),
  (AND(OR(SEMANA29[[#This Row],[Columna262]]="F",SEMANA29[[#This Row],[Columna262]]="SF"), AY$6&lt;&gt;"")),
  (AND(OR(SEMANA29[[#This Row],[Columna274]]="F", SEMANA29[[#This Row],[Columna274]]="SF"), BD$6&lt;&gt;"")), (AND(OR(SEMANA29[[#This Row],[Columna278]]="F", SEMANA29[[#This Row],[Columna278]]="SF"), BI$6&lt;&gt;"")),
  (AND(OR(SEMANA29[[#This Row],[Columna282]]="F", SEMANA29[[#This Row],[Columna282]]="SF"), BN$6&lt;&gt;"")),
  (AND(OR(SEMANA29[[#This Row],[Columna2825]]="F", SEMANA29[[#This Row],[Columna2825]]="SF"), BS$6&lt;&gt;"")),
  (AND(OR(SEMANA29[[#This Row],[Columna2826]]="F", SEMANA29[[#This Row],[Columna2826]]="SF"), BX$6&lt;&gt;"")),
  (AND(OR(SEMANA29[[#This Row],[Columna2827]]="F", SEMANA29[[#This Row],[Columna2827]]="SF"), CC$6&lt;&gt;""))
)</f>
        <v/>
      </c>
      <c r="CQ57" s="190">
        <f>COUNTIFS(SEMANA29[[#This Row],[1]],$E$5,SEMANA29[[#This Row],[3]],"F")+COUNTIFS(SEMANA29[[#This Row],[12]],$J$5,SEMANA29[[#This Row],[Columna28]],"F")+COUNTIFS(SEMANA29[[#This Row],[Columna4]],$O$5,SEMANA29[[#This Row],[Columna52]],"F")+COUNTIFS(SEMANA29[[#This Row],[Columna7]],$T$5,SEMANA29[[#This Row],[Columna82]],"F")+COUNTIFS(SEMANA29[[#This Row],[Columna10]],$Y$5,SEMANA29[[#This Row],[Columna112]],"F")+COUNTIFS(SEMANA29[[#This Row],[1RA]],$AD$5,SEMANA29[[#This Row],[3RA]],"F")+COUNTIFS(SEMANA29[[#This Row],[Columna16]],$AI$5,SEMANA29[[#This Row],[Columna172]],"F")+COUNTIFS(SEMANA29[[#This Row],[123]],$AN$5,SEMANA29[[#This Row],[111]],"F")+COUNTIFS(SEMANA29[[#This Row],[AAAA]],$AS$5,SEMANA29[[#This Row],[CCCC]],"F")+COUNTIFS(SEMANA29[[#This Row],[Columna25]],$AX$5,SEMANA29[[#This Row],[Columna262]],"F")+COUNTIFS(SEMANA29[[#This Row],[Columna272]],$BC$5,SEMANA29[[#This Row],[Columna274]],"F")+COUNTIFS(SEMANA29[[#This Row],[Columna276]],$BH$5,SEMANA29[[#This Row],[Columna278]],"F")+COUNTIFS(SEMANA29[[#This Row],[Columna280]],$BM$5,SEMANA29[[#This Row],[Columna282]],"F")+COUNTIFS(SEMANA29[[#This Row],[1]],$E$5,SEMANA29[[#This Row],[3]],"SF")+COUNTIFS(SEMANA29[[#This Row],[12]],$J$5,SEMANA29[[#This Row],[Columna28]],"SF")+COUNTIFS(SEMANA29[[#This Row],[Columna4]],$O$5,SEMANA29[[#This Row],[Columna52]],"SF")+COUNTIFS(SEMANA29[[#This Row],[Columna7]],$T$5,SEMANA29[[#This Row],[Columna82]],"SF")+COUNTIFS(SEMANA29[[#This Row],[Columna10]],$Y$5,SEMANA29[[#This Row],[Columna112]],"SF")+COUNTIFS(SEMANA29[[#This Row],[1RA]],$AD$5,SEMANA29[[#This Row],[3RA]],"SF")+COUNTIFS(SEMANA29[[#This Row],[Columna16]],$AI$5,SEMANA29[[#This Row],[Columna172]],"SF")+COUNTIFS(SEMANA29[[#This Row],[123]],$AN$5,SEMANA29[[#This Row],[111]],"SF")+COUNTIFS(SEMANA29[[#This Row],[AAAA]],$AS$5,SEMANA29[[#This Row],[CCCC]],"SF")+COUNTIFS(SEMANA29[[#This Row],[Columna25]],$AX$5,BA57,"SF")+COUNTIFS(SEMANA29[[#This Row],[Columna272]],$BC$5,SEMANA29[[#This Row],[Columna274]],"SF")+COUNTIFS(SEMANA29[[#This Row],[Columna276]],$BH$5,SEMANA29[[#This Row],[Columna278]],"SF")+COUNTIFS(SEMANA29[[#This Row],[Columna280]],$BM$5,SEMANA29[[#This Row],[Columna282]],"SF")</f>
        <v/>
      </c>
      <c r="CR57" s="189">
        <f>IFERROR(IF(SEMANA29[[#This Row],[Columna14]]=0,0,(CQ57/CP57)),0)</f>
        <v/>
      </c>
      <c r="CS57" s="607">
        <f>SUM(SEMANA29[[#This Row],[PTS]],SEMANA29[[#This Row],[Columna3]],SEMANA29[[#This Row],[Columna6]],SEMANA29[[#This Row],[Columna9]],SEMANA29[[#This Row],[Columna12]],SEMANA29[[#This Row],[Columna15]],SEMANA29[[#This Row],[Columna18]],SEMANA29[[#This Row],[Columna21]],SEMANA29[[#This Row],[Columna24]],SEMANA29[[#This Row],[Columna27]],SEMANA29[[#This Row],[Columna275]],SEMANA29[[#This Row],[Columna279]],SEMANA29[[#This Row],[Columna283]],SEMANA29[[#This Row],[Columna28310]],SEMANA29[[#This Row],[Columna2837]],SEMANA29[[#This Row],[Columna2838]])</f>
        <v/>
      </c>
      <c r="CT57" s="95">
        <f>_xlfn.XLOOKUP(SEMANA29[[#This Row],[COD]],SEMANA2[COD],SEMANA2[Columna33])</f>
        <v/>
      </c>
      <c r="CU57" s="604">
        <f>SUM(CS57,CT57)</f>
        <v/>
      </c>
      <c r="CV57" s="450">
        <f>IF(SEMANA29[[#This Row],[TIPO]]="PREMIO",$O$3,"0,00")</f>
        <v/>
      </c>
      <c r="CW57" s="576" t="n"/>
      <c r="CY57" s="392">
        <f>IF(CZ57="","",$CZ$25)</f>
        <v/>
      </c>
      <c r="CZ57" s="392" t="n"/>
      <c r="DA57" s="392">
        <f t="array" ref="DA57">IF(CZ57="", "", IF((INDEX(E$8:CE$57, MATCH(CZ57, C$8:C$57, 0), ($CZ$25-1)*5 + 1) &amp; "") = (INDEX(E$5:CE$5, 1, ($CZ$25-1)*5 + 1) &amp; ""), 1, IF((INDEX(E$8:CE$57, MATCH(CZ57, C$8:C$57, 0), ($CZ$25-1)*5 + 2) &amp; "") = (INDEX(E$5:CE$5, 1, ($CZ$25-1)*5 + 1) &amp; ""), 2, IF((INDEX(E$8:CE$57, MATCH(CZ57, C$8:C$57, 0), ($CZ$25-1)*5 + 3) &amp; "") = (INDEX(E$5:CE$5, 1, ($CZ$25-1)*5 + 1) &amp; ""), 3, ""))))</f>
        <v/>
      </c>
      <c r="DB57" s="605">
        <f>SEMANA29[[#This Row],[COD]]</f>
        <v/>
      </c>
      <c r="DC57" s="395">
        <f t="array" ref="DC57">IFERROR(IF(AND(INDEX($E$8:$CE$57, MATCH($C57, $C$8:$C$57, 0), (COLUMNS($DC57:DC57)-1)*5 + 1) = INDEX($E$5:$CE$5, 1, (COLUMNS($DC57:DC57)-1)*5 + 1), INDEX($E$8:$CE$57, MATCH($C57, $C$8:$C$57, 0), (COLUMNS($DC57:DC57)-1)*5 + 4) = "F"), INDEX($CZ$8:$CZ$23, COLUMNS($DC57:DC57)), "0"), "")</f>
        <v/>
      </c>
      <c r="DD57" s="395">
        <f t="array" ref="DD57">IFERROR(IF(AND(INDEX($E$8:$CE$57, MATCH($C57, $C$8:$C$57, 0), (COLUMNS($DC57:DD57)-1)*5 + 1) = INDEX($E$5:$CE$5, 1, (COLUMNS($DC57:DD57)-1)*5 + 1), INDEX($E$8:$CE$57, MATCH($C57, $C$8:$C$57, 0), (COLUMNS($DC57:DD57)-1)*5 + 4) = "F"), INDEX($CZ$8:$CZ$23, COLUMNS($DC57:DD57)), "0"), "")</f>
        <v/>
      </c>
      <c r="DE57" s="395">
        <f t="array" ref="DE57">IFERROR(IF(AND(INDEX($E$8:$CE$57, MATCH($C57, $C$8:$C$57, 0), (COLUMNS($DC57:DE57)-1)*5 + 1) = INDEX($E$5:$CE$5, 1, (COLUMNS($DC57:DE57)-1)*5 + 1), INDEX($E$8:$CE$57, MATCH($C57, $C$8:$C$57, 0), (COLUMNS($DC57:DE57)-1)*5 + 4) = "F"), INDEX($CZ$8:$CZ$23, COLUMNS($DC57:DE57)), "0"), "")</f>
        <v/>
      </c>
      <c r="DF57" s="395">
        <f t="array" ref="DF57">IFERROR(IF(AND(INDEX($E$8:$CE$57, MATCH($C57, $C$8:$C$57, 0), (COLUMNS($DC57:DF57)-1)*5 + 1) = INDEX($E$5:$CE$5, 1, (COLUMNS($DC57:DF57)-1)*5 + 1), INDEX($E$8:$CE$57, MATCH($C57, $C$8:$C$57, 0), (COLUMNS($DC57:DF57)-1)*5 + 4) = "F"), INDEX($CZ$8:$CZ$23, COLUMNS($DC57:DF57)), "0"), "")</f>
        <v/>
      </c>
      <c r="DG57" s="395">
        <f t="array" ref="DG57">IFERROR(IF(AND(INDEX($E$8:$CE$57, MATCH($C57, $C$8:$C$57, 0), (COLUMNS($DC57:DG57)-1)*5 + 1) = INDEX($E$5:$CE$5, 1, (COLUMNS($DC57:DG57)-1)*5 + 1), INDEX($E$8:$CE$57, MATCH($C57, $C$8:$C$57, 0), (COLUMNS($DC57:DG57)-1)*5 + 4) = "F"), INDEX($CZ$8:$CZ$23, COLUMNS($DC57:DG57)), "0"), "")</f>
        <v/>
      </c>
      <c r="DH57" s="395">
        <f t="array" ref="DH57">IFERROR(IF(AND(INDEX($E$8:$CE$57, MATCH($C57, $C$8:$C$57, 0), (COLUMNS($DC57:DH57)-1)*5 + 1) = INDEX($E$5:$CE$5, 1, (COLUMNS($DC57:DH57)-1)*5 + 1), INDEX($E$8:$CE$57, MATCH($C57, $C$8:$C$57, 0), (COLUMNS($DC57:DH57)-1)*5 + 4) = "F"), INDEX($CZ$8:$CZ$23, COLUMNS($DC57:DH57)), "0"), "")</f>
        <v/>
      </c>
      <c r="DI57" s="395">
        <f t="array" ref="DI57">IFERROR(IF(AND(INDEX($E$8:$CE$57, MATCH($C57, $C$8:$C$57, 0), (COLUMNS($DC57:DI57)-1)*5 + 1) = INDEX($E$5:$CE$5, 1, (COLUMNS($DC57:DI57)-1)*5 + 1), INDEX($E$8:$CE$57, MATCH($C57, $C$8:$C$57, 0), (COLUMNS($DC57:DI57)-1)*5 + 4) = "F"), INDEX($CZ$8:$CZ$23, COLUMNS($DC57:DI57)), "0"), "")</f>
        <v/>
      </c>
      <c r="DJ57" s="395">
        <f t="array" ref="DJ57">IFERROR(IF(AND(INDEX($E$8:$CE$57, MATCH($C57, $C$8:$C$57, 0), (COLUMNS($DC57:DJ57)-1)*5 + 1) = INDEX($E$5:$CE$5, 1, (COLUMNS($DC57:DJ57)-1)*5 + 1), INDEX($E$8:$CE$57, MATCH($C57, $C$8:$C$57, 0), (COLUMNS($DC57:DJ57)-1)*5 + 4) = "F"), INDEX($CZ$8:$CZ$23, COLUMNS($DC57:DJ57)), "0"), "")</f>
        <v/>
      </c>
      <c r="DK57" s="395">
        <f t="array" ref="DK57">IFERROR(IF(AND(INDEX($E$8:$CE$57, MATCH($C57, $C$8:$C$57, 0), (COLUMNS($DC57:DK57)-1)*5 + 1) = INDEX($E$5:$CE$5, 1, (COLUMNS($DC57:DK57)-1)*5 + 1), INDEX($E$8:$CE$57, MATCH($C57, $C$8:$C$57, 0), (COLUMNS($DC57:DK57)-1)*5 + 4) = "F"), INDEX($CZ$8:$CZ$23, COLUMNS($DC57:DK57)), "0"), "")</f>
        <v/>
      </c>
      <c r="DL57" s="395">
        <f t="array" ref="DL57">IFERROR(IF(AND(INDEX($E$8:$CE$57, MATCH($C57, $C$8:$C$57, 0), (COLUMNS($DC57:DL57)-1)*5 + 1) = INDEX($E$5:$CE$5, 1, (COLUMNS($DC57:DL57)-1)*5 + 1), INDEX($E$8:$CE$57, MATCH($C57, $C$8:$C$57, 0), (COLUMNS($DC57:DL57)-1)*5 + 4) = "F"), INDEX($CZ$8:$CZ$23, COLUMNS($DC57:DL57)), "0"), "")</f>
        <v/>
      </c>
      <c r="DM57" s="395">
        <f t="array" ref="DM57">IFERROR(IF(AND(INDEX($E$8:$CE$57, MATCH($C57, $C$8:$C$57, 0), (COLUMNS($DC57:DM57)-1)*5 + 1) = INDEX($E$5:$CE$5, 1, (COLUMNS($DC57:DM57)-1)*5 + 1), INDEX($E$8:$CE$57, MATCH($C57, $C$8:$C$57, 0), (COLUMNS($DC57:DM57)-1)*5 + 4) = "F"), INDEX($CZ$8:$CZ$23, COLUMNS($DC57:DM57)), "0"), "")</f>
        <v/>
      </c>
      <c r="DN57" s="395">
        <f t="array" ref="DN57">IFERROR(IF(AND(INDEX($E$8:$CE$57, MATCH($C57, $C$8:$C$57, 0), (COLUMNS($DC57:DN57)-1)*5 + 1) = INDEX($E$5:$CE$5, 1, (COLUMNS($DC57:DN57)-1)*5 + 1), INDEX($E$8:$CE$57, MATCH($C57, $C$8:$C$57, 0), (COLUMNS($DC57:DN57)-1)*5 + 4) = "F"), INDEX($CZ$8:$CZ$23, COLUMNS($DC57:DN57)), "0"), "")</f>
        <v/>
      </c>
      <c r="DO57" s="395">
        <f t="array" ref="DO57">IFERROR(IF(AND(INDEX($E$8:$CE$57, MATCH($C57, $C$8:$C$57, 0), (COLUMNS($DC57:DO57)-1)*5 + 1) = INDEX($E$5:$CE$5, 1, (COLUMNS($DC57:DO57)-1)*5 + 1), INDEX($E$8:$CE$57, MATCH($C57, $C$8:$C$57, 0), (COLUMNS($DC57:DO57)-1)*5 + 4) = "F"), INDEX($CZ$8:$CZ$23, COLUMNS($DC57:DO57)), "0"), "")</f>
        <v/>
      </c>
      <c r="DP57" s="395">
        <f t="array" ref="DP57">IFERROR(IF(AND(INDEX($E$8:$CE$57, MATCH($C57, $C$8:$C$57, 0), (COLUMNS($DC57:DP57)-1)*5 + 1) = INDEX($E$5:$CE$5, 1, (COLUMNS($DC57:DP57)-1)*5 + 1), INDEX($E$8:$CE$57, MATCH($C57, $C$8:$C$57, 0), (COLUMNS($DC57:DP57)-1)*5 + 4) = "F"), INDEX($CZ$8:$CZ$23, COLUMNS($DC57:DP57)), "0"), "")</f>
        <v/>
      </c>
      <c r="DQ57" s="395">
        <f t="array" ref="DQ57">IFERROR(IF(AND(INDEX($E$8:$CE$57, MATCH($C57, $C$8:$C$57, 0), (COLUMNS($DC57:DQ57)-1)*5 + 1) = INDEX($E$5:$CE$5, 1, (COLUMNS($DC57:DQ57)-1)*5 + 1), INDEX($E$8:$CE$57, MATCH($C57, $C$8:$C$57, 0), (COLUMNS($DC57:DQ57)-1)*5 + 4) = "F"), INDEX($CZ$8:$CZ$23, COLUMNS($DC57:DQ57)), "0"), "")</f>
        <v/>
      </c>
      <c r="DR57" s="395">
        <f t="array" ref="DR57">IFERROR(IF(AND(INDEX($E$8:$CE$57, MATCH($C57, $C$8:$C$57, 0), (COLUMNS($DC57:DR57)-1)*5 + 1) = INDEX($E$5:$CE$5, 1, (COLUMNS($DC57:DR57)-1)*5 + 1), INDEX($E$8:$CE$57, MATCH($C57, $C$8:$C$57, 0), (COLUMNS($DC57:DR57)-1)*5 + 4) = "F"), INDEX($CZ$8:$CZ$23, COLUMNS($DC57:DR57)), "0"), "")</f>
        <v/>
      </c>
      <c r="DT57" s="605">
        <f>SEMANA29[[#This Row],[COD]]</f>
        <v/>
      </c>
      <c r="DU57" s="395">
        <f t="array" ref="DU57">IFERROR(IF(AND(INDEX($E$8:$CE$57, MATCH($C57, $C$8:$C$57, 0), (COLUMNS($DU57:DU57)-1)*5 + 1) = INDEX($E$5:$CE$5, 1, (COLUMNS($DU57:DU57)-1)*5 + 1), INDEX($E$8:$CE$57, MATCH($C57, $C$8:$C$57, 0), (COLUMNS($DU57:DU57)-1)*5 + 4) = "SF"), INDEX($CZ$8:$CZ$23, COLUMNS($DU57:DU57)), "0"), "")</f>
        <v/>
      </c>
      <c r="DV57" s="395">
        <f t="array" ref="DV57">IFERROR(IF(AND(INDEX($E$8:$CE$57, MATCH($C57, $C$8:$C$57, 0), (COLUMNS($DU57:DV57)-1)*5 + 1) = INDEX($E$5:$CE$5, 1, (COLUMNS($DU57:DV57)-1)*5 + 1), INDEX($E$8:$CE$57, MATCH($C57, $C$8:$C$57, 0), (COLUMNS($DU57:DV57)-1)*5 + 4) = "SF"), INDEX($CZ$8:$CZ$23, COLUMNS($DU57:DV57)), "0"), "")</f>
        <v/>
      </c>
      <c r="DW57" s="395">
        <f t="array" ref="DW57">IFERROR(IF(AND(INDEX($E$8:$CE$57, MATCH($C57, $C$8:$C$57, 0), (COLUMNS($DU57:DW57)-1)*5 + 1) = INDEX($E$5:$CE$5, 1, (COLUMNS($DU57:DW57)-1)*5 + 1), INDEX($E$8:$CE$57, MATCH($C57, $C$8:$C$57, 0), (COLUMNS($DU57:DW57)-1)*5 + 4) = "SF"), INDEX($CZ$8:$CZ$23, COLUMNS($DU57:DW57)), "0"), "")</f>
        <v/>
      </c>
      <c r="DX57" s="395">
        <f t="array" ref="DX57">IFERROR(IF(AND(INDEX($E$8:$CE$57, MATCH($C57, $C$8:$C$57, 0), (COLUMNS($DU57:DX57)-1)*5 + 1) = INDEX($E$5:$CE$5, 1, (COLUMNS($DU57:DX57)-1)*5 + 1), INDEX($E$8:$CE$57, MATCH($C57, $C$8:$C$57, 0), (COLUMNS($DU57:DX57)-1)*5 + 4) = "SF"), INDEX($CZ$8:$CZ$23, COLUMNS($DU57:DX57)), "0"), "")</f>
        <v/>
      </c>
      <c r="DY57" s="395">
        <f t="array" ref="DY57">IFERROR(IF(AND(INDEX($E$8:$CE$57, MATCH($C57, $C$8:$C$57, 0), (COLUMNS($DU57:DY57)-1)*5 + 1) = INDEX($E$5:$CE$5, 1, (COLUMNS($DU57:DY57)-1)*5 + 1), INDEX($E$8:$CE$57, MATCH($C57, $C$8:$C$57, 0), (COLUMNS($DU57:DY57)-1)*5 + 4) = "SF"), INDEX($CZ$8:$CZ$23, COLUMNS($DU57:DY57)), "0"), "")</f>
        <v/>
      </c>
      <c r="DZ57" s="395">
        <f t="array" ref="DZ57">IFERROR(IF(AND(INDEX($E$8:$CE$57, MATCH($C57, $C$8:$C$57, 0), (COLUMNS($DU57:DZ57)-1)*5 + 1) = INDEX($E$5:$CE$5, 1, (COLUMNS($DU57:DZ57)-1)*5 + 1), INDEX($E$8:$CE$57, MATCH($C57, $C$8:$C$57, 0), (COLUMNS($DU57:DZ57)-1)*5 + 4) = "SF"), INDEX($CZ$8:$CZ$23, COLUMNS($DU57:DZ57)), "0"), "")</f>
        <v/>
      </c>
      <c r="EA57" s="395">
        <f t="array" ref="EA57">IFERROR(IF(AND(INDEX($E$8:$CE$57, MATCH($C57, $C$8:$C$57, 0), (COLUMNS($DU57:EA57)-1)*5 + 1) = INDEX($E$5:$CE$5, 1, (COLUMNS($DU57:EA57)-1)*5 + 1), INDEX($E$8:$CE$57, MATCH($C57, $C$8:$C$57, 0), (COLUMNS($DU57:EA57)-1)*5 + 4) = "SF"), INDEX($CZ$8:$CZ$23, COLUMNS($DU57:EA57)), "0"), "")</f>
        <v/>
      </c>
      <c r="EB57" s="395">
        <f t="array" ref="EB57">IFERROR(IF(AND(INDEX($E$8:$CE$57, MATCH($C57, $C$8:$C$57, 0), (COLUMNS($DU57:EB57)-1)*5 + 1) = INDEX($E$5:$CE$5, 1, (COLUMNS($DU57:EB57)-1)*5 + 1), INDEX($E$8:$CE$57, MATCH($C57, $C$8:$C$57, 0), (COLUMNS($DU57:EB57)-1)*5 + 4) = "SF"), INDEX($CZ$8:$CZ$23, COLUMNS($DU57:EB57)), "0"), "")</f>
        <v/>
      </c>
      <c r="EC57" s="395">
        <f t="array" ref="EC57">IFERROR(IF(AND(INDEX($E$8:$CE$57, MATCH($C57, $C$8:$C$57, 0), (COLUMNS($DU57:EC57)-1)*5 + 1) = INDEX($E$5:$CE$5, 1, (COLUMNS($DU57:EC57)-1)*5 + 1), INDEX($E$8:$CE$57, MATCH($C57, $C$8:$C$57, 0), (COLUMNS($DU57:EC57)-1)*5 + 4) = "SF"), INDEX($CZ$8:$CZ$23, COLUMNS($DU57:EC57)), "0"), "")</f>
        <v/>
      </c>
      <c r="ED57" s="395">
        <f t="array" ref="ED57">IFERROR(IF(AND(INDEX($E$8:$CE$57, MATCH($C57, $C$8:$C$57, 0), (COLUMNS($DU57:ED57)-1)*5 + 1) = INDEX($E$5:$CE$5, 1, (COLUMNS($DU57:ED57)-1)*5 + 1), INDEX($E$8:$CE$57, MATCH($C57, $C$8:$C$57, 0), (COLUMNS($DU57:ED57)-1)*5 + 4) = "SF"), INDEX($CZ$8:$CZ$23, COLUMNS($DU57:ED57)), "0"), "")</f>
        <v/>
      </c>
      <c r="EE57" s="395">
        <f t="array" ref="EE57">IFERROR(IF(AND(INDEX($E$8:$CE$57, MATCH($C57, $C$8:$C$57, 0), (COLUMNS($DU57:EE57)-1)*5 + 1) = INDEX($E$5:$CE$5, 1, (COLUMNS($DU57:EE57)-1)*5 + 1), INDEX($E$8:$CE$57, MATCH($C57, $C$8:$C$57, 0), (COLUMNS($DU57:EE57)-1)*5 + 4) = "SF"), INDEX($CZ$8:$CZ$23, COLUMNS($DU57:EE57)), "0"), "")</f>
        <v/>
      </c>
      <c r="EF57" s="395">
        <f t="array" ref="EF57">IFERROR(IF(AND(INDEX($E$8:$CE$57, MATCH($C57, $C$8:$C$57, 0), (COLUMNS($DU57:EF57)-1)*5 + 1) = INDEX($E$5:$CE$5, 1, (COLUMNS($DU57:EF57)-1)*5 + 1), INDEX($E$8:$CE$57, MATCH($C57, $C$8:$C$57, 0), (COLUMNS($DU57:EF57)-1)*5 + 4) = "SF"), INDEX($CZ$8:$CZ$23, COLUMNS($DU57:EF57)), "0"), "")</f>
        <v/>
      </c>
      <c r="EG57" s="395">
        <f t="array" ref="EG57">IFERROR(IF(AND(INDEX($E$8:$CE$57, MATCH($C57, $C$8:$C$57, 0), (COLUMNS($DU57:EG57)-1)*5 + 1) = INDEX($E$5:$CE$5, 1, (COLUMNS($DU57:EG57)-1)*5 + 1), INDEX($E$8:$CE$57, MATCH($C57, $C$8:$C$57, 0), (COLUMNS($DU57:EG57)-1)*5 + 4) = "SF"), INDEX($CZ$8:$CZ$23, COLUMNS($DU57:EG57)), "0"), "")</f>
        <v/>
      </c>
      <c r="EH57" s="395">
        <f t="array" ref="EH57">IFERROR(IF(AND(INDEX($E$8:$CE$57, MATCH($C57, $C$8:$C$57, 0), (COLUMNS($DU57:EH57)-1)*5 + 1) = INDEX($E$5:$CE$5, 1, (COLUMNS($DU57:EH57)-1)*5 + 1), INDEX($E$8:$CE$57, MATCH($C57, $C$8:$C$57, 0), (COLUMNS($DU57:EH57)-1)*5 + 4) = "SF"), INDEX($CZ$8:$CZ$23, COLUMNS($DU57:EH57)), "0"), "")</f>
        <v/>
      </c>
      <c r="EI57" s="395">
        <f t="array" ref="EI57">IFERROR(IF(AND(INDEX($E$8:$CE$57, MATCH($C57, $C$8:$C$57, 0), (COLUMNS($DU57:EI57)-1)*5 + 1) = INDEX($E$5:$CE$5, 1, (COLUMNS($DU57:EI57)-1)*5 + 1), INDEX($E$8:$CE$57, MATCH($C57, $C$8:$C$57, 0), (COLUMNS($DU57:EI57)-1)*5 + 4) = "SF"), INDEX($CZ$8:$CZ$23, COLUMNS($DU57:EI57)), "0"), "")</f>
        <v/>
      </c>
      <c r="EJ57" s="395">
        <f t="array" ref="EJ57">IFERROR(IF(AND(INDEX($E$8:$CE$57, MATCH($C57, $C$8:$C$57, 0), (COLUMNS($DU57:EJ57)-1)*5 + 1) = INDEX($E$5:$CE$5, 1, (COLUMNS($DU57:EJ57)-1)*5 + 1), INDEX($E$8:$CE$57, MATCH($C57, $C$8:$C$57, 0), (COLUMNS($DU57:EJ57)-1)*5 + 4) = "SF"), INDEX($CZ$8:$CZ$23, COLUMNS($DU57:EJ57)), "0"), "")</f>
        <v/>
      </c>
    </row>
    <row r="58" ht="20.1" customHeight="1" s="568" thickBot="1">
      <c r="A58" s="576" t="n"/>
      <c r="B58" s="451" t="inlineStr">
        <is>
          <t>* PRIMERA MARCA GANADORA</t>
        </is>
      </c>
      <c r="C58" s="452" t="n"/>
      <c r="D58" s="452" t="n"/>
      <c r="E58" s="452" t="n"/>
      <c r="F58" s="452" t="n"/>
      <c r="G58" s="452" t="n"/>
      <c r="H58" s="452" t="n"/>
      <c r="I58" s="452">
        <f>"4 PUNTOS (DIV IGUAL O MENOR A 1/2 "&amp;$D$104&amp;" BS. RESTA 0,5 PUNTOS)"</f>
        <v/>
      </c>
      <c r="J58" s="452" t="n"/>
      <c r="K58" s="4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>
        <f>"*DIVIDENDO MAYOR O IGUAL A 4/1 ("&amp;$D$115&amp;" Bs.) "</f>
        <v/>
      </c>
      <c r="V58" s="452" t="n"/>
      <c r="W58" s="452" t="n"/>
      <c r="X58" s="452" t="n"/>
      <c r="Y58" s="452" t="n"/>
      <c r="Z58" s="452" t="n"/>
      <c r="AA58" s="452" t="n"/>
      <c r="AB58" s="452" t="n"/>
      <c r="AC58" s="452" t="n"/>
      <c r="AD58" s="452" t="n"/>
      <c r="AE58" s="452" t="inlineStr">
        <is>
          <t>1 PUNTO ADICIONAL</t>
        </is>
      </c>
      <c r="AF58" s="452" t="n"/>
      <c r="AG58" s="452" t="n"/>
      <c r="AH58" s="452" t="n"/>
      <c r="AI58" s="452" t="n"/>
      <c r="AJ58" s="452" t="n"/>
      <c r="AK58" s="452" t="n"/>
      <c r="AL58" s="452" t="n"/>
      <c r="AM58" s="452" t="inlineStr">
        <is>
          <t xml:space="preserve">*SUPER FIJO ACERTADO </t>
        </is>
      </c>
      <c r="AN58" s="452" t="n"/>
      <c r="AO58" s="452" t="n"/>
      <c r="AP58" s="452" t="n"/>
      <c r="AQ58" s="452" t="n"/>
      <c r="AR58" s="452" t="n"/>
      <c r="AS58" s="452" t="n"/>
      <c r="AT58" s="452" t="inlineStr">
        <is>
          <t>4 PUNTOS ADICIONALES</t>
        </is>
      </c>
      <c r="AU58" s="452" t="n"/>
      <c r="AV58" s="452" t="n"/>
      <c r="AW58" s="452" t="n"/>
      <c r="AX58" s="453" t="n"/>
      <c r="AY58" s="453" t="n"/>
      <c r="AZ58" s="453" t="n"/>
      <c r="BA58" s="453" t="n"/>
      <c r="BB58" s="453" t="n"/>
      <c r="BC58" s="453" t="n"/>
      <c r="BD58" s="453" t="n"/>
      <c r="BE58" s="452" t="n"/>
      <c r="BF58" s="453" t="n"/>
      <c r="BG58" s="454" t="n"/>
      <c r="BH58" s="453" t="n"/>
      <c r="BI58" s="453" t="n"/>
      <c r="BJ58" s="453" t="n"/>
      <c r="BK58" s="453" t="n"/>
      <c r="BL58" s="454" t="n"/>
      <c r="BM58" s="453" t="n"/>
      <c r="BN58" s="453" t="n"/>
      <c r="BO58" s="454" t="n"/>
      <c r="BP58" s="453" t="n"/>
      <c r="BQ58" s="453" t="n"/>
      <c r="BR58" s="453" t="n"/>
      <c r="BS58" s="453" t="n"/>
      <c r="BT58" s="454" t="n"/>
      <c r="BU58" s="453" t="n"/>
      <c r="BV58" s="453" t="n"/>
      <c r="BW58" s="453" t="n"/>
      <c r="BX58" s="453" t="n"/>
      <c r="BY58" s="454" t="n"/>
      <c r="BZ58" s="453" t="n"/>
      <c r="CA58" s="453" t="n"/>
      <c r="CB58" s="453" t="n"/>
      <c r="CC58" s="453" t="n"/>
      <c r="CD58" s="454" t="n"/>
      <c r="CE58" s="453" t="n"/>
      <c r="CF58" s="453" t="n"/>
      <c r="CG58" s="453" t="n"/>
      <c r="CH58" s="453" t="n"/>
      <c r="CI58" s="191" t="n"/>
      <c r="CJ58" s="192" t="n"/>
      <c r="CK58" s="192" t="n"/>
      <c r="CL58" s="192" t="n"/>
      <c r="CM58" s="192" t="n"/>
      <c r="CN58" s="192" t="n"/>
      <c r="CO58" s="192" t="n"/>
      <c r="CP58" s="192" t="n"/>
      <c r="CQ58" s="193" t="inlineStr">
        <is>
          <t>ACUMULADO PREMIO 1ER LUGAR</t>
        </is>
      </c>
      <c r="CR58" s="212">
        <f>CONTROL!R56</f>
        <v/>
      </c>
      <c r="CS58" s="195" t="n"/>
      <c r="CT58" s="560" t="inlineStr">
        <is>
          <t>TOTAL RECAUDADO</t>
        </is>
      </c>
      <c r="CU58" s="561" t="n"/>
      <c r="CV58" s="466">
        <f>SUM(CV8:CV57)</f>
        <v/>
      </c>
      <c r="CW58" s="576" t="n"/>
      <c r="CY58" s="392">
        <f>IF(CZ58="","",$CZ$25)</f>
        <v/>
      </c>
      <c r="CZ58" s="392" t="n"/>
      <c r="DA58" s="392">
        <f t="array" ref="DA58">IF(CZ58="", "", IF((INDEX(E$8:CE$57, MATCH(CZ58, C$8:C$57, 0), ($CZ$25-1)*5 + 1) &amp; "") = (INDEX(E$5:CE$5, 1, ($CZ$25-1)*5 + 1) &amp; ""), 1, IF((INDEX(E$8:CE$57, MATCH(CZ58, C$8:C$57, 0), ($CZ$25-1)*5 + 2) &amp; "") = (INDEX(E$5:CE$5, 1, ($CZ$25-1)*5 + 1) &amp; ""), 2, IF((INDEX(E$8:CE$57, MATCH(CZ58, C$8:C$57, 0), ($CZ$25-1)*5 + 3) &amp; "") = (INDEX(E$5:CE$5, 1, ($CZ$25-1)*5 + 1) &amp; ""), 3, ""))))</f>
        <v/>
      </c>
      <c r="DP58" s="394" t="inlineStr">
        <is>
          <t>DIV.</t>
        </is>
      </c>
      <c r="DQ58" s="394" t="inlineStr">
        <is>
          <t>CODIGO</t>
        </is>
      </c>
      <c r="DR58" s="394" t="inlineStr">
        <is>
          <t>CARRERA</t>
        </is>
      </c>
      <c r="EH58" s="393" t="inlineStr">
        <is>
          <t>DIV.</t>
        </is>
      </c>
      <c r="EI58" s="393" t="inlineStr">
        <is>
          <t>CODIGO</t>
        </is>
      </c>
      <c r="EJ58" s="393" t="inlineStr">
        <is>
          <t>CARRERA</t>
        </is>
      </c>
    </row>
    <row r="59" ht="20.1" customHeight="1" s="568" thickBot="1">
      <c r="A59" s="576" t="n"/>
      <c r="B59" s="451" t="inlineStr">
        <is>
          <t>* SEGUNDA MARCA GANADORA</t>
        </is>
      </c>
      <c r="C59" s="452" t="n"/>
      <c r="D59" s="452" t="n"/>
      <c r="E59" s="452" t="n"/>
      <c r="F59" s="452" t="n"/>
      <c r="G59" s="452" t="n"/>
      <c r="H59" s="452" t="n"/>
      <c r="I59" s="452">
        <f>"2 PUNTOS (DIV IGUAL O MENOR A 1/2 "&amp;$D$104&amp;" BS. RESTA 0,5 PUNTOS)"</f>
        <v/>
      </c>
      <c r="J59" s="452" t="n"/>
      <c r="K59" s="4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>
        <f>"*DIVIDENDO MAYOR O IGUAL A 19/1 ("&amp;D129&amp;" Bs.) "</f>
        <v/>
      </c>
      <c r="V59" s="452" t="n"/>
      <c r="W59" s="452" t="n"/>
      <c r="X59" s="452" t="n"/>
      <c r="Y59" s="452" t="n"/>
      <c r="Z59" s="452" t="n"/>
      <c r="AA59" s="452" t="n"/>
      <c r="AB59" s="452" t="n"/>
      <c r="AC59" s="452" t="n"/>
      <c r="AD59" s="452" t="n"/>
      <c r="AE59" s="452" t="inlineStr">
        <is>
          <t>1 PUNTO ADICIONAL</t>
        </is>
      </c>
      <c r="AF59" s="452" t="n"/>
      <c r="AG59" s="452" t="n"/>
      <c r="AH59" s="452" t="n"/>
      <c r="AI59" s="452" t="n"/>
      <c r="AJ59" s="452" t="n"/>
      <c r="AK59" s="452" t="n"/>
      <c r="AL59" s="452" t="n"/>
      <c r="AM59" s="452" t="n"/>
      <c r="AN59" s="452" t="n"/>
      <c r="AO59" s="452" t="n"/>
      <c r="AP59" s="452" t="n"/>
      <c r="AQ59" s="452" t="n"/>
      <c r="AR59" s="452" t="n"/>
      <c r="AS59" s="452" t="n"/>
      <c r="AT59" s="452" t="n"/>
      <c r="AU59" s="452" t="n"/>
      <c r="AV59" s="452" t="n"/>
      <c r="AW59" s="452" t="n"/>
      <c r="AX59" s="453" t="n"/>
      <c r="AY59" s="453" t="n"/>
      <c r="AZ59" s="453" t="n"/>
      <c r="BA59" s="453" t="n"/>
      <c r="BB59" s="453" t="n"/>
      <c r="BC59" s="453" t="n"/>
      <c r="BD59" s="453" t="n"/>
      <c r="BE59" s="453" t="n"/>
      <c r="BF59" s="453" t="n"/>
      <c r="BG59" s="454" t="n"/>
      <c r="BH59" s="453" t="n"/>
      <c r="BI59" s="453" t="n"/>
      <c r="BJ59" s="453" t="n"/>
      <c r="BK59" s="453" t="n"/>
      <c r="BL59" s="454" t="n"/>
      <c r="BM59" s="453" t="n"/>
      <c r="BN59" s="453" t="n"/>
      <c r="BO59" s="453" t="n"/>
      <c r="BP59" s="453" t="n"/>
      <c r="BQ59" s="453" t="n"/>
      <c r="BR59" s="453" t="n"/>
      <c r="BS59" s="453" t="n"/>
      <c r="BT59" s="453" t="n"/>
      <c r="BU59" s="453" t="n"/>
      <c r="BV59" s="453" t="n"/>
      <c r="BW59" s="453" t="n"/>
      <c r="BX59" s="453" t="n"/>
      <c r="BY59" s="453" t="n"/>
      <c r="BZ59" s="453" t="n"/>
      <c r="CA59" s="453" t="n"/>
      <c r="CB59" s="453" t="n"/>
      <c r="CC59" s="453" t="n"/>
      <c r="CD59" s="453" t="n"/>
      <c r="CE59" s="453" t="n"/>
      <c r="CF59" s="453" t="n"/>
      <c r="CG59" s="453" t="n"/>
      <c r="CH59" s="453" t="n"/>
      <c r="CI59" s="196" t="n"/>
      <c r="CJ59" s="197" t="n"/>
      <c r="CK59" s="197" t="n"/>
      <c r="CL59" s="197" t="n"/>
      <c r="CM59" s="197" t="n"/>
      <c r="CN59" s="197" t="n"/>
      <c r="CO59" s="197" t="n"/>
      <c r="CP59" s="197" t="n"/>
      <c r="CQ59" s="198" t="inlineStr">
        <is>
          <t>ACUMULADO PREMIO 2DO LUGAR</t>
        </is>
      </c>
      <c r="CR59" s="213">
        <f>CONTROL!S56</f>
        <v/>
      </c>
      <c r="CS59" s="199" t="n"/>
      <c r="CT59" s="571" t="inlineStr">
        <is>
          <t>20% CASA</t>
        </is>
      </c>
      <c r="CU59" s="564" t="n"/>
      <c r="CV59" s="455">
        <f>+CV58*20%</f>
        <v/>
      </c>
      <c r="CW59" s="576" t="n"/>
      <c r="CY59" s="392">
        <f>IF(CZ59="","",$CZ$25)</f>
        <v/>
      </c>
      <c r="CZ59" s="392" t="n"/>
      <c r="DA59" s="392">
        <f t="array" ref="DA59">IF(CZ59="", "", IF((INDEX(E$8:CE$57, MATCH(CZ59, C$8:C$57, 0), ($CZ$25-1)*5 + 1) &amp; "") = (INDEX(E$5:CE$5, 1, ($CZ$25-1)*5 + 1) &amp; ""), 1, IF((INDEX(E$8:CE$57, MATCH(CZ59, C$8:C$57, 0), ($CZ$25-1)*5 + 2) &amp; "") = (INDEX(E$5:CE$5, 1, ($CZ$25-1)*5 + 1) &amp; ""), 2, IF((INDEX(E$8:CE$57, MATCH(CZ59, C$8:C$57, 0), ($CZ$25-1)*5 + 3) &amp; "") = (INDEX(E$5:CE$5, 1, ($CZ$25-1)*5 + 1) &amp; ""), 3, ""))))</f>
        <v/>
      </c>
      <c r="DO59" s="393">
        <f t="array" ref="DO59">INDEX(E5:CB5, 1, ($DR$59-1)*5 + 1)</f>
        <v/>
      </c>
      <c r="DP59" s="354">
        <f t="array" ref="DP59">_xlfn._xlws.FILTER(MAX($DC$8:$DR$57) + ($DB$8:$DB$57 - $DB$8:$DB$57), MMULT(($DC$8:$DR$57 = MAX($DC$8:$DR$57)) * ($DC$8:$DR$57 &gt; 0), _xlfn.SEQUENCE(COLUMNS($DC8:DR8), 1, 1, 0)) &gt; 0, "Esperando")</f>
        <v/>
      </c>
      <c r="DQ59" s="393">
        <f t="array" ref="DQ59">_xlfn._xlws.FILTER($DB$8:$DB$57, MMULT(($DC$8:$DR$57 = MAX($DC$8:$DR$57)) * ($DC$8:$DR$57 &gt; 0), _xlfn.SEQUENCE(COLUMNS($DC8:DR8), 1, 1, 0)) &gt; 0, "Esperando")</f>
        <v/>
      </c>
      <c r="DR59" s="393">
        <f t="array" ref="DR59">_xlfn._xlws.FILTER(INDEX($DC$7:$DR$7, 1, MMULT(--($DC$8:$DR$57 = MAX($DC$8:$DR$57)), _xlfn.SEQUENCE(COLUMNS($DC$8:$DR$8), 1, 1, 1))), MMULT(($DC$8:$DR$57 = MAX($DC$8:$DR$57)) * ($DC$8:$DR$57 &gt; 0), _xlfn.SEQUENCE(COLUMNS($DC$8:$DR$8), 1, 1, 1)) &gt; 0, "Esperando")</f>
        <v/>
      </c>
      <c r="EG59" s="393">
        <f t="array" ref="EG59">INDEX(E5:CB5, 1, ($EJ$59-1)*5 + 1)</f>
        <v/>
      </c>
      <c r="EH59" s="354">
        <f t="array" ref="EH59">_xlfn._xlws.FILTER(MAX($DU$8:$EJ$57) + ($DT$8:$DT$57 - $DT$8:$DT$57), MMULT(($DU$8:$EJ$57 = MAX($DU$8:$EJ$57)) * ($DU$8:$EJ$57 &gt; 0), _xlfn.SEQUENCE(COLUMNS($DU8:EJ8), 1, 1, 0)) &gt; 0, "Esperando")</f>
        <v/>
      </c>
      <c r="EI59" s="393">
        <f t="array" ref="EI59">_xlfn._xlws.FILTER($DT$8:$DT$57, MMULT(($DU$8:$EJ$57 = MAX($DU$8:$EJ$57)) * ($DU$8:$EJ$57 &gt; 0), _xlfn.SEQUENCE(COLUMNS($DU8:EJ8), 1, 1, 0)) &gt; 0, "Esperando")</f>
        <v/>
      </c>
      <c r="EJ59" s="393">
        <f t="array" ref="EJ59">_xlfn._xlws.FILTER(INDEX($DU$7:$EJ$7, 1, MMULT(--($DU$8:$EJ$57 = MAX($DU$8:$EJ$57)), _xlfn.SEQUENCE(COLUMNS($DU$8:$EJ$8), 1, 1, 1))), MMULT(($DU$8:$EJ$57 = MAX($DU$8:$EJ$57)) * ($DU$8:$EJ$57 &gt; 0), _xlfn.SEQUENCE(COLUMNS($DU$8:$EJ$8), 1, 1, 1)) &gt; 0, "Esperando")</f>
        <v/>
      </c>
    </row>
    <row r="60" ht="20.1" customHeight="1" s="568" thickBot="1">
      <c r="A60" s="576" t="n"/>
      <c r="B60" s="451" t="inlineStr">
        <is>
          <t>* TERCERA MARCA GANADORA</t>
        </is>
      </c>
      <c r="C60" s="452" t="n"/>
      <c r="D60" s="452" t="n"/>
      <c r="E60" s="452" t="n"/>
      <c r="F60" s="452" t="n"/>
      <c r="G60" s="452" t="n"/>
      <c r="H60" s="452" t="n"/>
      <c r="I60" s="452">
        <f>"1 PUNTOS (DIV IGUAL O MENOR A 1/2 "&amp;$D$104&amp;" BS. RESTA 0,5 PUNTOS)"</f>
        <v/>
      </c>
      <c r="J60" s="452" t="n"/>
      <c r="K60" s="4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inlineStr">
        <is>
          <t xml:space="preserve">*EXACTA PERFECTA ACERTADA </t>
        </is>
      </c>
      <c r="V60" s="452" t="n"/>
      <c r="W60" s="452" t="n"/>
      <c r="X60" s="452" t="n"/>
      <c r="Y60" s="452" t="n"/>
      <c r="Z60" s="452" t="n"/>
      <c r="AA60" s="452" t="n"/>
      <c r="AB60" s="452" t="n"/>
      <c r="AC60" s="452" t="n"/>
      <c r="AD60" s="452" t="n"/>
      <c r="AE60" s="452" t="inlineStr">
        <is>
          <t>1 PUNTO ADICIONAL</t>
        </is>
      </c>
      <c r="AF60" s="452" t="n"/>
      <c r="AG60" s="452" t="n"/>
      <c r="AH60" s="452" t="n"/>
      <c r="AI60" s="452" t="n"/>
      <c r="AJ60" s="452" t="n"/>
      <c r="AK60" s="452" t="n"/>
      <c r="AL60" s="452" t="n"/>
      <c r="AM60" s="452" t="n"/>
      <c r="AN60" s="567" t="n"/>
      <c r="AX60" s="453" t="n"/>
      <c r="AY60" s="453" t="n"/>
      <c r="AZ60" s="453" t="n"/>
      <c r="BA60" s="453" t="n"/>
      <c r="BB60" s="453" t="n"/>
      <c r="BC60" s="453" t="n"/>
      <c r="BD60" s="453" t="n"/>
      <c r="BE60" s="453" t="n"/>
      <c r="BF60" s="453" t="n"/>
      <c r="BG60" s="454" t="n"/>
      <c r="BH60" s="453" t="n"/>
      <c r="BI60" s="453" t="n"/>
      <c r="BJ60" s="453" t="n"/>
      <c r="BK60" s="453" t="n"/>
      <c r="BL60" s="454" t="n"/>
      <c r="BM60" s="453" t="n"/>
      <c r="BN60" s="453" t="n"/>
      <c r="BO60" s="453" t="n"/>
      <c r="BP60" s="453" t="n"/>
      <c r="BQ60" s="453" t="n"/>
      <c r="BR60" s="453" t="n"/>
      <c r="BS60" s="453" t="n"/>
      <c r="BT60" s="453" t="n"/>
      <c r="BU60" s="453" t="n"/>
      <c r="BV60" s="453" t="n"/>
      <c r="BW60" s="453" t="n"/>
      <c r="BX60" s="453" t="n"/>
      <c r="BY60" s="453" t="n"/>
      <c r="BZ60" s="453" t="n"/>
      <c r="CA60" s="453" t="n"/>
      <c r="CB60" s="453" t="n"/>
      <c r="CC60" s="453" t="n"/>
      <c r="CD60" s="453" t="n"/>
      <c r="CE60" s="453" t="n"/>
      <c r="CF60" s="453" t="n"/>
      <c r="CG60" s="453" t="n"/>
      <c r="CH60" s="453" t="n"/>
      <c r="CI60" s="200" t="n"/>
      <c r="CJ60" s="201" t="n"/>
      <c r="CK60" s="201" t="n"/>
      <c r="CL60" s="201" t="n"/>
      <c r="CM60" s="201" t="n"/>
      <c r="CN60" s="201" t="n"/>
      <c r="CO60" s="201" t="n"/>
      <c r="CP60" s="201" t="n"/>
      <c r="CQ60" s="202" t="inlineStr">
        <is>
          <t>ACUMULADO PREMIO 3ER LUGAR</t>
        </is>
      </c>
      <c r="CR60" s="214">
        <f>CONTROL!T56</f>
        <v/>
      </c>
      <c r="CS60" s="194" t="n"/>
      <c r="CT60" s="562" t="inlineStr">
        <is>
          <t>ACUM. TOTAL ACIERTOS</t>
        </is>
      </c>
      <c r="CU60" s="561" t="n"/>
      <c r="CV60" s="456">
        <f>CONTROL!T54</f>
        <v/>
      </c>
      <c r="CW60" s="576" t="n"/>
      <c r="CY60" s="392">
        <f>IF(CZ60="","",$CZ$25)</f>
        <v/>
      </c>
      <c r="CZ60" s="392" t="n"/>
      <c r="DA60" s="392">
        <f t="array" ref="DA60">IF(CZ60="", "", IF((INDEX(E$8:CE$57, MATCH(CZ60, C$8:C$57, 0), ($CZ$25-1)*5 + 1) &amp; "") = (INDEX(E$5:CE$5, 1, ($CZ$25-1)*5 + 1) &amp; ""), 1, IF((INDEX(E$8:CE$57, MATCH(CZ60, C$8:C$57, 0), ($CZ$25-1)*5 + 2) &amp; "") = (INDEX(E$5:CE$5, 1, ($CZ$25-1)*5 + 1) &amp; ""), 2, IF((INDEX(E$8:CE$57, MATCH(CZ60, C$8:C$57, 0), ($CZ$25-1)*5 + 3) &amp; "") = (INDEX(E$5:CE$5, 1, ($CZ$25-1)*5 + 1) &amp; ""), 3, ""))))</f>
        <v/>
      </c>
      <c r="DP60" s="393" t="n"/>
      <c r="DQ60" s="393" t="n"/>
      <c r="DR60" s="393" t="n"/>
      <c r="EH60" s="393" t="n"/>
      <c r="EI60" s="393" t="n"/>
      <c r="EJ60" s="393" t="n"/>
    </row>
    <row r="61" ht="20.1" customHeight="1" s="568">
      <c r="A61" s="576" t="n"/>
      <c r="B61" s="457" t="inlineStr">
        <is>
          <t>* FIJA ACERTADA</t>
        </is>
      </c>
      <c r="C61" s="458" t="n"/>
      <c r="D61" s="458" t="n"/>
      <c r="E61" s="458" t="n"/>
      <c r="F61" s="458" t="n"/>
      <c r="G61" s="458" t="n"/>
      <c r="H61" s="458" t="n"/>
      <c r="I61" s="458" t="inlineStr">
        <is>
          <t>1 PUNTO ADICIONAL</t>
        </is>
      </c>
      <c r="J61" s="458" t="n"/>
      <c r="K61" s="458" t="n"/>
      <c r="L61" s="458" t="n"/>
      <c r="M61" s="458" t="n"/>
      <c r="N61" s="458" t="n"/>
      <c r="O61" s="458" t="n"/>
      <c r="P61" s="458" t="n"/>
      <c r="Q61" s="458" t="n"/>
      <c r="R61" s="458" t="n"/>
      <c r="S61" s="458" t="n"/>
      <c r="T61" s="458" t="n"/>
      <c r="U61" s="458" t="inlineStr">
        <is>
          <t xml:space="preserve">*TRIFECTA ACERTADA </t>
        </is>
      </c>
      <c r="V61" s="458" t="n"/>
      <c r="W61" s="458" t="n"/>
      <c r="X61" s="458" t="n"/>
      <c r="Y61" s="458" t="n"/>
      <c r="Z61" s="458" t="n"/>
      <c r="AA61" s="458" t="n"/>
      <c r="AB61" s="458" t="n"/>
      <c r="AC61" s="458" t="n"/>
      <c r="AD61" s="458" t="n"/>
      <c r="AE61" s="458" t="inlineStr">
        <is>
          <t>2 PUNTOS ADICIONALES</t>
        </is>
      </c>
      <c r="AF61" s="458" t="n"/>
      <c r="AG61" s="458" t="n"/>
      <c r="AH61" s="458" t="n"/>
      <c r="AI61" s="458" t="n"/>
      <c r="AJ61" s="458" t="n"/>
      <c r="AK61" s="458" t="n"/>
      <c r="AL61" s="458" t="n"/>
      <c r="AM61" s="458" t="n"/>
      <c r="AN61" s="579" t="n"/>
      <c r="AO61" s="555" t="n"/>
      <c r="AP61" s="555" t="n"/>
      <c r="AQ61" s="555" t="n"/>
      <c r="AR61" s="555" t="n"/>
      <c r="AS61" s="555" t="n"/>
      <c r="AT61" s="555" t="n"/>
      <c r="AU61" s="555" t="n"/>
      <c r="AV61" s="555" t="n"/>
      <c r="AW61" s="555" t="n"/>
      <c r="AX61" s="459" t="n"/>
      <c r="AY61" s="459" t="n"/>
      <c r="AZ61" s="459" t="n"/>
      <c r="BA61" s="459" t="n"/>
      <c r="BB61" s="459" t="n"/>
      <c r="BC61" s="459" t="n"/>
      <c r="BD61" s="459" t="n"/>
      <c r="BE61" s="459" t="n"/>
      <c r="BF61" s="459" t="n"/>
      <c r="BG61" s="460" t="n"/>
      <c r="BH61" s="459" t="n"/>
      <c r="BI61" s="459" t="n"/>
      <c r="BJ61" s="459" t="n"/>
      <c r="BK61" s="459" t="n"/>
      <c r="BL61" s="460" t="n"/>
      <c r="BM61" s="459" t="n"/>
      <c r="BN61" s="459" t="n"/>
      <c r="BO61" s="459" t="n"/>
      <c r="BP61" s="459" t="n"/>
      <c r="BQ61" s="459" t="n"/>
      <c r="BR61" s="459" t="n"/>
      <c r="BS61" s="459" t="n"/>
      <c r="BT61" s="459" t="n"/>
      <c r="BU61" s="459" t="n"/>
      <c r="BV61" s="459" t="n"/>
      <c r="BW61" s="459" t="n"/>
      <c r="BX61" s="459" t="n"/>
      <c r="BY61" s="459" t="n"/>
      <c r="BZ61" s="459" t="n"/>
      <c r="CA61" s="459" t="n"/>
      <c r="CB61" s="459" t="n"/>
      <c r="CC61" s="459" t="n"/>
      <c r="CD61" s="459" t="n"/>
      <c r="CE61" s="459" t="n"/>
      <c r="CF61" s="459" t="n"/>
      <c r="CG61" s="459" t="n"/>
      <c r="CH61" s="459" t="n"/>
      <c r="CI61" s="203" t="n"/>
      <c r="CJ61" s="204" t="n"/>
      <c r="CK61" s="204" t="n"/>
      <c r="CL61" s="204" t="n"/>
      <c r="CM61" s="204" t="n"/>
      <c r="CN61" s="204" t="n"/>
      <c r="CO61" s="204" t="n"/>
      <c r="CP61" s="204" t="n"/>
      <c r="CQ61" s="205" t="inlineStr">
        <is>
          <t>ACUMULADO PREMIO FIJAS Y EFECTIVIDAD C/U</t>
        </is>
      </c>
      <c r="CR61" s="215">
        <f>CONTROL!T56</f>
        <v/>
      </c>
      <c r="CS61" s="206" t="n"/>
      <c r="CT61" s="577" t="inlineStr">
        <is>
          <t>SUMA ACUMULADO</t>
        </is>
      </c>
      <c r="CU61" s="578" t="n"/>
      <c r="CV61" s="461">
        <f>(CV58-CV59)/3</f>
        <v/>
      </c>
      <c r="CW61" s="576" t="n"/>
      <c r="CY61" s="392">
        <f>IF(CZ61="","",$CZ$25)</f>
        <v/>
      </c>
      <c r="CZ61" s="392" t="n"/>
      <c r="DA61" s="392">
        <f t="array" ref="DA61">IF(CZ61="", "", IF((INDEX(E$8:CE$57, MATCH(CZ61, C$8:C$57, 0), ($CZ$25-1)*5 + 1) &amp; "") = (INDEX(E$5:CE$5, 1, ($CZ$25-1)*5 + 1) &amp; ""), 1, IF((INDEX(E$8:CE$57, MATCH(CZ61, C$8:C$57, 0), ($CZ$25-1)*5 + 2) &amp; "") = (INDEX(E$5:CE$5, 1, ($CZ$25-1)*5 + 1) &amp; ""), 2, IF((INDEX(E$8:CE$57, MATCH(CZ61, C$8:C$57, 0), ($CZ$25-1)*5 + 3) &amp; "") = (INDEX(E$5:CE$5, 1, ($CZ$25-1)*5 + 1) &amp; ""), 3, ""))))</f>
        <v/>
      </c>
      <c r="DP61" s="393" t="n"/>
      <c r="DQ61" s="393" t="n"/>
      <c r="DR61" s="393" t="n"/>
      <c r="EH61" s="393" t="n"/>
      <c r="EI61" s="393" t="n"/>
      <c r="EJ61" s="393" t="n"/>
    </row>
    <row r="62" ht="16.5" customHeight="1" s="568">
      <c r="A62" s="356" t="n"/>
      <c r="B62" s="97" t="n"/>
      <c r="C62" s="97" t="n"/>
      <c r="D62" s="97" t="n"/>
      <c r="E62" s="97" t="n"/>
      <c r="F62" s="97" t="n"/>
      <c r="G62" s="97" t="n"/>
      <c r="H62" s="97" t="n"/>
      <c r="I62" s="97" t="n"/>
      <c r="J62" s="97" t="n"/>
      <c r="K62" s="97" t="n"/>
      <c r="L62" s="97" t="n"/>
      <c r="M62" s="97" t="n"/>
      <c r="N62" s="97" t="n"/>
      <c r="O62" s="97" t="n"/>
      <c r="P62" s="97" t="n"/>
      <c r="Q62" s="97" t="n"/>
      <c r="R62" s="97" t="n"/>
      <c r="S62" s="97" t="n"/>
      <c r="T62" s="97" t="n"/>
      <c r="U62" s="97" t="n"/>
      <c r="V62" s="97" t="n"/>
      <c r="W62" s="97" t="n"/>
      <c r="X62" s="97" t="n"/>
      <c r="Y62" s="97" t="n"/>
      <c r="Z62" s="97" t="n"/>
      <c r="AA62" s="97" t="n"/>
      <c r="AB62" s="97" t="n"/>
      <c r="AC62" s="97" t="n"/>
      <c r="AD62" s="97" t="n"/>
      <c r="AE62" s="97" t="n"/>
      <c r="AF62" s="97" t="n"/>
      <c r="AG62" s="97" t="n"/>
      <c r="AH62" s="97" t="n"/>
      <c r="AI62" s="97" t="n"/>
      <c r="AJ62" s="97" t="n"/>
      <c r="AK62" s="97" t="n"/>
      <c r="AL62" s="97" t="n"/>
      <c r="AM62" s="97" t="n"/>
      <c r="AN62" s="97" t="n"/>
      <c r="AO62" s="97" t="n"/>
      <c r="AP62" s="97" t="n"/>
      <c r="AQ62" s="97" t="n"/>
      <c r="AR62" s="97" t="n"/>
      <c r="AS62" s="97" t="n"/>
      <c r="AT62" s="97" t="n"/>
      <c r="AU62" s="97" t="n"/>
      <c r="AV62" s="97" t="n"/>
      <c r="AW62" s="97" t="n"/>
      <c r="AX62" s="97" t="n"/>
      <c r="AY62" s="97" t="n"/>
      <c r="AZ62" s="97" t="n"/>
      <c r="BA62" s="97" t="n"/>
      <c r="BB62" s="97" t="n"/>
      <c r="BC62" s="97" t="n"/>
      <c r="BD62" s="97" t="n"/>
      <c r="BE62" s="97" t="n"/>
      <c r="BF62" s="97" t="n"/>
      <c r="BG62" s="10" t="n"/>
      <c r="BH62" s="97" t="n"/>
      <c r="BI62" s="97" t="n"/>
      <c r="BJ62" s="97" t="n"/>
      <c r="BK62" s="97" t="n"/>
      <c r="BL62" s="10" t="n"/>
      <c r="BM62" s="97" t="n"/>
      <c r="BN62" s="97" t="n"/>
      <c r="BO62" s="97" t="n"/>
      <c r="BP62" s="97" t="n"/>
      <c r="BQ62" s="97" t="n"/>
      <c r="BR62" s="97" t="n"/>
      <c r="BS62" s="97" t="n"/>
      <c r="BT62" s="97" t="n"/>
      <c r="BU62" s="97" t="n"/>
      <c r="BV62" s="97" t="n"/>
      <c r="BW62" s="97" t="n"/>
      <c r="BX62" s="97" t="n"/>
      <c r="BY62" s="97" t="n"/>
      <c r="BZ62" s="97" t="n"/>
      <c r="CA62" s="97" t="n"/>
      <c r="CB62" s="97" t="n"/>
      <c r="CC62" s="97" t="n"/>
      <c r="CD62" s="97" t="n"/>
      <c r="CE62" s="97" t="n"/>
      <c r="CF62" s="97" t="n"/>
      <c r="CG62" s="97" t="n"/>
      <c r="CH62" s="97" t="n"/>
      <c r="CI62" s="97" t="n"/>
      <c r="CJ62" s="97" t="n"/>
      <c r="CK62" s="97" t="n"/>
      <c r="CL62" s="97" t="n"/>
      <c r="CM62" s="97" t="n"/>
      <c r="CN62" s="97" t="n"/>
      <c r="CO62" s="97" t="n"/>
      <c r="CP62" s="97" t="n"/>
      <c r="CQ62" s="97" t="n"/>
      <c r="CR62" s="97" t="n"/>
      <c r="CS62" s="97" t="n"/>
      <c r="CT62" s="97" t="n"/>
      <c r="CU62" s="97" t="n"/>
      <c r="CV62" s="97" t="n"/>
      <c r="CW62" s="97" t="n"/>
      <c r="CY62" s="392">
        <f>IF(CZ62="","",$CZ$25)</f>
        <v/>
      </c>
      <c r="CZ62" s="392" t="n"/>
      <c r="DA62" s="392">
        <f t="array" ref="DA62">IF(CZ62="", "", IF((INDEX(E$8:CE$57, MATCH(CZ62, C$8:C$57, 0), ($CZ$25-1)*5 + 1) &amp; "") = (INDEX(E$5:CE$5, 1, ($CZ$25-1)*5 + 1) &amp; ""), 1, IF((INDEX(E$8:CE$57, MATCH(CZ62, C$8:C$57, 0), ($CZ$25-1)*5 + 2) &amp; "") = (INDEX(E$5:CE$5, 1, ($CZ$25-1)*5 + 1) &amp; ""), 2, IF((INDEX(E$8:CE$57, MATCH(CZ62, C$8:C$57, 0), ($CZ$25-1)*5 + 3) &amp; "") = (INDEX(E$5:CE$5, 1, ($CZ$25-1)*5 + 1) &amp; ""), 3, ""))))</f>
        <v/>
      </c>
      <c r="DP62" s="393" t="n"/>
      <c r="DQ62" s="393" t="n"/>
      <c r="DR62" s="393" t="n"/>
      <c r="EH62" s="393" t="n"/>
      <c r="EI62" s="393" t="n"/>
      <c r="EJ62" s="393" t="n"/>
    </row>
    <row r="63" ht="36" customHeight="1" s="568">
      <c r="B63" s="6" t="n"/>
      <c r="E63" s="98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100" t="n"/>
      <c r="P63" s="99" t="n"/>
      <c r="Q63" s="99" t="n"/>
      <c r="R63" s="99" t="n"/>
      <c r="S63" s="99" t="n"/>
      <c r="T63" s="100" t="inlineStr">
        <is>
          <t>FAVORITOS DEL CAMPEONATO DE MARCAS</t>
        </is>
      </c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99" t="n"/>
      <c r="AI63" s="99" t="n"/>
      <c r="AJ63" s="99" t="n"/>
      <c r="AK63" s="99" t="n"/>
      <c r="AL63" s="99" t="n"/>
      <c r="AM63" s="99" t="n"/>
      <c r="AN63" s="99" t="n"/>
      <c r="AO63" s="100" t="n"/>
      <c r="AP63" s="100" t="inlineStr">
        <is>
          <t>DOMINGO</t>
        </is>
      </c>
      <c r="AQ63" s="99" t="n"/>
      <c r="AR63" s="99" t="n"/>
      <c r="AS63" s="100" t="n"/>
      <c r="AT63" s="99" t="n"/>
      <c r="AU63" s="101">
        <f>D3</f>
        <v/>
      </c>
      <c r="AV63" s="99" t="n"/>
      <c r="AW63" s="99" t="n"/>
      <c r="AX63" s="99" t="n"/>
      <c r="AY63" s="99" t="n"/>
      <c r="AZ63" s="99" t="n"/>
      <c r="BA63" s="99" t="n"/>
      <c r="BB63" s="99" t="n"/>
      <c r="BC63" s="99" t="n"/>
      <c r="BD63" s="99" t="n"/>
      <c r="BE63" s="99" t="n"/>
      <c r="BF63" s="99" t="n"/>
      <c r="BG63" s="102" t="n"/>
      <c r="BH63" s="99" t="n"/>
      <c r="BI63" s="99" t="n"/>
      <c r="BJ63" s="99" t="n"/>
      <c r="BK63" s="99" t="n"/>
      <c r="BL63" s="102" t="n"/>
      <c r="BM63" s="99" t="n"/>
      <c r="BN63" s="99" t="n"/>
      <c r="BO63" s="99" t="n"/>
      <c r="BP63" s="99" t="n"/>
      <c r="BQ63" s="103" t="n"/>
      <c r="BR63" s="99" t="n"/>
      <c r="BS63" s="99" t="n"/>
      <c r="BT63" s="99" t="n"/>
      <c r="BU63" s="99" t="n"/>
      <c r="BV63" s="99" t="n"/>
      <c r="BW63" s="99" t="n"/>
      <c r="BX63" s="99" t="n"/>
      <c r="BY63" s="99" t="n"/>
      <c r="BZ63" s="99" t="n"/>
      <c r="CA63" s="99" t="n"/>
      <c r="CB63" s="99" t="n"/>
      <c r="CC63" s="99" t="n"/>
      <c r="CD63" s="99" t="n"/>
      <c r="CE63" s="99" t="n"/>
      <c r="CF63" s="103" t="n"/>
      <c r="CZ63" s="392" t="n"/>
      <c r="DA63" s="392">
        <f t="array" ref="DA63">IF(CZ63="", "", IF((INDEX(E$7:CE$57, MATCH(CZ63, C$7:C$57, 0), ($CZ$25-1)*5 + 1) &amp; "") = (INDEX(E$5:CE$5, 1, ($CZ$25-1)*5 + 1) &amp; ""), 1, IF((INDEX(E$7:CE$57, MATCH(CZ63, C$7:C$57, 0), ($CZ$25-1)*5 + 2) &amp; "") = (INDEX(E$5:CE$5, 1, ($CZ$25-1)*5 + 1) &amp; ""), 2, IF((INDEX(E$7:CE$57, MATCH(CZ63, C$7:C$57, 0), ($CZ$25-1)*5 + 3) &amp; "") = (INDEX(E$5:CE$5, 1, ($CZ$25-1)*5 + 1) &amp; ""), 3, ""))))</f>
        <v/>
      </c>
      <c r="DP63" s="393" t="n"/>
      <c r="DQ63" s="393" t="n"/>
      <c r="DR63" s="393" t="n"/>
      <c r="EH63" s="393" t="n"/>
      <c r="EI63" s="393" t="n"/>
      <c r="EJ63" s="393" t="n"/>
    </row>
    <row r="64" ht="23.25" customHeight="1" s="568">
      <c r="E64" s="608">
        <f>E4</f>
        <v/>
      </c>
      <c r="F64" s="432" t="n"/>
      <c r="G64" s="432" t="n"/>
      <c r="H64" s="432" t="n"/>
      <c r="I64" s="432" t="n"/>
      <c r="J64" s="608">
        <f>J4</f>
        <v/>
      </c>
      <c r="K64" s="432" t="n"/>
      <c r="L64" s="432" t="n"/>
      <c r="M64" s="432" t="n"/>
      <c r="N64" s="432" t="n"/>
      <c r="O64" s="608">
        <f>O4</f>
        <v/>
      </c>
      <c r="P64" s="432" t="n"/>
      <c r="Q64" s="432" t="n"/>
      <c r="R64" s="432" t="n"/>
      <c r="S64" s="432" t="n"/>
      <c r="T64" s="608">
        <f>T4</f>
        <v/>
      </c>
      <c r="U64" s="432" t="n"/>
      <c r="V64" s="432" t="n"/>
      <c r="W64" s="432" t="n"/>
      <c r="X64" s="432" t="n"/>
      <c r="Y64" s="608">
        <f>Y4</f>
        <v/>
      </c>
      <c r="Z64" s="432" t="n"/>
      <c r="AA64" s="432" t="n"/>
      <c r="AB64" s="432" t="n"/>
      <c r="AC64" s="432" t="n"/>
      <c r="AD64" s="608">
        <f>AD4</f>
        <v/>
      </c>
      <c r="AE64" s="432" t="n"/>
      <c r="AF64" s="432" t="n"/>
      <c r="AG64" s="432" t="n"/>
      <c r="AH64" s="432" t="n"/>
      <c r="AI64" s="608">
        <f>AI4</f>
        <v/>
      </c>
      <c r="AJ64" s="432" t="n"/>
      <c r="AK64" s="432" t="n"/>
      <c r="AL64" s="432" t="n"/>
      <c r="AM64" s="432" t="n"/>
      <c r="AN64" s="608">
        <f>AN4</f>
        <v/>
      </c>
      <c r="AO64" s="432" t="n"/>
      <c r="AP64" s="432" t="n"/>
      <c r="AQ64" s="432" t="n"/>
      <c r="AR64" s="432" t="n"/>
      <c r="AS64" s="608">
        <f>AS4</f>
        <v/>
      </c>
      <c r="AT64" s="432" t="n"/>
      <c r="AU64" s="432" t="n"/>
      <c r="AV64" s="432" t="n"/>
      <c r="AW64" s="432" t="n"/>
      <c r="AX64" s="608">
        <f>AX4</f>
        <v/>
      </c>
      <c r="AY64" s="432" t="n"/>
      <c r="AZ64" s="432" t="n"/>
      <c r="BA64" s="432" t="n"/>
      <c r="BB64" s="432" t="n"/>
      <c r="BC64" s="608">
        <f>BC4</f>
        <v/>
      </c>
      <c r="BD64" s="432" t="n"/>
      <c r="BE64" s="432" t="n"/>
      <c r="BF64" s="432" t="n"/>
      <c r="BG64" s="432" t="n"/>
      <c r="BH64" s="608">
        <f>BH4</f>
        <v/>
      </c>
      <c r="BI64" s="432" t="n"/>
      <c r="BJ64" s="432" t="n"/>
      <c r="BK64" s="432" t="n"/>
      <c r="BL64" s="432" t="n"/>
      <c r="BM64" s="608">
        <f>BM4</f>
        <v/>
      </c>
      <c r="BN64" s="432" t="n"/>
      <c r="BO64" s="432" t="n"/>
      <c r="BP64" s="432" t="n"/>
      <c r="BQ64" s="432" t="n"/>
      <c r="BR64" s="608">
        <f>BR4</f>
        <v/>
      </c>
      <c r="BS64" s="432" t="n"/>
      <c r="BT64" s="432" t="n"/>
      <c r="BU64" s="432" t="n"/>
      <c r="BV64" s="432" t="n"/>
      <c r="BW64" s="608">
        <f>BW4</f>
        <v/>
      </c>
      <c r="BX64" s="432" t="n"/>
      <c r="BY64" s="432" t="n"/>
      <c r="BZ64" s="432" t="n"/>
      <c r="CA64" s="432" t="n"/>
      <c r="CB64" s="608">
        <f>CB4</f>
        <v/>
      </c>
      <c r="CC64" s="432" t="n"/>
      <c r="CD64" s="432" t="n"/>
      <c r="CE64" s="432" t="n"/>
      <c r="CF64" s="433" t="n"/>
      <c r="CZ64" s="392" t="n"/>
      <c r="DA64" s="392">
        <f t="array" ref="DA64">IF(CZ64="", "", IF((INDEX(E$7:CE$57, MATCH(CZ64, C$7:C$57, 0), ($CZ$25-1)*5 + 1) &amp; "") = (INDEX(E$5:CE$5, 1, ($CZ$25-1)*5 + 1) &amp; ""), 1, IF((INDEX(E$7:CE$57, MATCH(CZ64, C$7:C$57, 0), ($CZ$25-1)*5 + 2) &amp; "") = (INDEX(E$5:CE$5, 1, ($CZ$25-1)*5 + 1) &amp; ""), 2, IF((INDEX(E$7:CE$57, MATCH(CZ64, C$7:C$57, 0), ($CZ$25-1)*5 + 3) &amp; "") = (INDEX(E$5:CE$5, 1, ($CZ$25-1)*5 + 1) &amp; ""), 3, ""))))</f>
        <v/>
      </c>
      <c r="DP64" s="393" t="n"/>
      <c r="DQ64" s="393" t="n"/>
      <c r="DR64" s="393" t="n"/>
      <c r="EH64" s="393" t="n"/>
      <c r="EI64" s="393" t="n"/>
      <c r="EJ64" s="393" t="n"/>
    </row>
    <row r="65" ht="26.25" customHeight="1" s="568">
      <c r="B65" s="104" t="n"/>
      <c r="C65" s="105" t="n"/>
      <c r="D65" s="105" t="n"/>
      <c r="E65" s="106" t="inlineStr">
        <is>
          <t>N°</t>
        </is>
      </c>
      <c r="F65" s="107" t="inlineStr">
        <is>
          <t>1°</t>
        </is>
      </c>
      <c r="G65" s="107" t="inlineStr">
        <is>
          <t>2°</t>
        </is>
      </c>
      <c r="H65" s="107" t="inlineStr">
        <is>
          <t>3°</t>
        </is>
      </c>
      <c r="I65" s="107" t="inlineStr">
        <is>
          <t>PTS</t>
        </is>
      </c>
      <c r="J65" s="107" t="inlineStr">
        <is>
          <t>N°</t>
        </is>
      </c>
      <c r="K65" s="107" t="inlineStr">
        <is>
          <t>1°</t>
        </is>
      </c>
      <c r="L65" s="107" t="inlineStr">
        <is>
          <t>2°</t>
        </is>
      </c>
      <c r="M65" s="107" t="inlineStr">
        <is>
          <t>3°</t>
        </is>
      </c>
      <c r="N65" s="107" t="inlineStr">
        <is>
          <t>PTS</t>
        </is>
      </c>
      <c r="O65" s="107" t="inlineStr">
        <is>
          <t>N°</t>
        </is>
      </c>
      <c r="P65" s="107" t="inlineStr">
        <is>
          <t>1°</t>
        </is>
      </c>
      <c r="Q65" s="107" t="inlineStr">
        <is>
          <t>2°</t>
        </is>
      </c>
      <c r="R65" s="107" t="inlineStr">
        <is>
          <t>3°</t>
        </is>
      </c>
      <c r="S65" s="107" t="inlineStr">
        <is>
          <t>PTS</t>
        </is>
      </c>
      <c r="T65" s="107" t="inlineStr">
        <is>
          <t>N°</t>
        </is>
      </c>
      <c r="U65" s="107" t="inlineStr">
        <is>
          <t>1°</t>
        </is>
      </c>
      <c r="V65" s="107" t="inlineStr">
        <is>
          <t>2°</t>
        </is>
      </c>
      <c r="W65" s="107" t="inlineStr">
        <is>
          <t>3°</t>
        </is>
      </c>
      <c r="X65" s="107" t="inlineStr">
        <is>
          <t>PTS</t>
        </is>
      </c>
      <c r="Y65" s="107" t="inlineStr">
        <is>
          <t>N°</t>
        </is>
      </c>
      <c r="Z65" s="107" t="inlineStr">
        <is>
          <t>1°</t>
        </is>
      </c>
      <c r="AA65" s="107" t="inlineStr">
        <is>
          <t>2°</t>
        </is>
      </c>
      <c r="AB65" s="107" t="inlineStr">
        <is>
          <t>3°</t>
        </is>
      </c>
      <c r="AC65" s="107" t="inlineStr">
        <is>
          <t>PTS</t>
        </is>
      </c>
      <c r="AD65" s="107" t="inlineStr">
        <is>
          <t>N°</t>
        </is>
      </c>
      <c r="AE65" s="107" t="inlineStr">
        <is>
          <t>1°</t>
        </is>
      </c>
      <c r="AF65" s="107" t="inlineStr">
        <is>
          <t>2°</t>
        </is>
      </c>
      <c r="AG65" s="107" t="inlineStr">
        <is>
          <t>3°</t>
        </is>
      </c>
      <c r="AH65" s="107" t="inlineStr">
        <is>
          <t>PTS</t>
        </is>
      </c>
      <c r="AI65" s="107" t="inlineStr">
        <is>
          <t>N°</t>
        </is>
      </c>
      <c r="AJ65" s="107" t="inlineStr">
        <is>
          <t>1°</t>
        </is>
      </c>
      <c r="AK65" s="107" t="inlineStr">
        <is>
          <t>2°</t>
        </is>
      </c>
      <c r="AL65" s="107" t="inlineStr">
        <is>
          <t>3°</t>
        </is>
      </c>
      <c r="AM65" s="107" t="inlineStr">
        <is>
          <t>PTS</t>
        </is>
      </c>
      <c r="AN65" s="107" t="inlineStr">
        <is>
          <t>N°</t>
        </is>
      </c>
      <c r="AO65" s="107" t="inlineStr">
        <is>
          <t>1°</t>
        </is>
      </c>
      <c r="AP65" s="107" t="inlineStr">
        <is>
          <t>2°</t>
        </is>
      </c>
      <c r="AQ65" s="107" t="inlineStr">
        <is>
          <t>3°</t>
        </is>
      </c>
      <c r="AR65" s="107" t="inlineStr">
        <is>
          <t>PTS</t>
        </is>
      </c>
      <c r="AS65" s="107" t="inlineStr">
        <is>
          <t>N°</t>
        </is>
      </c>
      <c r="AT65" s="107" t="inlineStr">
        <is>
          <t>1°</t>
        </is>
      </c>
      <c r="AU65" s="107" t="inlineStr">
        <is>
          <t>2°</t>
        </is>
      </c>
      <c r="AV65" s="107" t="inlineStr">
        <is>
          <t>3°</t>
        </is>
      </c>
      <c r="AW65" s="107" t="inlineStr">
        <is>
          <t>PTS</t>
        </is>
      </c>
      <c r="AX65" s="107" t="inlineStr">
        <is>
          <t>N°</t>
        </is>
      </c>
      <c r="AY65" s="107" t="inlineStr">
        <is>
          <t>1°</t>
        </is>
      </c>
      <c r="AZ65" s="107" t="inlineStr">
        <is>
          <t>2°</t>
        </is>
      </c>
      <c r="BA65" s="107" t="inlineStr">
        <is>
          <t>3°</t>
        </is>
      </c>
      <c r="BB65" s="107" t="inlineStr">
        <is>
          <t>PTS</t>
        </is>
      </c>
      <c r="BC65" s="107" t="inlineStr">
        <is>
          <t>N°</t>
        </is>
      </c>
      <c r="BD65" s="107" t="inlineStr">
        <is>
          <t>1°</t>
        </is>
      </c>
      <c r="BE65" s="107" t="inlineStr">
        <is>
          <t>2°</t>
        </is>
      </c>
      <c r="BF65" s="107" t="inlineStr">
        <is>
          <t>3°</t>
        </is>
      </c>
      <c r="BG65" s="107" t="inlineStr">
        <is>
          <t>PTS</t>
        </is>
      </c>
      <c r="BH65" s="107" t="inlineStr">
        <is>
          <t>N°</t>
        </is>
      </c>
      <c r="BI65" s="107" t="inlineStr">
        <is>
          <t>1°</t>
        </is>
      </c>
      <c r="BJ65" s="107" t="inlineStr">
        <is>
          <t>2°</t>
        </is>
      </c>
      <c r="BK65" s="107" t="inlineStr">
        <is>
          <t>3°</t>
        </is>
      </c>
      <c r="BL65" s="107" t="inlineStr">
        <is>
          <t>PTS</t>
        </is>
      </c>
      <c r="BM65" s="107" t="inlineStr">
        <is>
          <t>N°</t>
        </is>
      </c>
      <c r="BN65" s="107" t="inlineStr">
        <is>
          <t>1°</t>
        </is>
      </c>
      <c r="BO65" s="107" t="inlineStr">
        <is>
          <t>2°</t>
        </is>
      </c>
      <c r="BP65" s="107" t="inlineStr">
        <is>
          <t>3°</t>
        </is>
      </c>
      <c r="BQ65" s="108" t="inlineStr">
        <is>
          <t>PTS</t>
        </is>
      </c>
      <c r="BR65" s="107" t="inlineStr">
        <is>
          <t>N°</t>
        </is>
      </c>
      <c r="BS65" s="425" t="inlineStr">
        <is>
          <t>1°</t>
        </is>
      </c>
      <c r="BT65" s="425" t="inlineStr">
        <is>
          <t>2°</t>
        </is>
      </c>
      <c r="BU65" s="425" t="inlineStr">
        <is>
          <t>3°</t>
        </is>
      </c>
      <c r="BV65" s="108" t="inlineStr">
        <is>
          <t>PTS</t>
        </is>
      </c>
      <c r="BW65" s="107" t="inlineStr">
        <is>
          <t>N°</t>
        </is>
      </c>
      <c r="BX65" s="425" t="inlineStr">
        <is>
          <t>1°</t>
        </is>
      </c>
      <c r="BY65" s="425" t="inlineStr">
        <is>
          <t>2°</t>
        </is>
      </c>
      <c r="BZ65" s="425" t="inlineStr">
        <is>
          <t>3°</t>
        </is>
      </c>
      <c r="CA65" s="108" t="inlineStr">
        <is>
          <t>PTS</t>
        </is>
      </c>
      <c r="CB65" s="107" t="inlineStr">
        <is>
          <t>N°</t>
        </is>
      </c>
      <c r="CC65" s="425" t="inlineStr">
        <is>
          <t>1°</t>
        </is>
      </c>
      <c r="CD65" s="425" t="inlineStr">
        <is>
          <t>2°</t>
        </is>
      </c>
      <c r="CE65" s="425" t="inlineStr">
        <is>
          <t>3°</t>
        </is>
      </c>
      <c r="CF65" s="108" t="inlineStr">
        <is>
          <t>PTS</t>
        </is>
      </c>
      <c r="CG65" s="105" t="n"/>
      <c r="CH65" s="105" t="n"/>
      <c r="CZ65" s="392" t="n"/>
      <c r="DA65" s="392">
        <f t="array" ref="DA65">IF(CZ65="", "", IF((INDEX(E$7:CE$57, MATCH(CZ65, C$7:C$57, 0), ($CZ$25-1)*5 + 1) &amp; "") = (INDEX(E$5:CE$5, 1, ($CZ$25-1)*5 + 1) &amp; ""), 1, IF((INDEX(E$7:CE$57, MATCH(CZ65, C$7:C$57, 0), ($CZ$25-1)*5 + 2) &amp; "") = (INDEX(E$5:CE$5, 1, ($CZ$25-1)*5 + 1) &amp; ""), 2, IF((INDEX(E$7:CE$57, MATCH(CZ65, C$7:C$57, 0), ($CZ$25-1)*5 + 3) &amp; "") = (INDEX(E$5:CE$5, 1, ($CZ$25-1)*5 + 1) &amp; ""), 3, ""))))</f>
        <v/>
      </c>
      <c r="DP65" s="393" t="n"/>
      <c r="DQ65" s="393" t="n"/>
      <c r="DR65" s="393" t="n"/>
      <c r="EH65" s="393" t="n"/>
      <c r="EI65" s="393" t="n"/>
      <c r="EJ65" s="393" t="n"/>
    </row>
    <row r="66" ht="27.95" customHeight="1" s="568">
      <c r="B66" s="104" t="n"/>
      <c r="C66" s="105" t="n"/>
      <c r="D66" s="105" t="n"/>
      <c r="E66" s="173" t="n">
        <v>9</v>
      </c>
      <c r="F66" s="426">
        <f>(COUNTIF(SEMANA29[1],E66)*3)</f>
        <v/>
      </c>
      <c r="G66" s="170">
        <f>(COUNTIF(SEMANA29[2],E66)*2)</f>
        <v/>
      </c>
      <c r="H66" s="170">
        <f>COUNTIF(SEMANA29[22],E66)</f>
        <v/>
      </c>
      <c r="I66" s="430">
        <f>SUM(F66,G66,H66)</f>
        <v/>
      </c>
      <c r="J66" s="172" t="n">
        <v>1</v>
      </c>
      <c r="K66" s="170">
        <f>(COUNTIF(SEMANA29[12],J66)*3)</f>
        <v/>
      </c>
      <c r="L66" s="170">
        <f>(COUNTIF(SEMANA29[Columna2],J66)*2)</f>
        <v/>
      </c>
      <c r="M66" s="170">
        <f>COUNTIF(SEMANA29[Columna23],J66)</f>
        <v/>
      </c>
      <c r="N66" s="430">
        <f>SUM(K66,L66,M66)</f>
        <v/>
      </c>
      <c r="O66" s="172" t="n">
        <v>5</v>
      </c>
      <c r="P66" s="170">
        <f>(COUNTIF(SEMANA29[Columna4],O66)*3)</f>
        <v/>
      </c>
      <c r="Q66" s="170">
        <f>(COUNTIF(SEMANA29[Columna5],O66)*2)</f>
        <v/>
      </c>
      <c r="R66" s="170">
        <f>COUNTIF(SEMANA29[Columna53],O66)</f>
        <v/>
      </c>
      <c r="S66" s="430">
        <f>SUM(P66,Q66,R66)</f>
        <v/>
      </c>
      <c r="T66" s="172" t="n">
        <v>3</v>
      </c>
      <c r="U66" s="170">
        <f>(COUNTIF(SEMANA29[Columna7],T66)*3)</f>
        <v/>
      </c>
      <c r="V66" s="170">
        <f>(COUNTIF(SEMANA29[Columna8],T66)*2)</f>
        <v/>
      </c>
      <c r="W66" s="170">
        <f>COUNTIF(SEMANA29[Columna83],T66)</f>
        <v/>
      </c>
      <c r="X66" s="430">
        <f>SUM(U66,V66,W66)</f>
        <v/>
      </c>
      <c r="Y66" s="172" t="n">
        <v>2</v>
      </c>
      <c r="Z66" s="170">
        <f>(COUNTIF(SEMANA29[Columna10],Y66)*3)</f>
        <v/>
      </c>
      <c r="AA66" s="170">
        <f>(COUNTIF(SEMANA29[Columna11],Y66)*2)</f>
        <v/>
      </c>
      <c r="AB66" s="170">
        <f>COUNTIF(SEMANA29[Columna113],Y66)</f>
        <v/>
      </c>
      <c r="AC66" s="430">
        <f>SUM(Z66,AA66,AB66)</f>
        <v/>
      </c>
      <c r="AD66" s="172" t="n">
        <v>5</v>
      </c>
      <c r="AE66" s="170">
        <f>(COUNTIF(SEMANA29[1RA],AD66)*3)</f>
        <v/>
      </c>
      <c r="AF66" s="170">
        <f>(COUNTIF(SEMANA29[2DA],AD66)*2)</f>
        <v/>
      </c>
      <c r="AG66" s="170">
        <f>COUNTIF(SEMANA29[2DA2],AD66)</f>
        <v/>
      </c>
      <c r="AH66" s="430">
        <f>SUM(AE66,AF66,AG66)</f>
        <v/>
      </c>
      <c r="AI66" s="172" t="n">
        <v>7</v>
      </c>
      <c r="AJ66" s="170">
        <f>(COUNTIF(SEMANA29[Columna16],AI66)*3)</f>
        <v/>
      </c>
      <c r="AK66" s="170">
        <f>(COUNTIF(SEMANA29[Columna17],AI66)*2)</f>
        <v/>
      </c>
      <c r="AL66" s="170">
        <f>COUNTIF(SEMANA29[Columna173],AI66)</f>
        <v/>
      </c>
      <c r="AM66" s="430">
        <f>SUM(AJ66,AK66,AL66)</f>
        <v/>
      </c>
      <c r="AN66" s="172" t="n">
        <v>8</v>
      </c>
      <c r="AO66" s="170">
        <f>(COUNTIF(SEMANA29[123],AN66)*3)</f>
        <v/>
      </c>
      <c r="AP66" s="170">
        <f>(COUNTIF(SEMANA29[555],AN66)*2)</f>
        <v/>
      </c>
      <c r="AQ66" s="170">
        <f>COUNTIF(SEMANA29[556],AN66)</f>
        <v/>
      </c>
      <c r="AR66" s="430">
        <f>SUM(AO66,AP66,AQ66)</f>
        <v/>
      </c>
      <c r="AS66" s="172" t="n">
        <v>2</v>
      </c>
      <c r="AT66" s="170">
        <f>(COUNTIF(SEMANA29[AAAA],AS66)*3)</f>
        <v/>
      </c>
      <c r="AU66" s="170">
        <f>(COUNTIF(SEMANA29[BBBB],AS66)*2)</f>
        <v/>
      </c>
      <c r="AV66" s="170">
        <f>COUNTIF(SEMANA29[Columna13],AS66)</f>
        <v/>
      </c>
      <c r="AW66" s="430">
        <f>SUM(AT66,AU66,AV66)</f>
        <v/>
      </c>
      <c r="AX66" s="172" t="n">
        <v>1</v>
      </c>
      <c r="AY66" s="170">
        <f>(COUNTIF(SEMANA29[Columna25],AX66)*3)</f>
        <v/>
      </c>
      <c r="AZ66" s="170">
        <f>(COUNTIF(SEMANA29[Columna26],AX66)*2)</f>
        <v/>
      </c>
      <c r="BA66" s="170">
        <f>COUNTIF(SEMANA29[Columna263],AX66)</f>
        <v/>
      </c>
      <c r="BB66" s="430">
        <f>SUM(AY66,AZ66,BA66)</f>
        <v/>
      </c>
      <c r="BC66" s="172" t="n">
        <v>7</v>
      </c>
      <c r="BD66" s="170">
        <f>(COUNTIF(SEMANA29[Columna272],BC66)*3)</f>
        <v/>
      </c>
      <c r="BE66" s="170">
        <f>(COUNTIF(SEMANA29[Columna273],BC66)*2)</f>
        <v/>
      </c>
      <c r="BF66" s="170">
        <f>COUNTIF(SEMANA29[Columna2732],BC66)</f>
        <v/>
      </c>
      <c r="BG66" s="430">
        <f>SUM(BD66,BE66,BF66)</f>
        <v/>
      </c>
      <c r="BH66" s="172" t="n">
        <v>6</v>
      </c>
      <c r="BI66" s="170">
        <f>(COUNTIF(SEMANA29[Columna276],BH66)*3)</f>
        <v/>
      </c>
      <c r="BJ66" s="170">
        <f>(COUNTIF(SEMANA29[Columna277],BH66)*2)</f>
        <v/>
      </c>
      <c r="BK66" s="170">
        <f>COUNTIF(SEMANA29[Columna2772],BH66)</f>
        <v/>
      </c>
      <c r="BL66" s="430">
        <f>SUM(BI66,BJ66,BK66)</f>
        <v/>
      </c>
      <c r="BM66" s="172" t="n">
        <v>4</v>
      </c>
      <c r="BN66" s="170">
        <f>(COUNTIF(SEMANA29[Columna280],BM66)*3)</f>
        <v/>
      </c>
      <c r="BO66" s="170">
        <f>(COUNTIF(SEMANA29[Columna281],BM66)*2)</f>
        <v/>
      </c>
      <c r="BP66" s="170">
        <f>COUNTIF(SEMANA29[Columna2812],BM66)</f>
        <v/>
      </c>
      <c r="BQ66" s="171">
        <f>SUM(BN66,BO66,BP66)</f>
        <v/>
      </c>
      <c r="BR66" s="169" t="n">
        <v>11</v>
      </c>
      <c r="BS66" s="426">
        <f>(COUNTIF(SEMANA29[Columna2802],BR66)*3)</f>
        <v/>
      </c>
      <c r="BT66" s="170">
        <f>(COUNTIF(SEMANA29[Columna2813],BR66)*2)</f>
        <v/>
      </c>
      <c r="BU66" s="427">
        <f>COUNTIF(SEMANA29[Columna28124],BR66)</f>
        <v/>
      </c>
      <c r="BV66" s="171">
        <f>SUM(BS66,BT66,BU66)</f>
        <v/>
      </c>
      <c r="BW66" s="172" t="n">
        <v>1</v>
      </c>
      <c r="BX66" s="426">
        <f>(COUNTIF(SEMANA29[Columna2803],BW66)*3)</f>
        <v/>
      </c>
      <c r="BY66" s="170">
        <f>(COUNTIF(SEMANA29[Columna2814],BW66)*2)</f>
        <v/>
      </c>
      <c r="BZ66" s="427">
        <f>COUNTIF(SEMANA29[Columna28125],BW66)</f>
        <v/>
      </c>
      <c r="CA66" s="171">
        <f>SUM(BX66,BY66,BZ66)</f>
        <v/>
      </c>
      <c r="CB66" s="172" t="n">
        <v>1</v>
      </c>
      <c r="CC66" s="426">
        <f>(COUNTIF(SEMANA29[Columna2804],CB66)*3)</f>
        <v/>
      </c>
      <c r="CD66" s="170">
        <f>(COUNTIF(SEMANA29[Columna2815],CB66)*2)</f>
        <v/>
      </c>
      <c r="CE66" s="427">
        <f>COUNTIF(SEMANA29[Columna28126],CB66)</f>
        <v/>
      </c>
      <c r="CF66" s="171">
        <f>SUM(CC66,CD66,CE66)</f>
        <v/>
      </c>
      <c r="CG66" s="105" t="n"/>
      <c r="CH66" s="105" t="n"/>
      <c r="DP66" s="393" t="n"/>
      <c r="DQ66" s="393" t="n"/>
      <c r="DR66" s="393" t="n"/>
      <c r="EH66" s="393" t="n"/>
      <c r="EI66" s="393" t="n"/>
      <c r="EJ66" s="393" t="n"/>
    </row>
    <row r="67" ht="27.95" customHeight="1" s="568">
      <c r="B67" s="104" t="n"/>
      <c r="C67" s="105" t="n"/>
      <c r="D67" s="105" t="n"/>
      <c r="E67" s="173" t="n">
        <v>2</v>
      </c>
      <c r="F67" s="110">
        <f>(COUNTIF(SEMANA29[1],E67)*3)</f>
        <v/>
      </c>
      <c r="G67" s="174">
        <f>(COUNTIF(SEMANA29[2],E67)*2)</f>
        <v/>
      </c>
      <c r="H67" s="174">
        <f>COUNTIF(SEMANA29[22],E67)</f>
        <v/>
      </c>
      <c r="I67" s="431">
        <f>SUM(F67,G67,H67)</f>
        <v/>
      </c>
      <c r="J67" s="175" t="n">
        <v>7</v>
      </c>
      <c r="K67" s="174">
        <f>(COUNTIF(SEMANA29[12],J67)*3)</f>
        <v/>
      </c>
      <c r="L67" s="174">
        <f>(COUNTIF(SEMANA29[Columna2],J67)*2)</f>
        <v/>
      </c>
      <c r="M67" s="174">
        <f>COUNTIF(SEMANA29[Columna23],J67)</f>
        <v/>
      </c>
      <c r="N67" s="431">
        <f>SUM(K67,L67,M67)</f>
        <v/>
      </c>
      <c r="O67" s="175" t="n">
        <v>1</v>
      </c>
      <c r="P67" s="174">
        <f>(COUNTIF(SEMANA29[Columna4],O67)*3)</f>
        <v/>
      </c>
      <c r="Q67" s="174">
        <f>(COUNTIF(SEMANA29[Columna5],O67)*2)</f>
        <v/>
      </c>
      <c r="R67" s="174">
        <f>COUNTIF(SEMANA29[Columna53],O67)</f>
        <v/>
      </c>
      <c r="S67" s="431">
        <f>SUM(P67,Q67,R67)</f>
        <v/>
      </c>
      <c r="T67" s="175" t="n">
        <v>5</v>
      </c>
      <c r="U67" s="174">
        <f>(COUNTIF(SEMANA29[Columna7],T67)*3)</f>
        <v/>
      </c>
      <c r="V67" s="174">
        <f>(COUNTIF(SEMANA29[Columna8],T67)*2)</f>
        <v/>
      </c>
      <c r="W67" s="174">
        <f>COUNTIF(SEMANA29[Columna83],T67)</f>
        <v/>
      </c>
      <c r="X67" s="431">
        <f>SUM(U67,V67,W67)</f>
        <v/>
      </c>
      <c r="Y67" s="175" t="n">
        <v>1</v>
      </c>
      <c r="Z67" s="174">
        <f>(COUNTIF(SEMANA29[Columna10],Y67)*3)</f>
        <v/>
      </c>
      <c r="AA67" s="174">
        <f>(COUNTIF(SEMANA29[Columna11],Y67)*2)</f>
        <v/>
      </c>
      <c r="AB67" s="174">
        <f>COUNTIF(SEMANA29[Columna113],Y67)</f>
        <v/>
      </c>
      <c r="AC67" s="431">
        <f>SUM(Z67,AA67,AB67)</f>
        <v/>
      </c>
      <c r="AD67" s="175" t="n">
        <v>4</v>
      </c>
      <c r="AE67" s="174">
        <f>(COUNTIF(SEMANA29[1RA],AD67)*3)</f>
        <v/>
      </c>
      <c r="AF67" s="174">
        <f>(COUNTIF(SEMANA29[2DA],AD67)*2)</f>
        <v/>
      </c>
      <c r="AG67" s="174">
        <f>COUNTIF(SEMANA29[2DA2],AD67)</f>
        <v/>
      </c>
      <c r="AH67" s="431">
        <f>SUM(AE67,AF67,AG67)</f>
        <v/>
      </c>
      <c r="AI67" s="175" t="n">
        <v>6</v>
      </c>
      <c r="AJ67" s="174">
        <f>(COUNTIF(SEMANA29[Columna16],AI67)*3)</f>
        <v/>
      </c>
      <c r="AK67" s="174">
        <f>(COUNTIF(SEMANA29[Columna17],AI67)*2)</f>
        <v/>
      </c>
      <c r="AL67" s="174">
        <f>COUNTIF(SEMANA29[Columna173],AI67)</f>
        <v/>
      </c>
      <c r="AM67" s="431">
        <f>SUM(AJ67,AK67,AL67)</f>
        <v/>
      </c>
      <c r="AN67" s="175" t="n">
        <v>1</v>
      </c>
      <c r="AO67" s="174">
        <f>(COUNTIF(SEMANA29[123],AN67)*3)</f>
        <v/>
      </c>
      <c r="AP67" s="174">
        <f>(COUNTIF(SEMANA29[555],AN67)*2)</f>
        <v/>
      </c>
      <c r="AQ67" s="174">
        <f>COUNTIF(SEMANA29[556],AN67)</f>
        <v/>
      </c>
      <c r="AR67" s="431">
        <f>SUM(AO67,AP67,AQ67)</f>
        <v/>
      </c>
      <c r="AS67" s="175" t="n">
        <v>10</v>
      </c>
      <c r="AT67" s="174">
        <f>(COUNTIF(SEMANA29[AAAA],AS67)*3)</f>
        <v/>
      </c>
      <c r="AU67" s="174">
        <f>(COUNTIF(SEMANA29[BBBB],AS67)*2)</f>
        <v/>
      </c>
      <c r="AV67" s="174">
        <f>COUNTIF(SEMANA29[Columna13],AS67)</f>
        <v/>
      </c>
      <c r="AW67" s="431">
        <f>SUM(AT67,AU67,AV67)</f>
        <v/>
      </c>
      <c r="AX67" s="175" t="n">
        <v>10</v>
      </c>
      <c r="AY67" s="174">
        <f>(COUNTIF(SEMANA29[Columna25],AX67)*3)</f>
        <v/>
      </c>
      <c r="AZ67" s="174">
        <f>(COUNTIF(SEMANA29[Columna26],AX67)*2)</f>
        <v/>
      </c>
      <c r="BA67" s="174">
        <f>COUNTIF(SEMANA29[Columna263],AX67)</f>
        <v/>
      </c>
      <c r="BB67" s="431">
        <f>SUM(AY67,AZ67,BA67)</f>
        <v/>
      </c>
      <c r="BC67" s="175" t="n">
        <v>5</v>
      </c>
      <c r="BD67" s="174">
        <f>(COUNTIF(SEMANA29[Columna272],BC67)*3)</f>
        <v/>
      </c>
      <c r="BE67" s="174">
        <f>(COUNTIF(SEMANA29[Columna273],BC67)*2)</f>
        <v/>
      </c>
      <c r="BF67" s="174">
        <f>COUNTIF(SEMANA29[Columna2732],BC67)</f>
        <v/>
      </c>
      <c r="BG67" s="431">
        <f>SUM(BD67,BE67,BF67)</f>
        <v/>
      </c>
      <c r="BH67" s="175" t="n">
        <v>1</v>
      </c>
      <c r="BI67" s="174">
        <f>(COUNTIF(SEMANA29[Columna276],BH67)*3)</f>
        <v/>
      </c>
      <c r="BJ67" s="174">
        <f>(COUNTIF(SEMANA29[Columna277],BH67)*2)</f>
        <v/>
      </c>
      <c r="BK67" s="174">
        <f>COUNTIF(SEMANA29[Columna2772],BH67)</f>
        <v/>
      </c>
      <c r="BL67" s="431">
        <f>SUM(BI67,BJ67,BK67)</f>
        <v/>
      </c>
      <c r="BM67" s="175" t="n">
        <v>1</v>
      </c>
      <c r="BN67" s="174">
        <f>(COUNTIF(SEMANA29[Columna280],BM67)*3)</f>
        <v/>
      </c>
      <c r="BO67" s="174">
        <f>(COUNTIF(SEMANA29[Columna281],BM67)*2)</f>
        <v/>
      </c>
      <c r="BP67" s="174">
        <f>COUNTIF(SEMANA29[Columna2812],BM67)</f>
        <v/>
      </c>
      <c r="BQ67" s="111">
        <f>SUM(BN67,BO67,BP67)</f>
        <v/>
      </c>
      <c r="BR67" s="173" t="n">
        <v>5</v>
      </c>
      <c r="BS67" s="110">
        <f>(COUNTIF(SEMANA29[Columna2802],BR67)*3)</f>
        <v/>
      </c>
      <c r="BT67" s="174">
        <f>(COUNTIF(SEMANA29[Columna2813],BR67)*2)</f>
        <v/>
      </c>
      <c r="BU67" s="428">
        <f>COUNTIF(SEMANA29[Columna28124],BR67)</f>
        <v/>
      </c>
      <c r="BV67" s="111">
        <f>SUM(BS67,BT67,BU67)</f>
        <v/>
      </c>
      <c r="BW67" s="175" t="n">
        <v>3</v>
      </c>
      <c r="BX67" s="110">
        <f>(COUNTIF(SEMANA29[Columna2803],BW67)*3)</f>
        <v/>
      </c>
      <c r="BY67" s="174">
        <f>(COUNTIF(SEMANA29[Columna2814],BW67)*2)</f>
        <v/>
      </c>
      <c r="BZ67" s="428">
        <f>COUNTIF(SEMANA29[Columna28125],BW67)</f>
        <v/>
      </c>
      <c r="CA67" s="111">
        <f>SUM(BX67,BY67,BZ67)</f>
        <v/>
      </c>
      <c r="CB67" s="175" t="n">
        <v>3</v>
      </c>
      <c r="CC67" s="110">
        <f>(COUNTIF(SEMANA29[Columna2804],CB67)*3)</f>
        <v/>
      </c>
      <c r="CD67" s="174">
        <f>(COUNTIF(SEMANA29[Columna2815],CB67)*2)</f>
        <v/>
      </c>
      <c r="CE67" s="428">
        <f>COUNTIF(SEMANA29[Columna28126],CB67)</f>
        <v/>
      </c>
      <c r="CF67" s="111">
        <f>SUM(CC67,CD67,CE67)</f>
        <v/>
      </c>
      <c r="CG67" s="105" t="n"/>
      <c r="CH67" s="105" t="n"/>
      <c r="DP67" s="393" t="n"/>
      <c r="DQ67" s="393" t="n"/>
      <c r="DR67" s="393" t="n"/>
      <c r="EH67" s="393" t="n"/>
      <c r="EI67" s="393" t="n"/>
      <c r="EJ67" s="393" t="n"/>
    </row>
    <row r="68" ht="27.95" customHeight="1" s="568">
      <c r="B68" s="104" t="n"/>
      <c r="C68" s="105" t="n"/>
      <c r="D68" s="105" t="n"/>
      <c r="E68" s="173" t="n">
        <v>6</v>
      </c>
      <c r="F68" s="110">
        <f>(COUNTIF(SEMANA29[1],E68)*3)</f>
        <v/>
      </c>
      <c r="G68" s="174">
        <f>(COUNTIF(SEMANA29[2],E68)*2)</f>
        <v/>
      </c>
      <c r="H68" s="174">
        <f>COUNTIF(SEMANA29[22],E68)</f>
        <v/>
      </c>
      <c r="I68" s="431">
        <f>SUM(F68,G68,H68)</f>
        <v/>
      </c>
      <c r="J68" s="175" t="n">
        <v>2</v>
      </c>
      <c r="K68" s="174">
        <f>(COUNTIF(SEMANA29[12],J68)*3)</f>
        <v/>
      </c>
      <c r="L68" s="174">
        <f>(COUNTIF(SEMANA29[Columna2],J68)*2)</f>
        <v/>
      </c>
      <c r="M68" s="174">
        <f>COUNTIF(SEMANA29[Columna23],J68)</f>
        <v/>
      </c>
      <c r="N68" s="431">
        <f>SUM(K68,L68,M68)</f>
        <v/>
      </c>
      <c r="O68" s="175" t="n">
        <v>3</v>
      </c>
      <c r="P68" s="174">
        <f>(COUNTIF(SEMANA29[Columna4],O68)*3)</f>
        <v/>
      </c>
      <c r="Q68" s="174">
        <f>(COUNTIF(SEMANA29[Columna5],O68)*2)</f>
        <v/>
      </c>
      <c r="R68" s="174">
        <f>COUNTIF(SEMANA29[Columna53],O68)</f>
        <v/>
      </c>
      <c r="S68" s="431">
        <f>SUM(P68,Q68,R68)</f>
        <v/>
      </c>
      <c r="T68" s="175" t="n">
        <v>7</v>
      </c>
      <c r="U68" s="174">
        <f>(COUNTIF(SEMANA29[Columna7],T68)*3)</f>
        <v/>
      </c>
      <c r="V68" s="174">
        <f>(COUNTIF(SEMANA29[Columna8],T68)*2)</f>
        <v/>
      </c>
      <c r="W68" s="174">
        <f>COUNTIF(SEMANA29[Columna83],T68)</f>
        <v/>
      </c>
      <c r="X68" s="431">
        <f>SUM(U68,V68,W68)</f>
        <v/>
      </c>
      <c r="Y68" s="175" t="n">
        <v>7</v>
      </c>
      <c r="Z68" s="174">
        <f>(COUNTIF(SEMANA29[Columna10],Y68)*3)</f>
        <v/>
      </c>
      <c r="AA68" s="174">
        <f>(COUNTIF(SEMANA29[Columna11],Y68)*2)</f>
        <v/>
      </c>
      <c r="AB68" s="174">
        <f>COUNTIF(SEMANA29[Columna113],Y68)</f>
        <v/>
      </c>
      <c r="AC68" s="431">
        <f>SUM(Z68,AA68,AB68)</f>
        <v/>
      </c>
      <c r="AD68" s="175" t="n">
        <v>10</v>
      </c>
      <c r="AE68" s="174">
        <f>(COUNTIF(SEMANA29[1RA],AD68)*3)</f>
        <v/>
      </c>
      <c r="AF68" s="174">
        <f>(COUNTIF(SEMANA29[2DA],AD68)*2)</f>
        <v/>
      </c>
      <c r="AG68" s="174">
        <f>COUNTIF(SEMANA29[2DA2],AD68)</f>
        <v/>
      </c>
      <c r="AH68" s="431">
        <f>SUM(AE68,AF68,AG68)</f>
        <v/>
      </c>
      <c r="AI68" s="175" t="n">
        <v>8</v>
      </c>
      <c r="AJ68" s="174">
        <f>(COUNTIF(SEMANA29[Columna16],AI68)*3)</f>
        <v/>
      </c>
      <c r="AK68" s="174">
        <f>(COUNTIF(SEMANA29[Columna17],AI68)*2)</f>
        <v/>
      </c>
      <c r="AL68" s="174">
        <f>COUNTIF(SEMANA29[Columna173],AI68)</f>
        <v/>
      </c>
      <c r="AM68" s="431">
        <f>SUM(AJ68,AK68,AL68)</f>
        <v/>
      </c>
      <c r="AN68" s="175" t="n">
        <v>2</v>
      </c>
      <c r="AO68" s="174">
        <f>(COUNTIF(SEMANA29[123],AN68)*3)</f>
        <v/>
      </c>
      <c r="AP68" s="174">
        <f>(COUNTIF(SEMANA29[555],AN68)*2)</f>
        <v/>
      </c>
      <c r="AQ68" s="174">
        <f>COUNTIF(SEMANA29[556],AN68)</f>
        <v/>
      </c>
      <c r="AR68" s="431">
        <f>SUM(AO68,AP68,AQ68)</f>
        <v/>
      </c>
      <c r="AS68" s="175" t="n">
        <v>1</v>
      </c>
      <c r="AT68" s="174">
        <f>(COUNTIF(SEMANA29[AAAA],AS68)*3)</f>
        <v/>
      </c>
      <c r="AU68" s="174">
        <f>(COUNTIF(SEMANA29[BBBB],AS68)*2)</f>
        <v/>
      </c>
      <c r="AV68" s="174">
        <f>COUNTIF(SEMANA29[Columna13],AS68)</f>
        <v/>
      </c>
      <c r="AW68" s="431">
        <f>SUM(AT68,AU68,AV68)</f>
        <v/>
      </c>
      <c r="AX68" s="175" t="n">
        <v>6</v>
      </c>
      <c r="AY68" s="174">
        <f>(COUNTIF(SEMANA29[Columna25],AX68)*3)</f>
        <v/>
      </c>
      <c r="AZ68" s="174">
        <f>(COUNTIF(SEMANA29[Columna26],AX68)*2)</f>
        <v/>
      </c>
      <c r="BA68" s="174">
        <f>COUNTIF(SEMANA29[Columna263],AX68)</f>
        <v/>
      </c>
      <c r="BB68" s="431">
        <f>SUM(AY68,AZ68,BA68)</f>
        <v/>
      </c>
      <c r="BC68" s="175" t="n">
        <v>6</v>
      </c>
      <c r="BD68" s="174">
        <f>(COUNTIF(SEMANA29[Columna272],BC68)*3)</f>
        <v/>
      </c>
      <c r="BE68" s="174">
        <f>(COUNTIF(SEMANA29[Columna273],BC68)*2)</f>
        <v/>
      </c>
      <c r="BF68" s="174">
        <f>COUNTIF(SEMANA29[Columna2732],BC68)</f>
        <v/>
      </c>
      <c r="BG68" s="431">
        <f>SUM(BD68,BE68,BF68)</f>
        <v/>
      </c>
      <c r="BH68" s="175" t="n">
        <v>2</v>
      </c>
      <c r="BI68" s="174">
        <f>(COUNTIF(SEMANA29[Columna276],BH68)*3)</f>
        <v/>
      </c>
      <c r="BJ68" s="174">
        <f>(COUNTIF(SEMANA29[Columna277],BH68)*2)</f>
        <v/>
      </c>
      <c r="BK68" s="174">
        <f>COUNTIF(SEMANA29[Columna2772],BH68)</f>
        <v/>
      </c>
      <c r="BL68" s="431">
        <f>SUM(BI68,BJ68,BK68)</f>
        <v/>
      </c>
      <c r="BM68" s="175" t="n">
        <v>9</v>
      </c>
      <c r="BN68" s="174">
        <f>(COUNTIF(SEMANA29[Columna280],BM68)*3)</f>
        <v/>
      </c>
      <c r="BO68" s="174">
        <f>(COUNTIF(SEMANA29[Columna281],BM68)*2)</f>
        <v/>
      </c>
      <c r="BP68" s="174">
        <f>COUNTIF(SEMANA29[Columna2812],BM68)</f>
        <v/>
      </c>
      <c r="BQ68" s="111">
        <f>SUM(BN68,BO68,BP68)</f>
        <v/>
      </c>
      <c r="BR68" s="173" t="n">
        <v>1</v>
      </c>
      <c r="BS68" s="110">
        <f>(COUNTIF(SEMANA29[Columna2802],BR68)*3)</f>
        <v/>
      </c>
      <c r="BT68" s="174">
        <f>(COUNTIF(SEMANA29[Columna2813],BR68)*2)</f>
        <v/>
      </c>
      <c r="BU68" s="428">
        <f>COUNTIF(SEMANA29[Columna28124],BR68)</f>
        <v/>
      </c>
      <c r="BV68" s="111">
        <f>SUM(BS68,BT68,BU68)</f>
        <v/>
      </c>
      <c r="BW68" s="175" t="n">
        <v>12</v>
      </c>
      <c r="BX68" s="110">
        <f>(COUNTIF(SEMANA29[Columna2803],BW68)*3)</f>
        <v/>
      </c>
      <c r="BY68" s="174">
        <f>(COUNTIF(SEMANA29[Columna2814],BW68)*2)</f>
        <v/>
      </c>
      <c r="BZ68" s="428">
        <f>COUNTIF(SEMANA29[Columna28125],BW68)</f>
        <v/>
      </c>
      <c r="CA68" s="111">
        <f>SUM(BX68,BY68,BZ68)</f>
        <v/>
      </c>
      <c r="CB68" s="175" t="n">
        <v>12</v>
      </c>
      <c r="CC68" s="110">
        <f>(COUNTIF(SEMANA29[Columna2804],CB68)*3)</f>
        <v/>
      </c>
      <c r="CD68" s="174">
        <f>(COUNTIF(SEMANA29[Columna2815],CB68)*2)</f>
        <v/>
      </c>
      <c r="CE68" s="428">
        <f>COUNTIF(SEMANA29[Columna28126],CB68)</f>
        <v/>
      </c>
      <c r="CF68" s="111">
        <f>SUM(CC68,CD68,CE68)</f>
        <v/>
      </c>
      <c r="CG68" s="105" t="n"/>
      <c r="CH68" s="105" t="n"/>
      <c r="DP68" s="393" t="n"/>
      <c r="DQ68" s="393" t="n"/>
      <c r="DR68" s="393" t="n"/>
      <c r="EH68" s="393" t="n"/>
      <c r="EI68" s="393" t="n"/>
      <c r="EJ68" s="393" t="n"/>
    </row>
    <row r="69" ht="27.95" customHeight="1" s="568">
      <c r="B69" s="104" t="n"/>
      <c r="C69" s="105" t="n"/>
      <c r="D69" s="105" t="n"/>
      <c r="E69" s="173" t="n">
        <v>4</v>
      </c>
      <c r="F69" s="110">
        <f>(COUNTIF(SEMANA29[1],E69)*3)</f>
        <v/>
      </c>
      <c r="G69" s="174">
        <f>(COUNTIF(SEMANA29[2],E69)*2)</f>
        <v/>
      </c>
      <c r="H69" s="174">
        <f>COUNTIF(SEMANA29[22],E69)</f>
        <v/>
      </c>
      <c r="I69" s="431">
        <f>SUM(F69,G69,H69)</f>
        <v/>
      </c>
      <c r="J69" s="175" t="n">
        <v>4</v>
      </c>
      <c r="K69" s="174">
        <f>(COUNTIF(SEMANA29[12],J69)*3)</f>
        <v/>
      </c>
      <c r="L69" s="174">
        <f>(COUNTIF(SEMANA29[Columna2],J69)*2)</f>
        <v/>
      </c>
      <c r="M69" s="174">
        <f>COUNTIF(SEMANA29[Columna23],J69)</f>
        <v/>
      </c>
      <c r="N69" s="431">
        <f>SUM(K69,L69,M69)</f>
        <v/>
      </c>
      <c r="O69" s="175" t="n">
        <v>7</v>
      </c>
      <c r="P69" s="174">
        <f>(COUNTIF(SEMANA29[Columna4],O69)*3)</f>
        <v/>
      </c>
      <c r="Q69" s="174">
        <f>(COUNTIF(SEMANA29[Columna5],O69)*2)</f>
        <v/>
      </c>
      <c r="R69" s="174">
        <f>COUNTIF(SEMANA29[Columna53],O69)</f>
        <v/>
      </c>
      <c r="S69" s="431">
        <f>SUM(P69,Q69,R69)</f>
        <v/>
      </c>
      <c r="T69" s="175" t="n">
        <v>4</v>
      </c>
      <c r="U69" s="174">
        <f>(COUNTIF(SEMANA29[Columna7],T69)*3)</f>
        <v/>
      </c>
      <c r="V69" s="174">
        <f>(COUNTIF(SEMANA29[Columna8],T69)*2)</f>
        <v/>
      </c>
      <c r="W69" s="174">
        <f>COUNTIF(SEMANA29[Columna83],T69)</f>
        <v/>
      </c>
      <c r="X69" s="431">
        <f>SUM(U69,V69,W69)</f>
        <v/>
      </c>
      <c r="Y69" s="175" t="n">
        <v>4</v>
      </c>
      <c r="Z69" s="174">
        <f>(COUNTIF(SEMANA29[Columna10],Y69)*3)</f>
        <v/>
      </c>
      <c r="AA69" s="174">
        <f>(COUNTIF(SEMANA29[Columna11],Y69)*2)</f>
        <v/>
      </c>
      <c r="AB69" s="174">
        <f>COUNTIF(SEMANA29[Columna113],Y69)</f>
        <v/>
      </c>
      <c r="AC69" s="431">
        <f>SUM(Z69,AA69,AB69)</f>
        <v/>
      </c>
      <c r="AD69" s="175" t="n">
        <v>3</v>
      </c>
      <c r="AE69" s="174">
        <f>(COUNTIF(SEMANA29[1RA],AD69)*3)</f>
        <v/>
      </c>
      <c r="AF69" s="174">
        <f>(COUNTIF(SEMANA29[2DA],AD69)*2)</f>
        <v/>
      </c>
      <c r="AG69" s="174">
        <f>COUNTIF(SEMANA29[2DA2],AD69)</f>
        <v/>
      </c>
      <c r="AH69" s="431">
        <f>SUM(AE69,AF69,AG69)</f>
        <v/>
      </c>
      <c r="AI69" s="175" t="n">
        <v>2</v>
      </c>
      <c r="AJ69" s="174">
        <f>(COUNTIF(SEMANA29[Columna16],AI69)*3)</f>
        <v/>
      </c>
      <c r="AK69" s="174">
        <f>(COUNTIF(SEMANA29[Columna17],AI69)*2)</f>
        <v/>
      </c>
      <c r="AL69" s="174">
        <f>COUNTIF(SEMANA29[Columna173],AI69)</f>
        <v/>
      </c>
      <c r="AM69" s="431">
        <f>SUM(AJ69,AK69,AL69)</f>
        <v/>
      </c>
      <c r="AN69" s="175" t="n">
        <v>6</v>
      </c>
      <c r="AO69" s="174">
        <f>(COUNTIF(SEMANA29[123],AN69)*3)</f>
        <v/>
      </c>
      <c r="AP69" s="174">
        <f>(COUNTIF(SEMANA29[555],AN69)*2)</f>
        <v/>
      </c>
      <c r="AQ69" s="174">
        <f>COUNTIF(SEMANA29[556],AN69)</f>
        <v/>
      </c>
      <c r="AR69" s="431">
        <f>SUM(AO69,AP69,AQ69)</f>
        <v/>
      </c>
      <c r="AS69" s="175" t="n">
        <v>9</v>
      </c>
      <c r="AT69" s="174">
        <f>(COUNTIF(SEMANA29[AAAA],AS69)*3)</f>
        <v/>
      </c>
      <c r="AU69" s="174">
        <f>(COUNTIF(SEMANA29[BBBB],AS69)*2)</f>
        <v/>
      </c>
      <c r="AV69" s="174">
        <f>COUNTIF(SEMANA29[Columna13],AS69)</f>
        <v/>
      </c>
      <c r="AW69" s="431">
        <f>SUM(AT69,AU69,AV69)</f>
        <v/>
      </c>
      <c r="AX69" s="175" t="n">
        <v>2</v>
      </c>
      <c r="AY69" s="174">
        <f>(COUNTIF(SEMANA29[Columna25],AX69)*3)</f>
        <v/>
      </c>
      <c r="AZ69" s="174">
        <f>(COUNTIF(SEMANA29[Columna26],AX69)*2)</f>
        <v/>
      </c>
      <c r="BA69" s="174">
        <f>COUNTIF(SEMANA29[Columna263],AX69)</f>
        <v/>
      </c>
      <c r="BB69" s="431">
        <f>SUM(AY69,AZ69,BA69)</f>
        <v/>
      </c>
      <c r="BC69" s="175" t="n">
        <v>3</v>
      </c>
      <c r="BD69" s="174">
        <f>(COUNTIF(SEMANA29[Columna272],BC69)*3)</f>
        <v/>
      </c>
      <c r="BE69" s="174">
        <f>(COUNTIF(SEMANA29[Columna273],BC69)*2)</f>
        <v/>
      </c>
      <c r="BF69" s="174">
        <f>COUNTIF(SEMANA29[Columna2732],BC69)</f>
        <v/>
      </c>
      <c r="BG69" s="431">
        <f>SUM(BD69,BE69,BF69)</f>
        <v/>
      </c>
      <c r="BH69" s="175" t="n">
        <v>5</v>
      </c>
      <c r="BI69" s="174">
        <f>(COUNTIF(SEMANA29[Columna276],BH69)*3)</f>
        <v/>
      </c>
      <c r="BJ69" s="174">
        <f>(COUNTIF(SEMANA29[Columna277],BH69)*2)</f>
        <v/>
      </c>
      <c r="BK69" s="174">
        <f>COUNTIF(SEMANA29[Columna2772],BH69)</f>
        <v/>
      </c>
      <c r="BL69" s="431">
        <f>SUM(BI69,BJ69,BK69)</f>
        <v/>
      </c>
      <c r="BM69" s="175" t="n">
        <v>3</v>
      </c>
      <c r="BN69" s="174">
        <f>(COUNTIF(SEMANA29[Columna280],BM69)*3)</f>
        <v/>
      </c>
      <c r="BO69" s="174">
        <f>(COUNTIF(SEMANA29[Columna281],BM69)*2)</f>
        <v/>
      </c>
      <c r="BP69" s="174">
        <f>COUNTIF(SEMANA29[Columna2812],BM69)</f>
        <v/>
      </c>
      <c r="BQ69" s="111">
        <f>SUM(BN69,BO69,BP69)</f>
        <v/>
      </c>
      <c r="BR69" s="173" t="n">
        <v>2</v>
      </c>
      <c r="BS69" s="110">
        <f>(COUNTIF(SEMANA29[Columna2802],BR69)*3)</f>
        <v/>
      </c>
      <c r="BT69" s="174">
        <f>(COUNTIF(SEMANA29[Columna2813],BR69)*2)</f>
        <v/>
      </c>
      <c r="BU69" s="428">
        <f>COUNTIF(SEMANA29[Columna28124],BR69)</f>
        <v/>
      </c>
      <c r="BV69" s="111">
        <f>SUM(BS69,BT69,BU69)</f>
        <v/>
      </c>
      <c r="BW69" s="175" t="n">
        <v>2</v>
      </c>
      <c r="BX69" s="110">
        <f>(COUNTIF(SEMANA29[Columna2803],BW69)*3)</f>
        <v/>
      </c>
      <c r="BY69" s="174">
        <f>(COUNTIF(SEMANA29[Columna2814],BW69)*2)</f>
        <v/>
      </c>
      <c r="BZ69" s="428">
        <f>COUNTIF(SEMANA29[Columna28125],BW69)</f>
        <v/>
      </c>
      <c r="CA69" s="111">
        <f>SUM(BX69,BY69,BZ69)</f>
        <v/>
      </c>
      <c r="CB69" s="175" t="n">
        <v>2</v>
      </c>
      <c r="CC69" s="110">
        <f>(COUNTIF(SEMANA29[Columna2804],CB69)*3)</f>
        <v/>
      </c>
      <c r="CD69" s="174">
        <f>(COUNTIF(SEMANA29[Columna2815],CB69)*2)</f>
        <v/>
      </c>
      <c r="CE69" s="428">
        <f>COUNTIF(SEMANA29[Columna28126],CB69)</f>
        <v/>
      </c>
      <c r="CF69" s="111">
        <f>SUM(CC69,CD69,CE69)</f>
        <v/>
      </c>
      <c r="CG69" s="105" t="n"/>
      <c r="CH69" s="105" t="n"/>
      <c r="DP69" s="393" t="n"/>
      <c r="DQ69" s="393" t="n"/>
      <c r="DR69" s="393" t="n"/>
      <c r="EH69" s="393" t="n"/>
      <c r="EI69" s="393" t="n"/>
      <c r="EJ69" s="393" t="n"/>
    </row>
    <row r="70" ht="27.95" customHeight="1" s="568">
      <c r="B70" s="104" t="n"/>
      <c r="C70" s="105" t="n"/>
      <c r="D70" s="105" t="n"/>
      <c r="E70" s="173" t="n">
        <v>3</v>
      </c>
      <c r="F70" s="110">
        <f>(COUNTIF(SEMANA29[1],E70)*3)</f>
        <v/>
      </c>
      <c r="G70" s="174">
        <f>(COUNTIF(SEMANA29[2],E70)*2)</f>
        <v/>
      </c>
      <c r="H70" s="174">
        <f>COUNTIF(SEMANA29[22],E70)</f>
        <v/>
      </c>
      <c r="I70" s="431">
        <f>SUM(F70,G70,H70)</f>
        <v/>
      </c>
      <c r="J70" s="175" t="n">
        <v>6</v>
      </c>
      <c r="K70" s="174">
        <f>(COUNTIF(SEMANA29[12],J70)*3)</f>
        <v/>
      </c>
      <c r="L70" s="174">
        <f>(COUNTIF(SEMANA29[Columna2],J70)*2)</f>
        <v/>
      </c>
      <c r="M70" s="174">
        <f>COUNTIF(SEMANA29[Columna23],J70)</f>
        <v/>
      </c>
      <c r="N70" s="431">
        <f>SUM(K70,L70,M70)</f>
        <v/>
      </c>
      <c r="O70" s="175" t="n">
        <v>8</v>
      </c>
      <c r="P70" s="174">
        <f>(COUNTIF(SEMANA29[Columna4],O70)*3)</f>
        <v/>
      </c>
      <c r="Q70" s="174">
        <f>(COUNTIF(SEMANA29[Columna5],O70)*2)</f>
        <v/>
      </c>
      <c r="R70" s="174">
        <f>COUNTIF(SEMANA29[Columna53],O70)</f>
        <v/>
      </c>
      <c r="S70" s="431">
        <f>SUM(P70,Q70,R70)</f>
        <v/>
      </c>
      <c r="T70" s="175" t="n">
        <v>1</v>
      </c>
      <c r="U70" s="174">
        <f>(COUNTIF(SEMANA29[Columna7],T70)*3)</f>
        <v/>
      </c>
      <c r="V70" s="174">
        <f>(COUNTIF(SEMANA29[Columna8],T70)*2)</f>
        <v/>
      </c>
      <c r="W70" s="174">
        <f>COUNTIF(SEMANA29[Columna83],T70)</f>
        <v/>
      </c>
      <c r="X70" s="431">
        <f>SUM(U70,V70,W70)</f>
        <v/>
      </c>
      <c r="Y70" s="175" t="n">
        <v>5</v>
      </c>
      <c r="Z70" s="174">
        <f>(COUNTIF(SEMANA29[Columna10],Y70)*3)</f>
        <v/>
      </c>
      <c r="AA70" s="174">
        <f>(COUNTIF(SEMANA29[Columna11],Y70)*2)</f>
        <v/>
      </c>
      <c r="AB70" s="174">
        <f>COUNTIF(SEMANA29[Columna113],Y70)</f>
        <v/>
      </c>
      <c r="AC70" s="431">
        <f>SUM(Z70,AA70,AB70)</f>
        <v/>
      </c>
      <c r="AD70" s="175" t="n">
        <v>7</v>
      </c>
      <c r="AE70" s="174">
        <f>(COUNTIF(SEMANA29[1RA],AD70)*3)</f>
        <v/>
      </c>
      <c r="AF70" s="174">
        <f>(COUNTIF(SEMANA29[2DA],AD70)*2)</f>
        <v/>
      </c>
      <c r="AG70" s="174">
        <f>COUNTIF(SEMANA29[2DA2],AD70)</f>
        <v/>
      </c>
      <c r="AH70" s="431">
        <f>SUM(AE70,AF70,AG70)</f>
        <v/>
      </c>
      <c r="AI70" s="175" t="n">
        <v>9</v>
      </c>
      <c r="AJ70" s="174">
        <f>(COUNTIF(SEMANA29[Columna16],AI70)*3)</f>
        <v/>
      </c>
      <c r="AK70" s="174">
        <f>(COUNTIF(SEMANA29[Columna17],AI70)*2)</f>
        <v/>
      </c>
      <c r="AL70" s="174">
        <f>COUNTIF(SEMANA29[Columna173],AI70)</f>
        <v/>
      </c>
      <c r="AM70" s="431">
        <f>SUM(AJ70,AK70,AL70)</f>
        <v/>
      </c>
      <c r="AN70" s="175" t="n">
        <v>4</v>
      </c>
      <c r="AO70" s="174">
        <f>(COUNTIF(SEMANA29[123],AN70)*3)</f>
        <v/>
      </c>
      <c r="AP70" s="174">
        <f>(COUNTIF(SEMANA29[555],AN70)*2)</f>
        <v/>
      </c>
      <c r="AQ70" s="174">
        <f>COUNTIF(SEMANA29[556],AN70)</f>
        <v/>
      </c>
      <c r="AR70" s="431">
        <f>SUM(AO70,AP70,AQ70)</f>
        <v/>
      </c>
      <c r="AS70" s="175" t="n">
        <v>11</v>
      </c>
      <c r="AT70" s="174">
        <f>(COUNTIF(SEMANA29[AAAA],AS70)*3)</f>
        <v/>
      </c>
      <c r="AU70" s="174">
        <f>(COUNTIF(SEMANA29[BBBB],AS70)*2)</f>
        <v/>
      </c>
      <c r="AV70" s="174">
        <f>COUNTIF(SEMANA29[Columna13],AS70)</f>
        <v/>
      </c>
      <c r="AW70" s="431">
        <f>SUM(AT70,AU70,AV70)</f>
        <v/>
      </c>
      <c r="AX70" s="175" t="n">
        <v>5</v>
      </c>
      <c r="AY70" s="174">
        <f>(COUNTIF(SEMANA29[Columna25],AX70)*3)</f>
        <v/>
      </c>
      <c r="AZ70" s="174">
        <f>(COUNTIF(SEMANA29[Columna26],AX70)*2)</f>
        <v/>
      </c>
      <c r="BA70" s="174">
        <f>COUNTIF(SEMANA29[Columna263],AX70)</f>
        <v/>
      </c>
      <c r="BB70" s="431">
        <f>SUM(AY70,AZ70,BA70)</f>
        <v/>
      </c>
      <c r="BC70" s="175" t="n">
        <v>2</v>
      </c>
      <c r="BD70" s="174">
        <f>(COUNTIF(SEMANA29[Columna272],BC70)*3)</f>
        <v/>
      </c>
      <c r="BE70" s="174">
        <f>(COUNTIF(SEMANA29[Columna273],BC70)*2)</f>
        <v/>
      </c>
      <c r="BF70" s="174">
        <f>COUNTIF(SEMANA29[Columna2732],BC70)</f>
        <v/>
      </c>
      <c r="BG70" s="431">
        <f>SUM(BD70,BE70,BF70)</f>
        <v/>
      </c>
      <c r="BH70" s="175" t="n">
        <v>8</v>
      </c>
      <c r="BI70" s="174">
        <f>(COUNTIF(SEMANA29[Columna276],BH70)*3)</f>
        <v/>
      </c>
      <c r="BJ70" s="174">
        <f>(COUNTIF(SEMANA29[Columna277],BH70)*2)</f>
        <v/>
      </c>
      <c r="BK70" s="174">
        <f>COUNTIF(SEMANA29[Columna2772],BH70)</f>
        <v/>
      </c>
      <c r="BL70" s="431">
        <f>SUM(BI70,BJ70,BK70)</f>
        <v/>
      </c>
      <c r="BM70" s="175" t="n">
        <v>5</v>
      </c>
      <c r="BN70" s="174">
        <f>(COUNTIF(SEMANA29[Columna280],BM70)*3)</f>
        <v/>
      </c>
      <c r="BO70" s="174">
        <f>(COUNTIF(SEMANA29[Columna281],BM70)*2)</f>
        <v/>
      </c>
      <c r="BP70" s="174">
        <f>COUNTIF(SEMANA29[Columna2812],BM70)</f>
        <v/>
      </c>
      <c r="BQ70" s="111">
        <f>SUM(BN70,BO70,BP70)</f>
        <v/>
      </c>
      <c r="BR70" s="173" t="n">
        <v>9</v>
      </c>
      <c r="BS70" s="110">
        <f>(COUNTIF(SEMANA29[Columna2802],BR70)*3)</f>
        <v/>
      </c>
      <c r="BT70" s="174">
        <f>(COUNTIF(SEMANA29[Columna2813],BR70)*2)</f>
        <v/>
      </c>
      <c r="BU70" s="428">
        <f>COUNTIF(SEMANA29[Columna28124],BR70)</f>
        <v/>
      </c>
      <c r="BV70" s="111">
        <f>SUM(BS70,BT70,BU70)</f>
        <v/>
      </c>
      <c r="BW70" s="175" t="n">
        <v>9</v>
      </c>
      <c r="BX70" s="110">
        <f>(COUNTIF(SEMANA29[Columna2803],BW70)*3)</f>
        <v/>
      </c>
      <c r="BY70" s="174">
        <f>(COUNTIF(SEMANA29[Columna2814],BW70)*2)</f>
        <v/>
      </c>
      <c r="BZ70" s="428">
        <f>COUNTIF(SEMANA29[Columna28125],BW70)</f>
        <v/>
      </c>
      <c r="CA70" s="111">
        <f>SUM(BX70,BY70,BZ70)</f>
        <v/>
      </c>
      <c r="CB70" s="175" t="n">
        <v>9</v>
      </c>
      <c r="CC70" s="110">
        <f>(COUNTIF(SEMANA29[Columna2804],CB70)*3)</f>
        <v/>
      </c>
      <c r="CD70" s="174">
        <f>(COUNTIF(SEMANA29[Columna2815],CB70)*2)</f>
        <v/>
      </c>
      <c r="CE70" s="428">
        <f>COUNTIF(SEMANA29[Columna28126],CB70)</f>
        <v/>
      </c>
      <c r="CF70" s="111">
        <f>SUM(CC70,CD70,CE70)</f>
        <v/>
      </c>
      <c r="CG70" s="105" t="n"/>
      <c r="CH70" s="105" t="n"/>
      <c r="DP70" s="393" t="n"/>
      <c r="DQ70" s="393" t="n"/>
      <c r="DR70" s="393" t="n"/>
      <c r="EH70" s="393" t="n"/>
      <c r="EI70" s="393" t="n"/>
      <c r="EJ70" s="393" t="n"/>
    </row>
    <row r="71" ht="27.95" customHeight="1" s="568">
      <c r="B71" s="104" t="n"/>
      <c r="C71" s="105" t="n"/>
      <c r="D71" s="105" t="n"/>
      <c r="E71" s="173" t="n">
        <v>5</v>
      </c>
      <c r="F71" s="110">
        <f>(COUNTIF(SEMANA29[1],E71)*3)</f>
        <v/>
      </c>
      <c r="G71" s="174">
        <f>(COUNTIF(SEMANA29[2],E71)*2)</f>
        <v/>
      </c>
      <c r="H71" s="174">
        <f>COUNTIF(SEMANA29[22],E71)</f>
        <v/>
      </c>
      <c r="I71" s="431">
        <f>SUM(F71,G71,H71)</f>
        <v/>
      </c>
      <c r="J71" s="175" t="n">
        <v>10</v>
      </c>
      <c r="K71" s="174">
        <f>(COUNTIF(SEMANA29[12],J71)*3)</f>
        <v/>
      </c>
      <c r="L71" s="174">
        <f>(COUNTIF(SEMANA29[Columna2],J71)*2)</f>
        <v/>
      </c>
      <c r="M71" s="174">
        <f>COUNTIF(SEMANA29[Columna23],J71)</f>
        <v/>
      </c>
      <c r="N71" s="431">
        <f>SUM(K71,L71,M71)</f>
        <v/>
      </c>
      <c r="O71" s="175" t="n">
        <v>4</v>
      </c>
      <c r="P71" s="174">
        <f>(COUNTIF(SEMANA29[Columna4],O71)*3)</f>
        <v/>
      </c>
      <c r="Q71" s="174">
        <f>(COUNTIF(SEMANA29[Columna5],O71)*2)</f>
        <v/>
      </c>
      <c r="R71" s="174">
        <f>COUNTIF(SEMANA29[Columna53],O71)</f>
        <v/>
      </c>
      <c r="S71" s="431">
        <f>SUM(P71,Q71,R71)</f>
        <v/>
      </c>
      <c r="T71" s="175" t="n">
        <v>2</v>
      </c>
      <c r="U71" s="174">
        <f>(COUNTIF(SEMANA29[Columna7],T71)*3)</f>
        <v/>
      </c>
      <c r="V71" s="174">
        <f>(COUNTIF(SEMANA29[Columna8],T71)*2)</f>
        <v/>
      </c>
      <c r="W71" s="174">
        <f>COUNTIF(SEMANA29[Columna83],T71)</f>
        <v/>
      </c>
      <c r="X71" s="431">
        <f>SUM(U71,V71,W71)</f>
        <v/>
      </c>
      <c r="Y71" s="175" t="n">
        <v>6</v>
      </c>
      <c r="Z71" s="174">
        <f>(COUNTIF(SEMANA29[Columna10],Y71)*3)</f>
        <v/>
      </c>
      <c r="AA71" s="174">
        <f>(COUNTIF(SEMANA29[Columna11],Y71)*2)</f>
        <v/>
      </c>
      <c r="AB71" s="174">
        <f>COUNTIF(SEMANA29[Columna113],Y71)</f>
        <v/>
      </c>
      <c r="AC71" s="431">
        <f>SUM(Z71,AA71,AB71)</f>
        <v/>
      </c>
      <c r="AD71" s="175" t="n">
        <v>2</v>
      </c>
      <c r="AE71" s="174">
        <f>(COUNTIF(SEMANA29[1RA],AD71)*3)</f>
        <v/>
      </c>
      <c r="AF71" s="174">
        <f>(COUNTIF(SEMANA29[2DA],AD71)*2)</f>
        <v/>
      </c>
      <c r="AG71" s="174">
        <f>COUNTIF(SEMANA29[2DA2],AD71)</f>
        <v/>
      </c>
      <c r="AH71" s="431">
        <f>SUM(AE71,AF71,AG71)</f>
        <v/>
      </c>
      <c r="AI71" s="175" t="n">
        <v>3</v>
      </c>
      <c r="AJ71" s="174">
        <f>(COUNTIF(SEMANA29[Columna16],AI71)*3)</f>
        <v/>
      </c>
      <c r="AK71" s="174">
        <f>(COUNTIF(SEMANA29[Columna17],AI71)*2)</f>
        <v/>
      </c>
      <c r="AL71" s="174">
        <f>COUNTIF(SEMANA29[Columna173],AI71)</f>
        <v/>
      </c>
      <c r="AM71" s="431">
        <f>SUM(AJ71,AK71,AL71)</f>
        <v/>
      </c>
      <c r="AN71" s="175" t="n">
        <v>7</v>
      </c>
      <c r="AO71" s="174">
        <f>(COUNTIF(SEMANA29[123],AN71)*3)</f>
        <v/>
      </c>
      <c r="AP71" s="174">
        <f>(COUNTIF(SEMANA29[555],AN71)*2)</f>
        <v/>
      </c>
      <c r="AQ71" s="174">
        <f>COUNTIF(SEMANA29[556],AN71)</f>
        <v/>
      </c>
      <c r="AR71" s="431">
        <f>SUM(AO71,AP71,AQ71)</f>
        <v/>
      </c>
      <c r="AS71" s="175" t="n">
        <v>5</v>
      </c>
      <c r="AT71" s="174">
        <f>(COUNTIF(SEMANA29[AAAA],AS71)*3)</f>
        <v/>
      </c>
      <c r="AU71" s="174">
        <f>(COUNTIF(SEMANA29[BBBB],AS71)*2)</f>
        <v/>
      </c>
      <c r="AV71" s="174">
        <f>COUNTIF(SEMANA29[Columna13],AS71)</f>
        <v/>
      </c>
      <c r="AW71" s="431">
        <f>SUM(AT71,AU71,AV71)</f>
        <v/>
      </c>
      <c r="AX71" s="175" t="n">
        <v>7</v>
      </c>
      <c r="AY71" s="174">
        <f>(COUNTIF(SEMANA29[Columna25],AX71)*3)</f>
        <v/>
      </c>
      <c r="AZ71" s="174">
        <f>(COUNTIF(SEMANA29[Columna26],AX71)*2)</f>
        <v/>
      </c>
      <c r="BA71" s="174">
        <f>COUNTIF(SEMANA29[Columna263],AX71)</f>
        <v/>
      </c>
      <c r="BB71" s="431">
        <f>SUM(AY71,AZ71,BA71)</f>
        <v/>
      </c>
      <c r="BC71" s="175" t="n">
        <v>4</v>
      </c>
      <c r="BD71" s="174">
        <f>(COUNTIF(SEMANA29[Columna272],BC71)*3)</f>
        <v/>
      </c>
      <c r="BE71" s="174">
        <f>(COUNTIF(SEMANA29[Columna273],BC71)*2)</f>
        <v/>
      </c>
      <c r="BF71" s="174">
        <f>COUNTIF(SEMANA29[Columna2732],BC71)</f>
        <v/>
      </c>
      <c r="BG71" s="431">
        <f>SUM(BD71,BE71,BF71)</f>
        <v/>
      </c>
      <c r="BH71" s="175" t="n">
        <v>4</v>
      </c>
      <c r="BI71" s="174">
        <f>(COUNTIF(SEMANA29[Columna276],BH71)*3)</f>
        <v/>
      </c>
      <c r="BJ71" s="174">
        <f>(COUNTIF(SEMANA29[Columna277],BH71)*2)</f>
        <v/>
      </c>
      <c r="BK71" s="174">
        <f>COUNTIF(SEMANA29[Columna2772],BH71)</f>
        <v/>
      </c>
      <c r="BL71" s="431">
        <f>SUM(BI71,BJ71,BK71)</f>
        <v/>
      </c>
      <c r="BM71" s="175" t="n">
        <v>2</v>
      </c>
      <c r="BN71" s="174">
        <f>(COUNTIF(SEMANA29[Columna280],BM71)*3)</f>
        <v/>
      </c>
      <c r="BO71" s="174">
        <f>(COUNTIF(SEMANA29[Columna281],BM71)*2)</f>
        <v/>
      </c>
      <c r="BP71" s="174">
        <f>COUNTIF(SEMANA29[Columna2812],BM71)</f>
        <v/>
      </c>
      <c r="BQ71" s="111">
        <f>SUM(BN71,BO71,BP71)</f>
        <v/>
      </c>
      <c r="BR71" s="173" t="n">
        <v>7</v>
      </c>
      <c r="BS71" s="110">
        <f>(COUNTIF(SEMANA29[Columna2802],BR71)*3)</f>
        <v/>
      </c>
      <c r="BT71" s="174">
        <f>(COUNTIF(SEMANA29[Columna2813],BR71)*2)</f>
        <v/>
      </c>
      <c r="BU71" s="428">
        <f>COUNTIF(SEMANA29[Columna28124],BR71)</f>
        <v/>
      </c>
      <c r="BV71" s="111">
        <f>SUM(BS71,BT71,BU71)</f>
        <v/>
      </c>
      <c r="BW71" s="175" t="n">
        <v>10</v>
      </c>
      <c r="BX71" s="110">
        <f>(COUNTIF(SEMANA29[Columna2803],BW71)*3)</f>
        <v/>
      </c>
      <c r="BY71" s="174">
        <f>(COUNTIF(SEMANA29[Columna2814],BW71)*2)</f>
        <v/>
      </c>
      <c r="BZ71" s="428">
        <f>COUNTIF(SEMANA29[Columna28125],BW71)</f>
        <v/>
      </c>
      <c r="CA71" s="111">
        <f>SUM(BX71,BY71,BZ71)</f>
        <v/>
      </c>
      <c r="CB71" s="175" t="n">
        <v>10</v>
      </c>
      <c r="CC71" s="110">
        <f>(COUNTIF(SEMANA29[Columna2804],CB71)*3)</f>
        <v/>
      </c>
      <c r="CD71" s="174">
        <f>(COUNTIF(SEMANA29[Columna2815],CB71)*2)</f>
        <v/>
      </c>
      <c r="CE71" s="428">
        <f>COUNTIF(SEMANA29[Columna28126],CB71)</f>
        <v/>
      </c>
      <c r="CF71" s="111">
        <f>SUM(CC71,CD71,CE71)</f>
        <v/>
      </c>
      <c r="CG71" s="105" t="n"/>
      <c r="CH71" s="105" t="n"/>
      <c r="DP71" s="393" t="n"/>
      <c r="DQ71" s="393" t="n"/>
      <c r="DR71" s="393" t="n"/>
      <c r="EH71" s="393" t="n"/>
      <c r="EI71" s="393" t="n"/>
      <c r="EJ71" s="393" t="n"/>
    </row>
    <row r="72" ht="27.95" customHeight="1" s="568">
      <c r="B72" s="104" t="n"/>
      <c r="C72" s="105" t="n"/>
      <c r="D72" s="105" t="n"/>
      <c r="E72" s="173" t="n">
        <v>8</v>
      </c>
      <c r="F72" s="110">
        <f>(COUNTIF(SEMANA29[1],E72)*3)</f>
        <v/>
      </c>
      <c r="G72" s="174">
        <f>(COUNTIF(SEMANA29[2],E72)*2)</f>
        <v/>
      </c>
      <c r="H72" s="174">
        <f>COUNTIF(SEMANA29[22],E72)</f>
        <v/>
      </c>
      <c r="I72" s="431">
        <f>SUM(F72,G72,H72)</f>
        <v/>
      </c>
      <c r="J72" s="175" t="n">
        <v>5</v>
      </c>
      <c r="K72" s="174">
        <f>(COUNTIF(SEMANA29[12],J72)*3)</f>
        <v/>
      </c>
      <c r="L72" s="174">
        <f>(COUNTIF(SEMANA29[Columna2],J72)*2)</f>
        <v/>
      </c>
      <c r="M72" s="174">
        <f>COUNTIF(SEMANA29[Columna23],J72)</f>
        <v/>
      </c>
      <c r="N72" s="431">
        <f>SUM(K72,L72,M72)</f>
        <v/>
      </c>
      <c r="O72" s="175" t="n">
        <v>9</v>
      </c>
      <c r="P72" s="174">
        <f>(COUNTIF(SEMANA29[Columna4],O72)*3)</f>
        <v/>
      </c>
      <c r="Q72" s="174">
        <f>(COUNTIF(SEMANA29[Columna5],O72)*2)</f>
        <v/>
      </c>
      <c r="R72" s="174">
        <f>COUNTIF(SEMANA29[Columna53],O72)</f>
        <v/>
      </c>
      <c r="S72" s="431">
        <f>SUM(P72,Q72,R72)</f>
        <v/>
      </c>
      <c r="T72" s="175" t="n">
        <v>6</v>
      </c>
      <c r="U72" s="174">
        <f>(COUNTIF(SEMANA29[Columna7],T72)*3)</f>
        <v/>
      </c>
      <c r="V72" s="174">
        <f>(COUNTIF(SEMANA29[Columna8],T72)*2)</f>
        <v/>
      </c>
      <c r="W72" s="174">
        <f>COUNTIF(SEMANA29[Columna83],T72)</f>
        <v/>
      </c>
      <c r="X72" s="431">
        <f>SUM(U72,V72,W72)</f>
        <v/>
      </c>
      <c r="Y72" s="175" t="n">
        <v>3</v>
      </c>
      <c r="Z72" s="174">
        <f>(COUNTIF(SEMANA29[Columna10],Y72)*3)</f>
        <v/>
      </c>
      <c r="AA72" s="174">
        <f>(COUNTIF(SEMANA29[Columna11],Y72)*2)</f>
        <v/>
      </c>
      <c r="AB72" s="174">
        <f>COUNTIF(SEMANA29[Columna113],Y72)</f>
        <v/>
      </c>
      <c r="AC72" s="431">
        <f>SUM(Z72,AA72,AB72)</f>
        <v/>
      </c>
      <c r="AD72" s="175" t="n">
        <v>6</v>
      </c>
      <c r="AE72" s="174">
        <f>(COUNTIF(SEMANA29[1RA],AD72)*3)</f>
        <v/>
      </c>
      <c r="AF72" s="174">
        <f>(COUNTIF(SEMANA29[2DA],AD72)*2)</f>
        <v/>
      </c>
      <c r="AG72" s="174">
        <f>COUNTIF(SEMANA29[2DA2],AD72)</f>
        <v/>
      </c>
      <c r="AH72" s="431">
        <f>SUM(AE72,AF72,AG72)</f>
        <v/>
      </c>
      <c r="AI72" s="175" t="n">
        <v>1</v>
      </c>
      <c r="AJ72" s="174">
        <f>(COUNTIF(SEMANA29[Columna16],AI72)*3)</f>
        <v/>
      </c>
      <c r="AK72" s="174">
        <f>(COUNTIF(SEMANA29[Columna17],AI72)*2)</f>
        <v/>
      </c>
      <c r="AL72" s="174">
        <f>COUNTIF(SEMANA29[Columna173],AI72)</f>
        <v/>
      </c>
      <c r="AM72" s="431">
        <f>SUM(AJ72,AK72,AL72)</f>
        <v/>
      </c>
      <c r="AN72" s="175" t="n">
        <v>3</v>
      </c>
      <c r="AO72" s="174">
        <f>(COUNTIF(SEMANA29[123],AN72)*3)</f>
        <v/>
      </c>
      <c r="AP72" s="174">
        <f>(COUNTIF(SEMANA29[555],AN72)*2)</f>
        <v/>
      </c>
      <c r="AQ72" s="174">
        <f>COUNTIF(SEMANA29[556],AN72)</f>
        <v/>
      </c>
      <c r="AR72" s="431">
        <f>SUM(AO72,AP72,AQ72)</f>
        <v/>
      </c>
      <c r="AS72" s="175" t="n">
        <v>6</v>
      </c>
      <c r="AT72" s="174">
        <f>(COUNTIF(SEMANA29[AAAA],AS72)*3)</f>
        <v/>
      </c>
      <c r="AU72" s="174">
        <f>(COUNTIF(SEMANA29[BBBB],AS72)*2)</f>
        <v/>
      </c>
      <c r="AV72" s="174">
        <f>COUNTIF(SEMANA29[Columna13],AS72)</f>
        <v/>
      </c>
      <c r="AW72" s="431">
        <f>SUM(AT72,AU72,AV72)</f>
        <v/>
      </c>
      <c r="AX72" s="175" t="n">
        <v>4</v>
      </c>
      <c r="AY72" s="174">
        <f>(COUNTIF(SEMANA29[Columna25],AX72)*3)</f>
        <v/>
      </c>
      <c r="AZ72" s="174">
        <f>(COUNTIF(SEMANA29[Columna26],AX72)*2)</f>
        <v/>
      </c>
      <c r="BA72" s="174">
        <f>COUNTIF(SEMANA29[Columna263],AX72)</f>
        <v/>
      </c>
      <c r="BB72" s="431">
        <f>SUM(AY72,AZ72,BA72)</f>
        <v/>
      </c>
      <c r="BC72" s="175" t="n">
        <v>1</v>
      </c>
      <c r="BD72" s="174">
        <f>(COUNTIF(SEMANA29[Columna272],BC72)*3)</f>
        <v/>
      </c>
      <c r="BE72" s="174">
        <f>(COUNTIF(SEMANA29[Columna273],BC72)*2)</f>
        <v/>
      </c>
      <c r="BF72" s="174">
        <f>COUNTIF(SEMANA29[Columna2732],BC72)</f>
        <v/>
      </c>
      <c r="BG72" s="431">
        <f>SUM(BD72,BE72,BF72)</f>
        <v/>
      </c>
      <c r="BH72" s="175" t="n">
        <v>7</v>
      </c>
      <c r="BI72" s="174">
        <f>(COUNTIF(SEMANA29[Columna276],BH72)*3)</f>
        <v/>
      </c>
      <c r="BJ72" s="174">
        <f>(COUNTIF(SEMANA29[Columna277],BH72)*2)</f>
        <v/>
      </c>
      <c r="BK72" s="174">
        <f>COUNTIF(SEMANA29[Columna2772],BH72)</f>
        <v/>
      </c>
      <c r="BL72" s="431">
        <f>SUM(BI72,BJ72,BK72)</f>
        <v/>
      </c>
      <c r="BM72" s="175" t="n">
        <v>8</v>
      </c>
      <c r="BN72" s="174">
        <f>(COUNTIF(SEMANA29[Columna280],BM72)*3)</f>
        <v/>
      </c>
      <c r="BO72" s="174">
        <f>(COUNTIF(SEMANA29[Columna281],BM72)*2)</f>
        <v/>
      </c>
      <c r="BP72" s="174">
        <f>COUNTIF(SEMANA29[Columna2812],BM72)</f>
        <v/>
      </c>
      <c r="BQ72" s="111">
        <f>SUM(BN72,BO72,BP72)</f>
        <v/>
      </c>
      <c r="BR72" s="173" t="n">
        <v>10</v>
      </c>
      <c r="BS72" s="110">
        <f>(COUNTIF(SEMANA29[Columna2802],BR72)*3)</f>
        <v/>
      </c>
      <c r="BT72" s="174">
        <f>(COUNTIF(SEMANA29[Columna2813],BR72)*2)</f>
        <v/>
      </c>
      <c r="BU72" s="428">
        <f>COUNTIF(SEMANA29[Columna28124],BR72)</f>
        <v/>
      </c>
      <c r="BV72" s="111">
        <f>SUM(BS72,BT72,BU72)</f>
        <v/>
      </c>
      <c r="BW72" s="175" t="n">
        <v>5</v>
      </c>
      <c r="BX72" s="110">
        <f>(COUNTIF(SEMANA29[Columna2803],BW72)*3)</f>
        <v/>
      </c>
      <c r="BY72" s="174">
        <f>(COUNTIF(SEMANA29[Columna2814],BW72)*2)</f>
        <v/>
      </c>
      <c r="BZ72" s="428">
        <f>COUNTIF(SEMANA29[Columna28125],BW72)</f>
        <v/>
      </c>
      <c r="CA72" s="111">
        <f>SUM(BX72,BY72,BZ72)</f>
        <v/>
      </c>
      <c r="CB72" s="175" t="n">
        <v>5</v>
      </c>
      <c r="CC72" s="110">
        <f>(COUNTIF(SEMANA29[Columna2804],CB72)*3)</f>
        <v/>
      </c>
      <c r="CD72" s="174">
        <f>(COUNTIF(SEMANA29[Columna2815],CB72)*2)</f>
        <v/>
      </c>
      <c r="CE72" s="428">
        <f>COUNTIF(SEMANA29[Columna28126],CB72)</f>
        <v/>
      </c>
      <c r="CF72" s="111">
        <f>SUM(CC72,CD72,CE72)</f>
        <v/>
      </c>
      <c r="CG72" s="105" t="n"/>
      <c r="CH72" s="105" t="n"/>
      <c r="DP72" s="393" t="n"/>
      <c r="DQ72" s="393" t="n"/>
      <c r="DR72" s="393" t="n"/>
      <c r="EH72" s="393" t="n"/>
      <c r="EI72" s="393" t="n"/>
      <c r="EJ72" s="393" t="n"/>
    </row>
    <row r="73" ht="27.95" customHeight="1" s="568">
      <c r="B73" s="104" t="n"/>
      <c r="C73" s="105" t="n"/>
      <c r="D73" s="105" t="n"/>
      <c r="E73" s="173" t="n">
        <v>1</v>
      </c>
      <c r="F73" s="110">
        <f>(COUNTIF(SEMANA29[1],E73)*3)</f>
        <v/>
      </c>
      <c r="G73" s="174">
        <f>(COUNTIF(SEMANA29[2],E73)*2)</f>
        <v/>
      </c>
      <c r="H73" s="174">
        <f>COUNTIF(SEMANA29[22],E73)</f>
        <v/>
      </c>
      <c r="I73" s="431">
        <f>SUM(F73,G73,H73)</f>
        <v/>
      </c>
      <c r="J73" s="175" t="n">
        <v>9</v>
      </c>
      <c r="K73" s="174">
        <f>(COUNTIF(SEMANA29[12],J73)*3)</f>
        <v/>
      </c>
      <c r="L73" s="174">
        <f>(COUNTIF(SEMANA29[Columna2],J73)*2)</f>
        <v/>
      </c>
      <c r="M73" s="174">
        <f>COUNTIF(SEMANA29[Columna23],J73)</f>
        <v/>
      </c>
      <c r="N73" s="431">
        <f>SUM(K73,L73,M73)</f>
        <v/>
      </c>
      <c r="O73" s="175" t="n">
        <v>10</v>
      </c>
      <c r="P73" s="174">
        <f>(COUNTIF(SEMANA29[Columna4],O73)*3)</f>
        <v/>
      </c>
      <c r="Q73" s="174">
        <f>(COUNTIF(SEMANA29[Columna5],O73)*2)</f>
        <v/>
      </c>
      <c r="R73" s="174">
        <f>COUNTIF(SEMANA29[Columna53],O73)</f>
        <v/>
      </c>
      <c r="S73" s="431">
        <f>SUM(P73,Q73,R73)</f>
        <v/>
      </c>
      <c r="T73" s="175" t="n">
        <v>8</v>
      </c>
      <c r="U73" s="174">
        <f>(COUNTIF(SEMANA29[Columna7],T73)*3)</f>
        <v/>
      </c>
      <c r="V73" s="174">
        <f>(COUNTIF(SEMANA29[Columna8],T73)*2)</f>
        <v/>
      </c>
      <c r="W73" s="174">
        <f>COUNTIF(SEMANA29[Columna83],T73)</f>
        <v/>
      </c>
      <c r="X73" s="431">
        <f>SUM(U73,V73,W73)</f>
        <v/>
      </c>
      <c r="Y73" s="175" t="n">
        <v>10</v>
      </c>
      <c r="Z73" s="174">
        <f>(COUNTIF(SEMANA29[Columna10],Y73)*3)</f>
        <v/>
      </c>
      <c r="AA73" s="174">
        <f>(COUNTIF(SEMANA29[Columna11],Y73)*2)</f>
        <v/>
      </c>
      <c r="AB73" s="174">
        <f>COUNTIF(SEMANA29[Columna113],Y73)</f>
        <v/>
      </c>
      <c r="AC73" s="431">
        <f>SUM(Z73,AA73,AB73)</f>
        <v/>
      </c>
      <c r="AD73" s="175" t="n">
        <v>8</v>
      </c>
      <c r="AE73" s="174">
        <f>(COUNTIF(SEMANA29[1RA],AD73)*3)</f>
        <v/>
      </c>
      <c r="AF73" s="174">
        <f>(COUNTIF(SEMANA29[2DA],AD73)*2)</f>
        <v/>
      </c>
      <c r="AG73" s="174">
        <f>COUNTIF(SEMANA29[2DA2],AD73)</f>
        <v/>
      </c>
      <c r="AH73" s="431">
        <f>SUM(AE73,AF73,AG73)</f>
        <v/>
      </c>
      <c r="AI73" s="175" t="n">
        <v>4</v>
      </c>
      <c r="AJ73" s="174">
        <f>(COUNTIF(SEMANA29[Columna16],AI73)*3)</f>
        <v/>
      </c>
      <c r="AK73" s="174">
        <f>(COUNTIF(SEMANA29[Columna17],AI73)*2)</f>
        <v/>
      </c>
      <c r="AL73" s="174">
        <f>COUNTIF(SEMANA29[Columna173],AI73)</f>
        <v/>
      </c>
      <c r="AM73" s="431">
        <f>SUM(AJ73,AK73,AL73)</f>
        <v/>
      </c>
      <c r="AN73" s="175" t="n">
        <v>9</v>
      </c>
      <c r="AO73" s="174">
        <f>(COUNTIF(SEMANA29[123],AN73)*3)</f>
        <v/>
      </c>
      <c r="AP73" s="174">
        <f>(COUNTIF(SEMANA29[555],AN73)*2)</f>
        <v/>
      </c>
      <c r="AQ73" s="174">
        <f>COUNTIF(SEMANA29[556],AN73)</f>
        <v/>
      </c>
      <c r="AR73" s="431">
        <f>SUM(AO73,AP73,AQ73)</f>
        <v/>
      </c>
      <c r="AS73" s="175" t="n">
        <v>8</v>
      </c>
      <c r="AT73" s="174">
        <f>(COUNTIF(SEMANA29[AAAA],AS73)*3)</f>
        <v/>
      </c>
      <c r="AU73" s="174">
        <f>(COUNTIF(SEMANA29[BBBB],AS73)*2)</f>
        <v/>
      </c>
      <c r="AV73" s="174">
        <f>COUNTIF(SEMANA29[Columna13],AS73)</f>
        <v/>
      </c>
      <c r="AW73" s="431">
        <f>SUM(AT73,AU73,AV73)</f>
        <v/>
      </c>
      <c r="AX73" s="175" t="n">
        <v>9</v>
      </c>
      <c r="AY73" s="174">
        <f>(COUNTIF(SEMANA29[Columna25],AX73)*3)</f>
        <v/>
      </c>
      <c r="AZ73" s="174">
        <f>(COUNTIF(SEMANA29[Columna26],AX73)*2)</f>
        <v/>
      </c>
      <c r="BA73" s="174">
        <f>COUNTIF(SEMANA29[Columna263],AX73)</f>
        <v/>
      </c>
      <c r="BB73" s="431">
        <f>SUM(AY73,AZ73,BA73)</f>
        <v/>
      </c>
      <c r="BC73" s="175" t="n">
        <v>8</v>
      </c>
      <c r="BD73" s="174">
        <f>(COUNTIF(SEMANA29[Columna272],BC73)*3)</f>
        <v/>
      </c>
      <c r="BE73" s="174">
        <f>(COUNTIF(SEMANA29[Columna273],BC73)*2)</f>
        <v/>
      </c>
      <c r="BF73" s="174">
        <f>COUNTIF(SEMANA29[Columna2732],BC73)</f>
        <v/>
      </c>
      <c r="BG73" s="431">
        <f>SUM(BD73,BE73,BF73)</f>
        <v/>
      </c>
      <c r="BH73" s="175" t="n">
        <v>9</v>
      </c>
      <c r="BI73" s="174">
        <f>(COUNTIF(SEMANA29[Columna276],BH73)*3)</f>
        <v/>
      </c>
      <c r="BJ73" s="174">
        <f>(COUNTIF(SEMANA29[Columna277],BH73)*2)</f>
        <v/>
      </c>
      <c r="BK73" s="174">
        <f>COUNTIF(SEMANA29[Columna2772],BH73)</f>
        <v/>
      </c>
      <c r="BL73" s="431">
        <f>SUM(BI73,BJ73,BK73)</f>
        <v/>
      </c>
      <c r="BM73" s="175" t="n">
        <v>6</v>
      </c>
      <c r="BN73" s="174">
        <f>(COUNTIF(SEMANA29[Columna280],BM73)*3)</f>
        <v/>
      </c>
      <c r="BO73" s="174">
        <f>(COUNTIF(SEMANA29[Columna281],BM73)*2)</f>
        <v/>
      </c>
      <c r="BP73" s="174">
        <f>COUNTIF(SEMANA29[Columna2812],BM73)</f>
        <v/>
      </c>
      <c r="BQ73" s="111">
        <f>SUM(BN73,BO73,BP73)</f>
        <v/>
      </c>
      <c r="BR73" s="173" t="n">
        <v>3</v>
      </c>
      <c r="BS73" s="110">
        <f>(COUNTIF(SEMANA29[Columna2802],BR73)*3)</f>
        <v/>
      </c>
      <c r="BT73" s="174">
        <f>(COUNTIF(SEMANA29[Columna2813],BR73)*2)</f>
        <v/>
      </c>
      <c r="BU73" s="428">
        <f>COUNTIF(SEMANA29[Columna28124],BR73)</f>
        <v/>
      </c>
      <c r="BV73" s="111">
        <f>SUM(BS73,BT73,BU73)</f>
        <v/>
      </c>
      <c r="BW73" s="175" t="n">
        <v>13</v>
      </c>
      <c r="BX73" s="110">
        <f>(COUNTIF(SEMANA29[Columna2803],BW73)*3)</f>
        <v/>
      </c>
      <c r="BY73" s="174">
        <f>(COUNTIF(SEMANA29[Columna2814],BW73)*2)</f>
        <v/>
      </c>
      <c r="BZ73" s="428">
        <f>COUNTIF(SEMANA29[Columna28125],BW73)</f>
        <v/>
      </c>
      <c r="CA73" s="111">
        <f>SUM(BX73,BY73,BZ73)</f>
        <v/>
      </c>
      <c r="CB73" s="175" t="n">
        <v>13</v>
      </c>
      <c r="CC73" s="110">
        <f>(COUNTIF(SEMANA29[Columna2804],CB73)*3)</f>
        <v/>
      </c>
      <c r="CD73" s="174">
        <f>(COUNTIF(SEMANA29[Columna2815],CB73)*2)</f>
        <v/>
      </c>
      <c r="CE73" s="428">
        <f>COUNTIF(SEMANA29[Columna28126],CB73)</f>
        <v/>
      </c>
      <c r="CF73" s="111">
        <f>SUM(CC73,CD73,CE73)</f>
        <v/>
      </c>
      <c r="CG73" s="105" t="n"/>
      <c r="CH73" s="105" t="n"/>
      <c r="DP73" s="393" t="n"/>
      <c r="DQ73" s="393" t="n"/>
      <c r="DR73" s="393" t="n"/>
      <c r="EH73" s="393" t="n"/>
      <c r="EI73" s="393" t="n"/>
      <c r="EJ73" s="393" t="n"/>
    </row>
    <row r="74" ht="27.95" customHeight="1" s="568">
      <c r="B74" s="104" t="n"/>
      <c r="C74" s="105" t="n"/>
      <c r="D74" s="105" t="n"/>
      <c r="E74" s="173" t="n">
        <v>7</v>
      </c>
      <c r="F74" s="110">
        <f>(COUNTIF(SEMANA29[1],E74)*3)</f>
        <v/>
      </c>
      <c r="G74" s="174">
        <f>(COUNTIF(SEMANA29[2],E74)*2)</f>
        <v/>
      </c>
      <c r="H74" s="174">
        <f>COUNTIF(SEMANA29[22],E74)</f>
        <v/>
      </c>
      <c r="I74" s="431">
        <f>SUM(F74,G74,H74)</f>
        <v/>
      </c>
      <c r="J74" s="175" t="n">
        <v>8</v>
      </c>
      <c r="K74" s="174">
        <f>(COUNTIF(SEMANA29[12],J74)*3)</f>
        <v/>
      </c>
      <c r="L74" s="174">
        <f>(COUNTIF(SEMANA29[Columna2],J74)*2)</f>
        <v/>
      </c>
      <c r="M74" s="174">
        <f>COUNTIF(SEMANA29[Columna23],J74)</f>
        <v/>
      </c>
      <c r="N74" s="431">
        <f>SUM(K74,L74,M74)</f>
        <v/>
      </c>
      <c r="O74" s="175" t="n">
        <v>6</v>
      </c>
      <c r="P74" s="174">
        <f>(COUNTIF(SEMANA29[Columna4],O74)*3)</f>
        <v/>
      </c>
      <c r="Q74" s="174">
        <f>(COUNTIF(SEMANA29[Columna5],O74)*2)</f>
        <v/>
      </c>
      <c r="R74" s="174">
        <f>COUNTIF(SEMANA29[Columna53],O74)</f>
        <v/>
      </c>
      <c r="S74" s="431">
        <f>SUM(P74,Q74,R74)</f>
        <v/>
      </c>
      <c r="T74" s="175" t="n">
        <v>9</v>
      </c>
      <c r="U74" s="174">
        <f>(COUNTIF(SEMANA29[Columna7],T74)*3)</f>
        <v/>
      </c>
      <c r="V74" s="174">
        <f>(COUNTIF(SEMANA29[Columna8],T74)*2)</f>
        <v/>
      </c>
      <c r="W74" s="174">
        <f>COUNTIF(SEMANA29[Columna83],T74)</f>
        <v/>
      </c>
      <c r="X74" s="431">
        <f>SUM(U74,V74,W74)</f>
        <v/>
      </c>
      <c r="Y74" s="175" t="n">
        <v>8</v>
      </c>
      <c r="Z74" s="174">
        <f>(COUNTIF(SEMANA29[Columna10],Y74)*3)</f>
        <v/>
      </c>
      <c r="AA74" s="174">
        <f>(COUNTIF(SEMANA29[Columna11],Y74)*2)</f>
        <v/>
      </c>
      <c r="AB74" s="174">
        <f>COUNTIF(SEMANA29[Columna113],Y74)</f>
        <v/>
      </c>
      <c r="AC74" s="431">
        <f>SUM(Z74,AA74,AB74)</f>
        <v/>
      </c>
      <c r="AD74" s="175" t="n">
        <v>9</v>
      </c>
      <c r="AE74" s="174">
        <f>(COUNTIF(SEMANA29[1RA],AD74)*3)</f>
        <v/>
      </c>
      <c r="AF74" s="174">
        <f>(COUNTIF(SEMANA29[2DA],AD74)*2)</f>
        <v/>
      </c>
      <c r="AG74" s="174">
        <f>COUNTIF(SEMANA29[2DA2],AD74)</f>
        <v/>
      </c>
      <c r="AH74" s="431">
        <f>SUM(AE74,AF74,AG74)</f>
        <v/>
      </c>
      <c r="AI74" s="175" t="n">
        <v>10</v>
      </c>
      <c r="AJ74" s="174">
        <f>(COUNTIF(SEMANA29[Columna16],AI74)*3)</f>
        <v/>
      </c>
      <c r="AK74" s="174">
        <f>(COUNTIF(SEMANA29[Columna17],AI74)*2)</f>
        <v/>
      </c>
      <c r="AL74" s="174">
        <f>COUNTIF(SEMANA29[Columna173],AI74)</f>
        <v/>
      </c>
      <c r="AM74" s="431">
        <f>SUM(AJ74,AK74,AL74)</f>
        <v/>
      </c>
      <c r="AN74" s="175" t="n">
        <v>11</v>
      </c>
      <c r="AO74" s="174">
        <f>(COUNTIF(SEMANA29[123],AN74)*3)</f>
        <v/>
      </c>
      <c r="AP74" s="174">
        <f>(COUNTIF(SEMANA29[555],AN74)*2)</f>
        <v/>
      </c>
      <c r="AQ74" s="174">
        <f>COUNTIF(SEMANA29[556],AN74)</f>
        <v/>
      </c>
      <c r="AR74" s="431">
        <f>SUM(AO74,AP74,AQ74)</f>
        <v/>
      </c>
      <c r="AS74" s="175" t="n">
        <v>7</v>
      </c>
      <c r="AT74" s="174">
        <f>(COUNTIF(SEMANA29[AAAA],AS74)*3)</f>
        <v/>
      </c>
      <c r="AU74" s="174">
        <f>(COUNTIF(SEMANA29[BBBB],AS74)*2)</f>
        <v/>
      </c>
      <c r="AV74" s="174">
        <f>COUNTIF(SEMANA29[Columna13],AS74)</f>
        <v/>
      </c>
      <c r="AW74" s="431">
        <f>SUM(AT74,AU74,AV74)</f>
        <v/>
      </c>
      <c r="AX74" s="175" t="n">
        <v>3</v>
      </c>
      <c r="AY74" s="174">
        <f>(COUNTIF(SEMANA29[Columna25],AX74)*3)</f>
        <v/>
      </c>
      <c r="AZ74" s="174">
        <f>(COUNTIF(SEMANA29[Columna26],AX74)*2)</f>
        <v/>
      </c>
      <c r="BA74" s="174">
        <f>COUNTIF(SEMANA29[Columna263],AX74)</f>
        <v/>
      </c>
      <c r="BB74" s="431">
        <f>SUM(AY74,AZ74,BA74)</f>
        <v/>
      </c>
      <c r="BC74" s="175" t="n">
        <v>11</v>
      </c>
      <c r="BD74" s="174">
        <f>(COUNTIF(SEMANA29[Columna272],BC74)*3)</f>
        <v/>
      </c>
      <c r="BE74" s="174">
        <f>(COUNTIF(SEMANA29[Columna273],BC74)*2)</f>
        <v/>
      </c>
      <c r="BF74" s="174">
        <f>COUNTIF(SEMANA29[Columna2732],BC74)</f>
        <v/>
      </c>
      <c r="BG74" s="431">
        <f>SUM(BD74,BE74,BF74)</f>
        <v/>
      </c>
      <c r="BH74" s="175" t="n">
        <v>3</v>
      </c>
      <c r="BI74" s="174">
        <f>(COUNTIF(SEMANA29[Columna276],BH74)*3)</f>
        <v/>
      </c>
      <c r="BJ74" s="174">
        <f>(COUNTIF(SEMANA29[Columna277],BH74)*2)</f>
        <v/>
      </c>
      <c r="BK74" s="174">
        <f>COUNTIF(SEMANA29[Columna2772],BH74)</f>
        <v/>
      </c>
      <c r="BL74" s="431">
        <f>SUM(BI74,BJ74,BK74)</f>
        <v/>
      </c>
      <c r="BM74" s="175" t="n">
        <v>12</v>
      </c>
      <c r="BN74" s="174">
        <f>(COUNTIF(SEMANA29[Columna280],BM74)*3)</f>
        <v/>
      </c>
      <c r="BO74" s="174">
        <f>(COUNTIF(SEMANA29[Columna281],BM74)*2)</f>
        <v/>
      </c>
      <c r="BP74" s="174">
        <f>COUNTIF(SEMANA29[Columna2812],BM74)</f>
        <v/>
      </c>
      <c r="BQ74" s="111">
        <f>SUM(BN74,BO74,BP74)</f>
        <v/>
      </c>
      <c r="BR74" s="173" t="n">
        <v>12</v>
      </c>
      <c r="BS74" s="110">
        <f>(COUNTIF(SEMANA29[Columna2802],BR74)*3)</f>
        <v/>
      </c>
      <c r="BT74" s="174">
        <f>(COUNTIF(SEMANA29[Columna2813],BR74)*2)</f>
        <v/>
      </c>
      <c r="BU74" s="428">
        <f>COUNTIF(SEMANA29[Columna28124],BR74)</f>
        <v/>
      </c>
      <c r="BV74" s="111">
        <f>SUM(BS74,BT74,BU74)</f>
        <v/>
      </c>
      <c r="BW74" s="175" t="n">
        <v>4</v>
      </c>
      <c r="BX74" s="110">
        <f>(COUNTIF(SEMANA29[Columna2803],BW74)*3)</f>
        <v/>
      </c>
      <c r="BY74" s="174">
        <f>(COUNTIF(SEMANA29[Columna2814],BW74)*2)</f>
        <v/>
      </c>
      <c r="BZ74" s="428">
        <f>COUNTIF(SEMANA29[Columna28125],BW74)</f>
        <v/>
      </c>
      <c r="CA74" s="111">
        <f>SUM(BX74,BY74,BZ74)</f>
        <v/>
      </c>
      <c r="CB74" s="175" t="n">
        <v>4</v>
      </c>
      <c r="CC74" s="110">
        <f>(COUNTIF(SEMANA29[Columna2804],CB74)*3)</f>
        <v/>
      </c>
      <c r="CD74" s="174">
        <f>(COUNTIF(SEMANA29[Columna2815],CB74)*2)</f>
        <v/>
      </c>
      <c r="CE74" s="428">
        <f>COUNTIF(SEMANA29[Columna28126],CB74)</f>
        <v/>
      </c>
      <c r="CF74" s="111">
        <f>SUM(CC74,CD74,CE74)</f>
        <v/>
      </c>
      <c r="CG74" s="105" t="n"/>
      <c r="CH74" s="105" t="n"/>
      <c r="CY74" s="112" t="n"/>
      <c r="DB74" s="112" t="n"/>
      <c r="DC74" s="112" t="n"/>
      <c r="DD74" s="112" t="n"/>
      <c r="DE74" s="112" t="n"/>
      <c r="DF74" s="112" t="n"/>
      <c r="DG74" s="112" t="n"/>
      <c r="DH74" s="112" t="n"/>
      <c r="DI74" s="112" t="n"/>
      <c r="DJ74" s="112" t="n"/>
      <c r="DK74" s="112" t="n"/>
      <c r="DL74" s="112" t="n"/>
      <c r="DM74" s="112" t="n"/>
      <c r="DN74" s="112" t="n"/>
      <c r="DO74" s="112" t="n"/>
      <c r="DP74" s="396" t="n"/>
      <c r="DQ74" s="396" t="n"/>
      <c r="DR74" s="396" t="n"/>
      <c r="EH74" s="393" t="n"/>
      <c r="EI74" s="393" t="n"/>
      <c r="EJ74" s="393" t="n"/>
    </row>
    <row r="75" ht="27.95" customFormat="1" customHeight="1" s="112">
      <c r="B75" s="104" t="n"/>
      <c r="C75" s="105" t="n"/>
      <c r="D75" s="105" t="n"/>
      <c r="E75" s="173" t="n">
        <v>10</v>
      </c>
      <c r="F75" s="110">
        <f>(COUNTIF(SEMANA29[1],E75)*3)</f>
        <v/>
      </c>
      <c r="G75" s="174">
        <f>(COUNTIF(SEMANA29[2],E75)*2)</f>
        <v/>
      </c>
      <c r="H75" s="174">
        <f>COUNTIF(SEMANA29[22],E75)</f>
        <v/>
      </c>
      <c r="I75" s="431">
        <f>SUM(F75,G75,H75)</f>
        <v/>
      </c>
      <c r="J75" s="175" t="n">
        <v>3</v>
      </c>
      <c r="K75" s="174">
        <f>(COUNTIF(SEMANA29[12],J75)*3)</f>
        <v/>
      </c>
      <c r="L75" s="174">
        <f>(COUNTIF(SEMANA29[Columna2],J75)*2)</f>
        <v/>
      </c>
      <c r="M75" s="174">
        <f>COUNTIF(SEMANA29[Columna23],J75)</f>
        <v/>
      </c>
      <c r="N75" s="431">
        <f>SUM(K75,L75,M75)</f>
        <v/>
      </c>
      <c r="O75" s="175" t="n">
        <v>2</v>
      </c>
      <c r="P75" s="174">
        <f>(COUNTIF(SEMANA29[Columna4],O75)*3)</f>
        <v/>
      </c>
      <c r="Q75" s="174">
        <f>(COUNTIF(SEMANA29[Columna5],O75)*2)</f>
        <v/>
      </c>
      <c r="R75" s="174">
        <f>COUNTIF(SEMANA29[Columna53],O75)</f>
        <v/>
      </c>
      <c r="S75" s="431">
        <f>SUM(P75,Q75,R75)</f>
        <v/>
      </c>
      <c r="T75" s="175" t="n">
        <v>10</v>
      </c>
      <c r="U75" s="174">
        <f>(COUNTIF(SEMANA29[Columna7],T75)*3)</f>
        <v/>
      </c>
      <c r="V75" s="174">
        <f>(COUNTIF(SEMANA29[Columna8],T75)*2)</f>
        <v/>
      </c>
      <c r="W75" s="174">
        <f>COUNTIF(SEMANA29[Columna83],T75)</f>
        <v/>
      </c>
      <c r="X75" s="431">
        <f>SUM(U75,V75,W75)</f>
        <v/>
      </c>
      <c r="Y75" s="175" t="n">
        <v>9</v>
      </c>
      <c r="Z75" s="174">
        <f>(COUNTIF(SEMANA29[Columna10],Y75)*3)</f>
        <v/>
      </c>
      <c r="AA75" s="174">
        <f>(COUNTIF(SEMANA29[Columna11],Y75)*2)</f>
        <v/>
      </c>
      <c r="AB75" s="174">
        <f>COUNTIF(SEMANA29[Columna113],Y75)</f>
        <v/>
      </c>
      <c r="AC75" s="431">
        <f>SUM(Z75,AA75,AB75)</f>
        <v/>
      </c>
      <c r="AD75" s="175" t="n">
        <v>1</v>
      </c>
      <c r="AE75" s="174">
        <f>(COUNTIF(SEMANA29[1RA],AD75)*3)</f>
        <v/>
      </c>
      <c r="AF75" s="174">
        <f>(COUNTIF(SEMANA29[2DA],AD75)*2)</f>
        <v/>
      </c>
      <c r="AG75" s="174">
        <f>COUNTIF(SEMANA29[2DA2],AD75)</f>
        <v/>
      </c>
      <c r="AH75" s="431">
        <f>SUM(AE75,AF75,AG75)</f>
        <v/>
      </c>
      <c r="AI75" s="175" t="n">
        <v>5</v>
      </c>
      <c r="AJ75" s="174">
        <f>(COUNTIF(SEMANA29[Columna16],AI75)*3)</f>
        <v/>
      </c>
      <c r="AK75" s="174">
        <f>(COUNTIF(SEMANA29[Columna17],AI75)*2)</f>
        <v/>
      </c>
      <c r="AL75" s="174">
        <f>COUNTIF(SEMANA29[Columna173],AI75)</f>
        <v/>
      </c>
      <c r="AM75" s="431">
        <f>SUM(AJ75,AK75,AL75)</f>
        <v/>
      </c>
      <c r="AN75" s="175" t="n">
        <v>5</v>
      </c>
      <c r="AO75" s="174">
        <f>(COUNTIF(SEMANA29[123],AN75)*3)</f>
        <v/>
      </c>
      <c r="AP75" s="174">
        <f>(COUNTIF(SEMANA29[555],AN75)*2)</f>
        <v/>
      </c>
      <c r="AQ75" s="174">
        <f>COUNTIF(SEMANA29[556],AN75)</f>
        <v/>
      </c>
      <c r="AR75" s="431">
        <f>SUM(AO75,AP75,AQ75)</f>
        <v/>
      </c>
      <c r="AS75" s="175" t="n">
        <v>3</v>
      </c>
      <c r="AT75" s="174">
        <f>(COUNTIF(SEMANA29[AAAA],AS75)*3)</f>
        <v/>
      </c>
      <c r="AU75" s="174">
        <f>(COUNTIF(SEMANA29[BBBB],AS75)*2)</f>
        <v/>
      </c>
      <c r="AV75" s="174">
        <f>COUNTIF(SEMANA29[Columna13],AS75)</f>
        <v/>
      </c>
      <c r="AW75" s="431">
        <f>SUM(AT75,AU75,AV75)</f>
        <v/>
      </c>
      <c r="AX75" s="175" t="n">
        <v>11</v>
      </c>
      <c r="AY75" s="174">
        <f>(COUNTIF(SEMANA29[Columna25],AX75)*3)</f>
        <v/>
      </c>
      <c r="AZ75" s="174">
        <f>(COUNTIF(SEMANA29[Columna26],AX75)*2)</f>
        <v/>
      </c>
      <c r="BA75" s="174">
        <f>COUNTIF(SEMANA29[Columna263],AX75)</f>
        <v/>
      </c>
      <c r="BB75" s="431">
        <f>SUM(AY75,AZ75,BA75)</f>
        <v/>
      </c>
      <c r="BC75" s="175" t="n">
        <v>12</v>
      </c>
      <c r="BD75" s="174">
        <f>(COUNTIF(SEMANA29[Columna272],BC75)*3)</f>
        <v/>
      </c>
      <c r="BE75" s="174">
        <f>(COUNTIF(SEMANA29[Columna273],BC75)*2)</f>
        <v/>
      </c>
      <c r="BF75" s="174">
        <f>COUNTIF(SEMANA29[Columna2732],BC75)</f>
        <v/>
      </c>
      <c r="BG75" s="431">
        <f>SUM(BD75,BE75,BF75)</f>
        <v/>
      </c>
      <c r="BH75" s="175" t="n">
        <v>10</v>
      </c>
      <c r="BI75" s="174">
        <f>(COUNTIF(SEMANA29[Columna276],BH75)*3)</f>
        <v/>
      </c>
      <c r="BJ75" s="174">
        <f>(COUNTIF(SEMANA29[Columna277],BH75)*2)</f>
        <v/>
      </c>
      <c r="BK75" s="174">
        <f>COUNTIF(SEMANA29[Columna2772],BH75)</f>
        <v/>
      </c>
      <c r="BL75" s="431">
        <f>SUM(BI75,BJ75,BK75)</f>
        <v/>
      </c>
      <c r="BM75" s="175" t="n">
        <v>10</v>
      </c>
      <c r="BN75" s="174">
        <f>(COUNTIF(SEMANA29[Columna280],BM75)*3)</f>
        <v/>
      </c>
      <c r="BO75" s="174">
        <f>(COUNTIF(SEMANA29[Columna281],BM75)*2)</f>
        <v/>
      </c>
      <c r="BP75" s="174">
        <f>COUNTIF(SEMANA29[Columna2812],BM75)</f>
        <v/>
      </c>
      <c r="BQ75" s="111">
        <f>SUM(BN75,BO75,BP75)</f>
        <v/>
      </c>
      <c r="BR75" s="173" t="n">
        <v>13</v>
      </c>
      <c r="BS75" s="110">
        <f>(COUNTIF(SEMANA29[Columna2802],BR75)*3)</f>
        <v/>
      </c>
      <c r="BT75" s="174">
        <f>(COUNTIF(SEMANA29[Columna2813],BR75)*2)</f>
        <v/>
      </c>
      <c r="BU75" s="428">
        <f>COUNTIF(SEMANA29[Columna28124],BR75)</f>
        <v/>
      </c>
      <c r="BV75" s="111">
        <f>SUM(BS75,BT75,BU75)</f>
        <v/>
      </c>
      <c r="BW75" s="175" t="n">
        <v>8</v>
      </c>
      <c r="BX75" s="110">
        <f>(COUNTIF(SEMANA29[Columna2803],BW75)*3)</f>
        <v/>
      </c>
      <c r="BY75" s="174">
        <f>(COUNTIF(SEMANA29[Columna2814],BW75)*2)</f>
        <v/>
      </c>
      <c r="BZ75" s="428">
        <f>COUNTIF(SEMANA29[Columna28125],BW75)</f>
        <v/>
      </c>
      <c r="CA75" s="111">
        <f>SUM(BX75,BY75,BZ75)</f>
        <v/>
      </c>
      <c r="CB75" s="175" t="n">
        <v>8</v>
      </c>
      <c r="CC75" s="110">
        <f>(COUNTIF(SEMANA29[Columna2804],CB75)*3)</f>
        <v/>
      </c>
      <c r="CD75" s="174">
        <f>(COUNTIF(SEMANA29[Columna2815],CB75)*2)</f>
        <v/>
      </c>
      <c r="CE75" s="428">
        <f>COUNTIF(SEMANA29[Columna28126],CB75)</f>
        <v/>
      </c>
      <c r="CF75" s="111">
        <f>SUM(CC75,CD75,CE75)</f>
        <v/>
      </c>
      <c r="CG75" s="105" t="n"/>
      <c r="CH75" s="105" t="n"/>
      <c r="DP75" s="396" t="n"/>
      <c r="DQ75" s="396" t="n"/>
      <c r="DR75" s="396" t="n"/>
      <c r="EH75" s="396" t="n"/>
      <c r="EI75" s="396" t="n"/>
      <c r="EJ75" s="396" t="n"/>
    </row>
    <row r="76" ht="27.95" customFormat="1" customHeight="1" s="112">
      <c r="B76" s="104" t="n"/>
      <c r="C76" s="105" t="n"/>
      <c r="D76" s="105" t="n"/>
      <c r="E76" s="173" t="n">
        <v>11</v>
      </c>
      <c r="F76" s="110">
        <f>(COUNTIF(SEMANA29[1],E76)*3)</f>
        <v/>
      </c>
      <c r="G76" s="174">
        <f>(COUNTIF(SEMANA29[2],E76)*2)</f>
        <v/>
      </c>
      <c r="H76" s="174">
        <f>COUNTIF(SEMANA29[22],E76)</f>
        <v/>
      </c>
      <c r="I76" s="431">
        <f>SUM(F76,G76,H76)</f>
        <v/>
      </c>
      <c r="J76" s="175" t="n">
        <v>11</v>
      </c>
      <c r="K76" s="174">
        <f>(COUNTIF(SEMANA29[12],J76)*3)</f>
        <v/>
      </c>
      <c r="L76" s="174">
        <f>(COUNTIF(SEMANA29[Columna2],J76)*2)</f>
        <v/>
      </c>
      <c r="M76" s="174">
        <f>COUNTIF(SEMANA29[Columna23],J76)</f>
        <v/>
      </c>
      <c r="N76" s="431">
        <f>SUM(K76,L76,M76)</f>
        <v/>
      </c>
      <c r="O76" s="175" t="n">
        <v>11</v>
      </c>
      <c r="P76" s="174">
        <f>(COUNTIF(SEMANA29[Columna4],O76)*3)</f>
        <v/>
      </c>
      <c r="Q76" s="174">
        <f>(COUNTIF(SEMANA29[Columna5],O76)*2)</f>
        <v/>
      </c>
      <c r="R76" s="174">
        <f>COUNTIF(SEMANA29[Columna53],O76)</f>
        <v/>
      </c>
      <c r="S76" s="431">
        <f>SUM(P76,Q76,R76)</f>
        <v/>
      </c>
      <c r="T76" s="175" t="n">
        <v>11</v>
      </c>
      <c r="U76" s="174">
        <f>(COUNTIF(SEMANA29[Columna7],T76)*3)</f>
        <v/>
      </c>
      <c r="V76" s="174">
        <f>(COUNTIF(SEMANA29[Columna8],T76)*2)</f>
        <v/>
      </c>
      <c r="W76" s="174">
        <f>COUNTIF(SEMANA29[Columna83],T76)</f>
        <v/>
      </c>
      <c r="X76" s="431">
        <f>SUM(U76,V76,W76)</f>
        <v/>
      </c>
      <c r="Y76" s="175" t="n">
        <v>11</v>
      </c>
      <c r="Z76" s="174">
        <f>(COUNTIF(SEMANA29[Columna10],Y76)*3)</f>
        <v/>
      </c>
      <c r="AA76" s="174">
        <f>(COUNTIF(SEMANA29[Columna11],Y76)*2)</f>
        <v/>
      </c>
      <c r="AB76" s="174">
        <f>COUNTIF(SEMANA29[Columna113],Y76)</f>
        <v/>
      </c>
      <c r="AC76" s="431">
        <f>SUM(Z76,AA76,AB76)</f>
        <v/>
      </c>
      <c r="AD76" s="175" t="n">
        <v>11</v>
      </c>
      <c r="AE76" s="174">
        <f>(COUNTIF(SEMANA29[1RA],AD76)*3)</f>
        <v/>
      </c>
      <c r="AF76" s="174">
        <f>(COUNTIF(SEMANA29[2DA],AD76)*2)</f>
        <v/>
      </c>
      <c r="AG76" s="174">
        <f>COUNTIF(SEMANA29[2DA2],AD76)</f>
        <v/>
      </c>
      <c r="AH76" s="431">
        <f>SUM(AE76,AF76,AG76)</f>
        <v/>
      </c>
      <c r="AI76" s="175" t="n">
        <v>11</v>
      </c>
      <c r="AJ76" s="174">
        <f>(COUNTIF(SEMANA29[Columna16],AI76)*3)</f>
        <v/>
      </c>
      <c r="AK76" s="174">
        <f>(COUNTIF(SEMANA29[Columna17],AI76)*2)</f>
        <v/>
      </c>
      <c r="AL76" s="174">
        <f>COUNTIF(SEMANA29[Columna173],AI76)</f>
        <v/>
      </c>
      <c r="AM76" s="431">
        <f>SUM(AJ76,AK76,AL76)</f>
        <v/>
      </c>
      <c r="AN76" s="175" t="n">
        <v>12</v>
      </c>
      <c r="AO76" s="174">
        <f>(COUNTIF(SEMANA29[123],AN76)*3)</f>
        <v/>
      </c>
      <c r="AP76" s="174">
        <f>(COUNTIF(SEMANA29[555],AN76)*2)</f>
        <v/>
      </c>
      <c r="AQ76" s="174">
        <f>COUNTIF(SEMANA29[556],AN76)</f>
        <v/>
      </c>
      <c r="AR76" s="431">
        <f>SUM(AO76,AP76,AQ76)</f>
        <v/>
      </c>
      <c r="AS76" s="175" t="n">
        <v>4</v>
      </c>
      <c r="AT76" s="174">
        <f>(COUNTIF(SEMANA29[AAAA],AS76)*3)</f>
        <v/>
      </c>
      <c r="AU76" s="174">
        <f>(COUNTIF(SEMANA29[BBBB],AS76)*2)</f>
        <v/>
      </c>
      <c r="AV76" s="174">
        <f>COUNTIF(SEMANA29[Columna13],AS76)</f>
        <v/>
      </c>
      <c r="AW76" s="431">
        <f>SUM(AT76,AU76,AV76)</f>
        <v/>
      </c>
      <c r="AX76" s="175" t="n">
        <v>8</v>
      </c>
      <c r="AY76" s="174">
        <f>(COUNTIF(SEMANA29[Columna25],AX76)*3)</f>
        <v/>
      </c>
      <c r="AZ76" s="174">
        <f>(COUNTIF(SEMANA29[Columna26],AX76)*2)</f>
        <v/>
      </c>
      <c r="BA76" s="174">
        <f>COUNTIF(SEMANA29[Columna263],AX76)</f>
        <v/>
      </c>
      <c r="BB76" s="431">
        <f>SUM(AY76,AZ76,BA76)</f>
        <v/>
      </c>
      <c r="BC76" s="175" t="n">
        <v>9</v>
      </c>
      <c r="BD76" s="174">
        <f>(COUNTIF(SEMANA29[Columna272],BC76)*3)</f>
        <v/>
      </c>
      <c r="BE76" s="174">
        <f>(COUNTIF(SEMANA29[Columna273],BC76)*2)</f>
        <v/>
      </c>
      <c r="BF76" s="174">
        <f>COUNTIF(SEMANA29[Columna2732],BC76)</f>
        <v/>
      </c>
      <c r="BG76" s="431">
        <f>SUM(BD76,BE76,BF76)</f>
        <v/>
      </c>
      <c r="BH76" s="175" t="n">
        <v>11</v>
      </c>
      <c r="BI76" s="174">
        <f>(COUNTIF(SEMANA29[Columna276],BH76)*3)</f>
        <v/>
      </c>
      <c r="BJ76" s="174">
        <f>(COUNTIF(SEMANA29[Columna277],BH76)*2)</f>
        <v/>
      </c>
      <c r="BK76" s="174">
        <f>COUNTIF(SEMANA29[Columna2772],BH76)</f>
        <v/>
      </c>
      <c r="BL76" s="431">
        <f>SUM(BI76,BJ76,BK76)</f>
        <v/>
      </c>
      <c r="BM76" s="175" t="n">
        <v>13</v>
      </c>
      <c r="BN76" s="174">
        <f>(COUNTIF(SEMANA29[Columna280],BM76)*3)</f>
        <v/>
      </c>
      <c r="BO76" s="174">
        <f>(COUNTIF(SEMANA29[Columna281],BM76)*2)</f>
        <v/>
      </c>
      <c r="BP76" s="174">
        <f>COUNTIF(SEMANA29[Columna2812],BM76)</f>
        <v/>
      </c>
      <c r="BQ76" s="111">
        <f>SUM(BN76,BO76,BP76)</f>
        <v/>
      </c>
      <c r="BR76" s="173" t="n">
        <v>4</v>
      </c>
      <c r="BS76" s="110">
        <f>(COUNTIF(SEMANA29[Columna2802],BR76)*3)</f>
        <v/>
      </c>
      <c r="BT76" s="174">
        <f>(COUNTIF(SEMANA29[Columna2813],BR76)*2)</f>
        <v/>
      </c>
      <c r="BU76" s="428">
        <f>COUNTIF(SEMANA29[Columna28124],BR76)</f>
        <v/>
      </c>
      <c r="BV76" s="111">
        <f>SUM(BS76,BT76,BU76)</f>
        <v/>
      </c>
      <c r="BW76" s="175" t="n">
        <v>6</v>
      </c>
      <c r="BX76" s="110">
        <f>(COUNTIF(SEMANA29[Columna2803],BW76)*3)</f>
        <v/>
      </c>
      <c r="BY76" s="174">
        <f>(COUNTIF(SEMANA29[Columna2814],BW76)*2)</f>
        <v/>
      </c>
      <c r="BZ76" s="428">
        <f>COUNTIF(SEMANA29[Columna28125],BW76)</f>
        <v/>
      </c>
      <c r="CA76" s="111">
        <f>SUM(BX76,BY76,BZ76)</f>
        <v/>
      </c>
      <c r="CB76" s="175" t="n">
        <v>6</v>
      </c>
      <c r="CC76" s="110">
        <f>(COUNTIF(SEMANA29[Columna2804],CB76)*3)</f>
        <v/>
      </c>
      <c r="CD76" s="174">
        <f>(COUNTIF(SEMANA29[Columna2815],CB76)*2)</f>
        <v/>
      </c>
      <c r="CE76" s="428">
        <f>COUNTIF(SEMANA29[Columna28126],CB76)</f>
        <v/>
      </c>
      <c r="CF76" s="111">
        <f>SUM(CC76,CD76,CE76)</f>
        <v/>
      </c>
      <c r="CG76" s="105" t="n"/>
      <c r="CH76" s="105" t="n"/>
      <c r="DP76" s="396" t="n"/>
      <c r="DQ76" s="396" t="n"/>
      <c r="DR76" s="396" t="n"/>
      <c r="EH76" s="396" t="n"/>
      <c r="EI76" s="396" t="n"/>
      <c r="EJ76" s="396" t="n"/>
    </row>
    <row r="77" ht="27.95" customFormat="1" customHeight="1" s="112">
      <c r="B77" s="104" t="n"/>
      <c r="C77" s="105" t="n"/>
      <c r="D77" s="105" t="n"/>
      <c r="E77" s="173" t="n">
        <v>12</v>
      </c>
      <c r="F77" s="110">
        <f>(COUNTIF(SEMANA29[1],E77)*3)</f>
        <v/>
      </c>
      <c r="G77" s="174">
        <f>(COUNTIF(SEMANA29[2],E77)*2)</f>
        <v/>
      </c>
      <c r="H77" s="174">
        <f>COUNTIF(SEMANA29[22],E77)</f>
        <v/>
      </c>
      <c r="I77" s="431">
        <f>SUM(F77,G77,H77)</f>
        <v/>
      </c>
      <c r="J77" s="175" t="n">
        <v>12</v>
      </c>
      <c r="K77" s="174">
        <f>(COUNTIF(SEMANA29[12],J77)*3)</f>
        <v/>
      </c>
      <c r="L77" s="174">
        <f>(COUNTIF(SEMANA29[Columna2],J77)*2)</f>
        <v/>
      </c>
      <c r="M77" s="174">
        <f>COUNTIF(SEMANA29[Columna23],J77)</f>
        <v/>
      </c>
      <c r="N77" s="431">
        <f>SUM(K77,L77,M77)</f>
        <v/>
      </c>
      <c r="O77" s="175" t="n">
        <v>12</v>
      </c>
      <c r="P77" s="174">
        <f>(COUNTIF(SEMANA29[Columna4],O77)*3)</f>
        <v/>
      </c>
      <c r="Q77" s="174">
        <f>(COUNTIF(SEMANA29[Columna5],O77)*2)</f>
        <v/>
      </c>
      <c r="R77" s="174">
        <f>COUNTIF(SEMANA29[Columna53],O77)</f>
        <v/>
      </c>
      <c r="S77" s="431">
        <f>SUM(P77,Q77,R77)</f>
        <v/>
      </c>
      <c r="T77" s="175" t="n">
        <v>12</v>
      </c>
      <c r="U77" s="174">
        <f>(COUNTIF(SEMANA29[Columna7],T77)*3)</f>
        <v/>
      </c>
      <c r="V77" s="174">
        <f>(COUNTIF(SEMANA29[Columna8],T77)*2)</f>
        <v/>
      </c>
      <c r="W77" s="174">
        <f>COUNTIF(SEMANA29[Columna83],T77)</f>
        <v/>
      </c>
      <c r="X77" s="431">
        <f>SUM(U77,V77,W77)</f>
        <v/>
      </c>
      <c r="Y77" s="175" t="n">
        <v>12</v>
      </c>
      <c r="Z77" s="174">
        <f>(COUNTIF(SEMANA29[Columna10],Y77)*3)</f>
        <v/>
      </c>
      <c r="AA77" s="174">
        <f>(COUNTIF(SEMANA29[Columna11],Y77)*2)</f>
        <v/>
      </c>
      <c r="AB77" s="174">
        <f>COUNTIF(SEMANA29[Columna113],Y77)</f>
        <v/>
      </c>
      <c r="AC77" s="431">
        <f>SUM(Z77,AA77,AB77)</f>
        <v/>
      </c>
      <c r="AD77" s="175" t="n">
        <v>12</v>
      </c>
      <c r="AE77" s="174">
        <f>(COUNTIF(SEMANA29[1RA],AD77)*3)</f>
        <v/>
      </c>
      <c r="AF77" s="174">
        <f>(COUNTIF(SEMANA29[2DA],AD77)*2)</f>
        <v/>
      </c>
      <c r="AG77" s="174">
        <f>COUNTIF(SEMANA29[2DA2],AD77)</f>
        <v/>
      </c>
      <c r="AH77" s="431">
        <f>SUM(AE77,AF77,AG77)</f>
        <v/>
      </c>
      <c r="AI77" s="175" t="n">
        <v>12</v>
      </c>
      <c r="AJ77" s="174">
        <f>(COUNTIF(SEMANA29[Columna16],AI77)*3)</f>
        <v/>
      </c>
      <c r="AK77" s="174">
        <f>(COUNTIF(SEMANA29[Columna17],AI77)*2)</f>
        <v/>
      </c>
      <c r="AL77" s="174">
        <f>COUNTIF(SEMANA29[Columna173],AI77)</f>
        <v/>
      </c>
      <c r="AM77" s="431">
        <f>SUM(AJ77,AK77,AL77)</f>
        <v/>
      </c>
      <c r="AN77" s="175" t="n">
        <v>10</v>
      </c>
      <c r="AO77" s="174">
        <f>(COUNTIF(SEMANA29[123],AN77)*3)</f>
        <v/>
      </c>
      <c r="AP77" s="174">
        <f>(COUNTIF(SEMANA29[555],AN77)*2)</f>
        <v/>
      </c>
      <c r="AQ77" s="174">
        <f>COUNTIF(SEMANA29[556],AN77)</f>
        <v/>
      </c>
      <c r="AR77" s="431">
        <f>SUM(AO77,AP77,AQ77)</f>
        <v/>
      </c>
      <c r="AS77" s="175" t="n">
        <v>12</v>
      </c>
      <c r="AT77" s="174">
        <f>(COUNTIF(SEMANA29[AAAA],AS77)*3)</f>
        <v/>
      </c>
      <c r="AU77" s="174">
        <f>(COUNTIF(SEMANA29[BBBB],AS77)*2)</f>
        <v/>
      </c>
      <c r="AV77" s="174">
        <f>COUNTIF(SEMANA29[Columna13],AS77)</f>
        <v/>
      </c>
      <c r="AW77" s="431">
        <f>SUM(AT77,AU77,AV77)</f>
        <v/>
      </c>
      <c r="AX77" s="175" t="n">
        <v>12</v>
      </c>
      <c r="AY77" s="174">
        <f>(COUNTIF(SEMANA29[Columna25],AX77)*3)</f>
        <v/>
      </c>
      <c r="AZ77" s="174">
        <f>(COUNTIF(SEMANA29[Columna26],AX77)*2)</f>
        <v/>
      </c>
      <c r="BA77" s="174">
        <f>COUNTIF(SEMANA29[Columna263],AX77)</f>
        <v/>
      </c>
      <c r="BB77" s="431">
        <f>SUM(AY77,AZ77,BA77)</f>
        <v/>
      </c>
      <c r="BC77" s="175" t="n">
        <v>10</v>
      </c>
      <c r="BD77" s="174">
        <f>(COUNTIF(SEMANA29[Columna272],BC77)*3)</f>
        <v/>
      </c>
      <c r="BE77" s="174">
        <f>(COUNTIF(SEMANA29[Columna273],BC77)*2)</f>
        <v/>
      </c>
      <c r="BF77" s="174">
        <f>COUNTIF(SEMANA29[Columna2732],BC77)</f>
        <v/>
      </c>
      <c r="BG77" s="431">
        <f>SUM(BD77,BE77,BF77)</f>
        <v/>
      </c>
      <c r="BH77" s="175" t="n">
        <v>12</v>
      </c>
      <c r="BI77" s="174">
        <f>(COUNTIF(SEMANA29[Columna276],BH77)*3)</f>
        <v/>
      </c>
      <c r="BJ77" s="174">
        <f>(COUNTIF(SEMANA29[Columna277],BH77)*2)</f>
        <v/>
      </c>
      <c r="BK77" s="174">
        <f>COUNTIF(SEMANA29[Columna2772],BH77)</f>
        <v/>
      </c>
      <c r="BL77" s="431">
        <f>SUM(BI77,BJ77,BK77)</f>
        <v/>
      </c>
      <c r="BM77" s="175" t="n">
        <v>7</v>
      </c>
      <c r="BN77" s="174">
        <f>(COUNTIF(SEMANA29[Columna280],BM77)*3)</f>
        <v/>
      </c>
      <c r="BO77" s="174">
        <f>(COUNTIF(SEMANA29[Columna281],BM77)*2)</f>
        <v/>
      </c>
      <c r="BP77" s="174">
        <f>COUNTIF(SEMANA29[Columna2812],BM77)</f>
        <v/>
      </c>
      <c r="BQ77" s="111">
        <f>SUM(BN77,BO77,BP77)</f>
        <v/>
      </c>
      <c r="BR77" s="173" t="n">
        <v>8</v>
      </c>
      <c r="BS77" s="110">
        <f>(COUNTIF(SEMANA29[Columna2802],BR77)*3)</f>
        <v/>
      </c>
      <c r="BT77" s="174">
        <f>(COUNTIF(SEMANA29[Columna2813],BR77)*2)</f>
        <v/>
      </c>
      <c r="BU77" s="428">
        <f>COUNTIF(SEMANA29[Columna28124],BR77)</f>
        <v/>
      </c>
      <c r="BV77" s="111">
        <f>SUM(BS77,BT77,BU77)</f>
        <v/>
      </c>
      <c r="BW77" s="175" t="n">
        <v>7</v>
      </c>
      <c r="BX77" s="110">
        <f>(COUNTIF(SEMANA29[Columna2803],BW77)*3)</f>
        <v/>
      </c>
      <c r="BY77" s="174">
        <f>(COUNTIF(SEMANA29[Columna2814],BW77)*2)</f>
        <v/>
      </c>
      <c r="BZ77" s="428">
        <f>COUNTIF(SEMANA29[Columna28125],BW77)</f>
        <v/>
      </c>
      <c r="CA77" s="111">
        <f>SUM(BX77,BY77,BZ77)</f>
        <v/>
      </c>
      <c r="CB77" s="175" t="n">
        <v>7</v>
      </c>
      <c r="CC77" s="110">
        <f>(COUNTIF(SEMANA29[Columna2804],CB77)*3)</f>
        <v/>
      </c>
      <c r="CD77" s="174">
        <f>(COUNTIF(SEMANA29[Columna2815],CB77)*2)</f>
        <v/>
      </c>
      <c r="CE77" s="428">
        <f>COUNTIF(SEMANA29[Columna28126],CB77)</f>
        <v/>
      </c>
      <c r="CF77" s="111">
        <f>SUM(CC77,CD77,CE77)</f>
        <v/>
      </c>
      <c r="CG77" s="105" t="n"/>
      <c r="CH77" s="105" t="n"/>
      <c r="DP77" s="396" t="n"/>
      <c r="DQ77" s="396" t="n"/>
      <c r="DR77" s="396" t="n"/>
      <c r="EH77" s="396" t="n"/>
      <c r="EI77" s="396" t="n"/>
      <c r="EJ77" s="396" t="n"/>
    </row>
    <row r="78" ht="27.95" customFormat="1" customHeight="1" s="112">
      <c r="B78" s="104" t="n"/>
      <c r="C78" s="105" t="n"/>
      <c r="D78" s="105" t="n"/>
      <c r="E78" s="173" t="n">
        <v>13</v>
      </c>
      <c r="F78" s="110">
        <f>(COUNTIF(SEMANA29[1],E78)*3)</f>
        <v/>
      </c>
      <c r="G78" s="174">
        <f>(COUNTIF(SEMANA29[2],E78)*2)</f>
        <v/>
      </c>
      <c r="H78" s="174">
        <f>COUNTIF(SEMANA29[22],E78)</f>
        <v/>
      </c>
      <c r="I78" s="431">
        <f>SUM(F78,G78,H78)</f>
        <v/>
      </c>
      <c r="J78" s="175" t="n">
        <v>13</v>
      </c>
      <c r="K78" s="174">
        <f>(COUNTIF(SEMANA29[12],J78)*3)</f>
        <v/>
      </c>
      <c r="L78" s="174">
        <f>(COUNTIF(SEMANA29[Columna2],J78)*2)</f>
        <v/>
      </c>
      <c r="M78" s="174">
        <f>COUNTIF(SEMANA29[Columna23],J78)</f>
        <v/>
      </c>
      <c r="N78" s="431">
        <f>SUM(K78,L78,M78)</f>
        <v/>
      </c>
      <c r="O78" s="175" t="n">
        <v>13</v>
      </c>
      <c r="P78" s="174">
        <f>(COUNTIF(SEMANA29[Columna4],O78)*3)</f>
        <v/>
      </c>
      <c r="Q78" s="174">
        <f>(COUNTIF(SEMANA29[Columna5],O78)*2)</f>
        <v/>
      </c>
      <c r="R78" s="174">
        <f>COUNTIF(SEMANA29[Columna53],O78)</f>
        <v/>
      </c>
      <c r="S78" s="431">
        <f>SUM(P78,Q78,R78)</f>
        <v/>
      </c>
      <c r="T78" s="175" t="n">
        <v>13</v>
      </c>
      <c r="U78" s="174">
        <f>(COUNTIF(SEMANA29[Columna7],T78)*3)</f>
        <v/>
      </c>
      <c r="V78" s="174">
        <f>(COUNTIF(SEMANA29[Columna8],T78)*2)</f>
        <v/>
      </c>
      <c r="W78" s="174">
        <f>COUNTIF(SEMANA29[Columna83],T78)</f>
        <v/>
      </c>
      <c r="X78" s="431">
        <f>SUM(U78,V78,W78)</f>
        <v/>
      </c>
      <c r="Y78" s="175" t="n">
        <v>13</v>
      </c>
      <c r="Z78" s="174">
        <f>(COUNTIF(SEMANA29[Columna10],Y78)*3)</f>
        <v/>
      </c>
      <c r="AA78" s="174">
        <f>(COUNTIF(SEMANA29[Columna11],Y78)*2)</f>
        <v/>
      </c>
      <c r="AB78" s="174">
        <f>COUNTIF(SEMANA29[Columna113],Y78)</f>
        <v/>
      </c>
      <c r="AC78" s="431">
        <f>SUM(Z78,AA78,AB78)</f>
        <v/>
      </c>
      <c r="AD78" s="175" t="n">
        <v>13</v>
      </c>
      <c r="AE78" s="174">
        <f>(COUNTIF(SEMANA29[1RA],AD78)*3)</f>
        <v/>
      </c>
      <c r="AF78" s="174">
        <f>(COUNTIF(SEMANA29[2DA],AD78)*2)</f>
        <v/>
      </c>
      <c r="AG78" s="174">
        <f>COUNTIF(SEMANA29[2DA2],AD78)</f>
        <v/>
      </c>
      <c r="AH78" s="431">
        <f>SUM(AE78,AF78,AG78)</f>
        <v/>
      </c>
      <c r="AI78" s="175" t="n">
        <v>13</v>
      </c>
      <c r="AJ78" s="174">
        <f>(COUNTIF(SEMANA29[Columna16],AI78)*3)</f>
        <v/>
      </c>
      <c r="AK78" s="174">
        <f>(COUNTIF(SEMANA29[Columna17],AI78)*2)</f>
        <v/>
      </c>
      <c r="AL78" s="174">
        <f>COUNTIF(SEMANA29[Columna173],AI78)</f>
        <v/>
      </c>
      <c r="AM78" s="431">
        <f>SUM(AJ78,AK78,AL78)</f>
        <v/>
      </c>
      <c r="AN78" s="175" t="n">
        <v>13</v>
      </c>
      <c r="AO78" s="174">
        <f>(COUNTIF(SEMANA29[123],AN78)*3)</f>
        <v/>
      </c>
      <c r="AP78" s="174">
        <f>(COUNTIF(SEMANA29[555],AN78)*2)</f>
        <v/>
      </c>
      <c r="AQ78" s="174">
        <f>COUNTIF(SEMANA29[556],AN78)</f>
        <v/>
      </c>
      <c r="AR78" s="431">
        <f>SUM(AO78,AP78,AQ78)</f>
        <v/>
      </c>
      <c r="AS78" s="175" t="n">
        <v>13</v>
      </c>
      <c r="AT78" s="174">
        <f>(COUNTIF(SEMANA29[AAAA],AS78)*3)</f>
        <v/>
      </c>
      <c r="AU78" s="174">
        <f>(COUNTIF(SEMANA29[BBBB],AS78)*2)</f>
        <v/>
      </c>
      <c r="AV78" s="174">
        <f>COUNTIF(SEMANA29[Columna13],AS78)</f>
        <v/>
      </c>
      <c r="AW78" s="431">
        <f>SUM(AT78,AU78,AV78)</f>
        <v/>
      </c>
      <c r="AX78" s="175" t="n">
        <v>13</v>
      </c>
      <c r="AY78" s="174">
        <f>(COUNTIF(SEMANA29[Columna25],AX78)*3)</f>
        <v/>
      </c>
      <c r="AZ78" s="174">
        <f>(COUNTIF(SEMANA29[Columna26],AX78)*2)</f>
        <v/>
      </c>
      <c r="BA78" s="174">
        <f>COUNTIF(SEMANA29[Columna263],AX78)</f>
        <v/>
      </c>
      <c r="BB78" s="431">
        <f>SUM(AY78,AZ78,BA78)</f>
        <v/>
      </c>
      <c r="BC78" s="175" t="n">
        <v>13</v>
      </c>
      <c r="BD78" s="174">
        <f>(COUNTIF(SEMANA29[Columna272],BC78)*3)</f>
        <v/>
      </c>
      <c r="BE78" s="174">
        <f>(COUNTIF(SEMANA29[Columna273],BC78)*2)</f>
        <v/>
      </c>
      <c r="BF78" s="174">
        <f>COUNTIF(SEMANA29[Columna2732],BC78)</f>
        <v/>
      </c>
      <c r="BG78" s="431">
        <f>SUM(BD78,BE78,BF78)</f>
        <v/>
      </c>
      <c r="BH78" s="175" t="n">
        <v>13</v>
      </c>
      <c r="BI78" s="174">
        <f>(COUNTIF(SEMANA29[Columna276],BH78)*3)</f>
        <v/>
      </c>
      <c r="BJ78" s="174">
        <f>(COUNTIF(SEMANA29[Columna277],BH78)*2)</f>
        <v/>
      </c>
      <c r="BK78" s="174">
        <f>COUNTIF(SEMANA29[Columna2772],BH78)</f>
        <v/>
      </c>
      <c r="BL78" s="431">
        <f>SUM(BI78,BJ78,BK78)</f>
        <v/>
      </c>
      <c r="BM78" s="175" t="n">
        <v>11</v>
      </c>
      <c r="BN78" s="174">
        <f>(COUNTIF(SEMANA29[Columna280],BM78)*3)</f>
        <v/>
      </c>
      <c r="BO78" s="174">
        <f>(COUNTIF(SEMANA29[Columna281],BM78)*2)</f>
        <v/>
      </c>
      <c r="BP78" s="174">
        <f>COUNTIF(SEMANA29[Columna2812],BM78)</f>
        <v/>
      </c>
      <c r="BQ78" s="111">
        <f>SUM(BN78,BO78,BP78)</f>
        <v/>
      </c>
      <c r="BR78" s="173" t="n">
        <v>6</v>
      </c>
      <c r="BS78" s="110">
        <f>(COUNTIF(SEMANA29[Columna2802],BR78)*3)</f>
        <v/>
      </c>
      <c r="BT78" s="174">
        <f>(COUNTIF(SEMANA29[Columna2813],BR78)*2)</f>
        <v/>
      </c>
      <c r="BU78" s="428">
        <f>COUNTIF(SEMANA29[Columna28124],BR78)</f>
        <v/>
      </c>
      <c r="BV78" s="111">
        <f>SUM(BS78,BT78,BU78)</f>
        <v/>
      </c>
      <c r="BW78" s="175" t="n">
        <v>11</v>
      </c>
      <c r="BX78" s="110">
        <f>(COUNTIF(SEMANA29[Columna2803],BW78)*3)</f>
        <v/>
      </c>
      <c r="BY78" s="174">
        <f>(COUNTIF(SEMANA29[Columna2814],BW78)*2)</f>
        <v/>
      </c>
      <c r="BZ78" s="428">
        <f>COUNTIF(SEMANA29[Columna28125],BW78)</f>
        <v/>
      </c>
      <c r="CA78" s="111">
        <f>SUM(BX78,BY78,BZ78)</f>
        <v/>
      </c>
      <c r="CB78" s="175" t="n">
        <v>11</v>
      </c>
      <c r="CC78" s="110">
        <f>(COUNTIF(SEMANA29[Columna2804],CB78)*3)</f>
        <v/>
      </c>
      <c r="CD78" s="174">
        <f>(COUNTIF(SEMANA29[Columna2815],CB78)*2)</f>
        <v/>
      </c>
      <c r="CE78" s="428">
        <f>COUNTIF(SEMANA29[Columna28126],CB78)</f>
        <v/>
      </c>
      <c r="CF78" s="111">
        <f>SUM(CC78,CD78,CE78)</f>
        <v/>
      </c>
      <c r="CG78" s="105" t="n"/>
      <c r="CH78" s="105" t="n"/>
      <c r="DP78" s="396" t="n"/>
      <c r="DQ78" s="396" t="n"/>
      <c r="DR78" s="396" t="n"/>
      <c r="EH78" s="396" t="n"/>
      <c r="EI78" s="396" t="n"/>
      <c r="EJ78" s="396" t="n"/>
    </row>
    <row r="79" ht="27.95" customFormat="1" customHeight="1" s="112">
      <c r="B79" s="104" t="n"/>
      <c r="C79" s="105" t="n"/>
      <c r="D79" s="105" t="n"/>
      <c r="E79" s="176" t="n">
        <v>14</v>
      </c>
      <c r="F79" s="114">
        <f>(COUNTIF(SEMANA29[1],E79)*3)</f>
        <v/>
      </c>
      <c r="G79" s="115">
        <f>(COUNTIF(SEMANA29[2],E79)*2)</f>
        <v/>
      </c>
      <c r="H79" s="115">
        <f>COUNTIF(SEMANA29[22],E79)</f>
        <v/>
      </c>
      <c r="I79" s="116">
        <f>SUM(F79,G79,H79)</f>
        <v/>
      </c>
      <c r="J79" s="117" t="n">
        <v>14</v>
      </c>
      <c r="K79" s="115">
        <f>(COUNTIF(SEMANA29[12],J79)*3)</f>
        <v/>
      </c>
      <c r="L79" s="115">
        <f>(COUNTIF(SEMANA29[Columna2],J79)*2)</f>
        <v/>
      </c>
      <c r="M79" s="115">
        <f>COUNTIF(SEMANA29[Columna23],J79)</f>
        <v/>
      </c>
      <c r="N79" s="116">
        <f>SUM(K79,L79,M79)</f>
        <v/>
      </c>
      <c r="O79" s="117" t="n">
        <v>14</v>
      </c>
      <c r="P79" s="115">
        <f>(COUNTIF(SEMANA29[Columna4],O79)*3)</f>
        <v/>
      </c>
      <c r="Q79" s="115">
        <f>(COUNTIF(SEMANA29[Columna5],O79)*2)</f>
        <v/>
      </c>
      <c r="R79" s="115">
        <f>COUNTIF(SEMANA29[Columna53],O79)</f>
        <v/>
      </c>
      <c r="S79" s="116">
        <f>SUM(P79,Q79,R79)</f>
        <v/>
      </c>
      <c r="T79" s="117" t="n">
        <v>14</v>
      </c>
      <c r="U79" s="115">
        <f>(COUNTIF(SEMANA29[Columna7],T79)*3)</f>
        <v/>
      </c>
      <c r="V79" s="115">
        <f>(COUNTIF(SEMANA29[Columna8],T79)*2)</f>
        <v/>
      </c>
      <c r="W79" s="115">
        <f>COUNTIF(SEMANA29[Columna83],T79)</f>
        <v/>
      </c>
      <c r="X79" s="116">
        <f>SUM(U79,V79,W79)</f>
        <v/>
      </c>
      <c r="Y79" s="117" t="n">
        <v>14</v>
      </c>
      <c r="Z79" s="115">
        <f>(COUNTIF(SEMANA29[Columna10],Y79)*3)</f>
        <v/>
      </c>
      <c r="AA79" s="115">
        <f>(COUNTIF(SEMANA29[Columna11],Y79)*2)</f>
        <v/>
      </c>
      <c r="AB79" s="115">
        <f>COUNTIF(SEMANA29[Columna113],Y79)</f>
        <v/>
      </c>
      <c r="AC79" s="116">
        <f>SUM(Z79,AA79,AB79)</f>
        <v/>
      </c>
      <c r="AD79" s="117" t="n">
        <v>14</v>
      </c>
      <c r="AE79" s="115">
        <f>(COUNTIF(SEMANA29[1RA],AD79)*3)</f>
        <v/>
      </c>
      <c r="AF79" s="115">
        <f>(COUNTIF(SEMANA29[2DA],AD79)*2)</f>
        <v/>
      </c>
      <c r="AG79" s="115">
        <f>COUNTIF(SEMANA29[2DA2],AD79)</f>
        <v/>
      </c>
      <c r="AH79" s="116">
        <f>SUM(AE79,AF79,AG79)</f>
        <v/>
      </c>
      <c r="AI79" s="117" t="n">
        <v>14</v>
      </c>
      <c r="AJ79" s="115">
        <f>(COUNTIF(SEMANA29[Columna16],AI79)*3)</f>
        <v/>
      </c>
      <c r="AK79" s="115">
        <f>(COUNTIF(SEMANA29[Columna17],AI79)*2)</f>
        <v/>
      </c>
      <c r="AL79" s="115">
        <f>COUNTIF(SEMANA29[Columna173],AI79)</f>
        <v/>
      </c>
      <c r="AM79" s="116">
        <f>SUM(AJ79,AK79,AL79)</f>
        <v/>
      </c>
      <c r="AN79" s="117" t="n">
        <v>14</v>
      </c>
      <c r="AO79" s="115">
        <f>(COUNTIF(SEMANA29[123],AN79)*3)</f>
        <v/>
      </c>
      <c r="AP79" s="115">
        <f>(COUNTIF(SEMANA29[555],AN79)*2)</f>
        <v/>
      </c>
      <c r="AQ79" s="115">
        <f>COUNTIF(SEMANA29[556],AN79)</f>
        <v/>
      </c>
      <c r="AR79" s="116">
        <f>SUM(AO79,AP79,AQ79)</f>
        <v/>
      </c>
      <c r="AS79" s="117" t="n">
        <v>14</v>
      </c>
      <c r="AT79" s="115">
        <f>(COUNTIF(SEMANA29[AAAA],AS79)*3)</f>
        <v/>
      </c>
      <c r="AU79" s="115">
        <f>(COUNTIF(SEMANA29[BBBB],AS79)*2)</f>
        <v/>
      </c>
      <c r="AV79" s="115">
        <f>COUNTIF(SEMANA29[Columna13],AS79)</f>
        <v/>
      </c>
      <c r="AW79" s="116">
        <f>SUM(AT79,AU79,AV79)</f>
        <v/>
      </c>
      <c r="AX79" s="117" t="n">
        <v>14</v>
      </c>
      <c r="AY79" s="115">
        <f>(COUNTIF(SEMANA29[Columna25],AX79)*3)</f>
        <v/>
      </c>
      <c r="AZ79" s="115">
        <f>(COUNTIF(SEMANA29[Columna26],AX79)*2)</f>
        <v/>
      </c>
      <c r="BA79" s="115">
        <f>COUNTIF(SEMANA29[Columna263],AX79)</f>
        <v/>
      </c>
      <c r="BB79" s="116">
        <f>SUM(AY79,AZ79,BA79)</f>
        <v/>
      </c>
      <c r="BC79" s="117" t="n">
        <v>14</v>
      </c>
      <c r="BD79" s="115">
        <f>(COUNTIF(SEMANA29[Columna272],BC79)*3)</f>
        <v/>
      </c>
      <c r="BE79" s="115">
        <f>(COUNTIF(SEMANA29[Columna273],BC79)*2)</f>
        <v/>
      </c>
      <c r="BF79" s="115">
        <f>COUNTIF(SEMANA29[Columna2732],BC79)</f>
        <v/>
      </c>
      <c r="BG79" s="116">
        <f>SUM(BD79,BE79,BF79)</f>
        <v/>
      </c>
      <c r="BH79" s="117" t="n">
        <v>14</v>
      </c>
      <c r="BI79" s="115">
        <f>(COUNTIF(SEMANA29[Columna276],BH79)*3)</f>
        <v/>
      </c>
      <c r="BJ79" s="115">
        <f>(COUNTIF(SEMANA29[Columna277],BH79)*2)</f>
        <v/>
      </c>
      <c r="BK79" s="115">
        <f>COUNTIF(SEMANA29[Columna2772],BH79)</f>
        <v/>
      </c>
      <c r="BL79" s="116">
        <f>SUM(BI79,BJ79,BK79)</f>
        <v/>
      </c>
      <c r="BM79" s="117" t="n">
        <v>14</v>
      </c>
      <c r="BN79" s="115">
        <f>(COUNTIF(SEMANA29[Columna280],BM79)*3)</f>
        <v/>
      </c>
      <c r="BO79" s="115">
        <f>(COUNTIF(SEMANA29[Columna281],BM79)*2)</f>
        <v/>
      </c>
      <c r="BP79" s="115">
        <f>COUNTIF(SEMANA29[Columna2812],BM79)</f>
        <v/>
      </c>
      <c r="BQ79" s="118">
        <f>SUM(BN79,BO79,BP79)</f>
        <v/>
      </c>
      <c r="BR79" s="176" t="n">
        <v>14</v>
      </c>
      <c r="BS79" s="114">
        <f>(COUNTIF(SEMANA29[Columna2802],BR79)*3)</f>
        <v/>
      </c>
      <c r="BT79" s="115">
        <f>(COUNTIF(SEMANA29[Columna2813],BR79)*2)</f>
        <v/>
      </c>
      <c r="BU79" s="429">
        <f>COUNTIF(SEMANA29[Columna28124],BR79)</f>
        <v/>
      </c>
      <c r="BV79" s="118">
        <f>SUM(BS79,BT79,BU79)</f>
        <v/>
      </c>
      <c r="BW79" s="117" t="n">
        <v>14</v>
      </c>
      <c r="BX79" s="114">
        <f>(COUNTIF(SEMANA29[Columna2803],BW79)*3)</f>
        <v/>
      </c>
      <c r="BY79" s="115">
        <f>(COUNTIF(SEMANA29[Columna2814],BW79)*2)</f>
        <v/>
      </c>
      <c r="BZ79" s="429">
        <f>COUNTIF(SEMANA29[Columna28125],BW79)</f>
        <v/>
      </c>
      <c r="CA79" s="118">
        <f>SUM(BX79,BY79,BZ79)</f>
        <v/>
      </c>
      <c r="CB79" s="117" t="n">
        <v>14</v>
      </c>
      <c r="CC79" s="114">
        <f>(COUNTIF(SEMANA29[Columna2804],CB79)*3)</f>
        <v/>
      </c>
      <c r="CD79" s="115">
        <f>(COUNTIF(SEMANA29[Columna2815],CB79)*2)</f>
        <v/>
      </c>
      <c r="CE79" s="429">
        <f>COUNTIF(SEMANA29[Columna28126],CB79)</f>
        <v/>
      </c>
      <c r="CF79" s="118">
        <f>SUM(CC79,CD79,CE79)</f>
        <v/>
      </c>
      <c r="CG79" s="105" t="n"/>
      <c r="CH79" s="105" t="n"/>
      <c r="DP79" s="396" t="n"/>
      <c r="DQ79" s="396" t="n"/>
      <c r="DR79" s="396" t="n"/>
      <c r="EH79" s="396" t="n"/>
      <c r="EI79" s="396" t="n"/>
      <c r="EJ79" s="396" t="n"/>
    </row>
    <row r="80" ht="26.25" customFormat="1" customHeight="1" s="112">
      <c r="B80" s="104" t="n"/>
      <c r="C80" s="105" t="n"/>
      <c r="D80" s="105" t="n"/>
      <c r="E80" s="105" t="n"/>
      <c r="F80" s="105" t="n"/>
      <c r="G80" s="105" t="n">
        <v>1</v>
      </c>
      <c r="H80" s="105" t="n"/>
      <c r="I80" s="105" t="n"/>
      <c r="J80" s="105" t="n"/>
      <c r="K80" s="105" t="n"/>
      <c r="L80" s="105" t="n">
        <v>2</v>
      </c>
      <c r="M80" s="105" t="n"/>
      <c r="N80" s="105" t="n"/>
      <c r="O80" s="105" t="n"/>
      <c r="P80" s="105" t="n"/>
      <c r="Q80" s="105" t="n">
        <v>3</v>
      </c>
      <c r="R80" s="105" t="n"/>
      <c r="S80" s="105" t="n"/>
      <c r="T80" s="105" t="n"/>
      <c r="U80" s="105" t="n"/>
      <c r="V80" s="105" t="n">
        <v>4</v>
      </c>
      <c r="W80" s="105" t="n"/>
      <c r="X80" s="105" t="n"/>
      <c r="Y80" s="105" t="n"/>
      <c r="Z80" s="105" t="n"/>
      <c r="AA80" s="105" t="n">
        <v>5</v>
      </c>
      <c r="AB80" s="105" t="n"/>
      <c r="AC80" s="105" t="n"/>
      <c r="AD80" s="105" t="n"/>
      <c r="AE80" s="105" t="n"/>
      <c r="AF80" s="105" t="n">
        <v>6</v>
      </c>
      <c r="AG80" s="105" t="n"/>
      <c r="AH80" s="105" t="n"/>
      <c r="AI80" s="105" t="n"/>
      <c r="AJ80" s="105" t="n"/>
      <c r="AK80" s="105" t="n">
        <v>7</v>
      </c>
      <c r="AL80" s="105" t="n"/>
      <c r="AM80" s="105" t="n"/>
      <c r="AN80" s="105" t="n"/>
      <c r="AO80" s="105" t="n"/>
      <c r="AP80" s="105" t="n">
        <v>8</v>
      </c>
      <c r="AQ80" s="105" t="n"/>
      <c r="AR80" s="105" t="n"/>
      <c r="AS80" s="105" t="n"/>
      <c r="AT80" s="105" t="n"/>
      <c r="AU80" s="105" t="n">
        <v>9</v>
      </c>
      <c r="AV80" s="105" t="n"/>
      <c r="AW80" s="105" t="n"/>
      <c r="AX80" s="105" t="n"/>
      <c r="AY80" s="105" t="n"/>
      <c r="AZ80" s="105" t="n">
        <v>10</v>
      </c>
      <c r="BA80" s="105" t="n"/>
      <c r="BB80" s="105" t="n"/>
      <c r="BC80" s="105" t="n"/>
      <c r="BD80" s="105" t="n"/>
      <c r="BE80" s="105" t="n">
        <v>11</v>
      </c>
      <c r="BF80" s="105" t="n"/>
      <c r="BG80" s="119" t="n"/>
      <c r="BH80" s="105" t="n"/>
      <c r="BI80" s="105" t="n"/>
      <c r="BJ80" s="105" t="n">
        <v>12</v>
      </c>
      <c r="BK80" s="105" t="n"/>
      <c r="BL80" s="119" t="n"/>
      <c r="BM80" s="105" t="n"/>
      <c r="BN80" s="105" t="n"/>
      <c r="BO80" s="105" t="n">
        <v>13</v>
      </c>
      <c r="BP80" s="105" t="n"/>
      <c r="BQ80" s="105" t="n"/>
      <c r="BR80" s="105" t="n"/>
      <c r="BS80" s="105" t="n"/>
      <c r="BT80" s="105" t="n">
        <v>14</v>
      </c>
      <c r="BU80" s="105" t="n"/>
      <c r="BV80" s="105" t="n"/>
      <c r="BW80" s="105" t="n"/>
      <c r="BX80" s="105" t="n"/>
      <c r="BY80" s="105" t="n">
        <v>15</v>
      </c>
      <c r="BZ80" s="105" t="n"/>
      <c r="CA80" s="105" t="n"/>
      <c r="CB80" s="105" t="n"/>
      <c r="CC80" s="105" t="n"/>
      <c r="CD80" s="105" t="n">
        <v>16</v>
      </c>
      <c r="CE80" s="105" t="n"/>
      <c r="CF80" s="105" t="n"/>
      <c r="CG80" s="105" t="n"/>
      <c r="CH80" s="105" t="n"/>
      <c r="DP80" s="393" t="n"/>
      <c r="DQ80" s="393" t="n"/>
      <c r="DR80" s="393" t="n"/>
      <c r="EH80" s="396" t="n"/>
      <c r="EI80" s="396" t="n"/>
      <c r="EJ80" s="396" t="n"/>
    </row>
    <row r="81" ht="15.75" customHeight="1" s="568" thickBot="1">
      <c r="B81" s="104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  <c r="Z81" s="105" t="n"/>
      <c r="AA81" s="105" t="n"/>
      <c r="AB81" s="105" t="n"/>
      <c r="AC81" s="105" t="n"/>
      <c r="AD81" s="105" t="n"/>
      <c r="AE81" s="105" t="n"/>
      <c r="AF81" s="105" t="n"/>
      <c r="AG81" s="105" t="n"/>
      <c r="AH81" s="105" t="n"/>
      <c r="AI81" s="105" t="n"/>
      <c r="AJ81" s="105" t="n"/>
      <c r="AK81" s="105" t="n"/>
      <c r="AL81" s="105" t="n"/>
      <c r="AM81" s="105" t="n"/>
      <c r="AN81" s="105" t="n"/>
      <c r="AO81" s="105" t="n"/>
      <c r="AP81" s="105" t="n"/>
      <c r="AQ81" s="105" t="n"/>
      <c r="AR81" s="105" t="n"/>
      <c r="AS81" s="105" t="n"/>
      <c r="AT81" s="105" t="n"/>
      <c r="AU81" s="105" t="n"/>
      <c r="AV81" s="105" t="n"/>
      <c r="AW81" s="105" t="n"/>
      <c r="AX81" s="105" t="n"/>
      <c r="AY81" s="105" t="n"/>
      <c r="AZ81" s="105" t="n"/>
      <c r="BA81" s="105" t="n"/>
      <c r="BB81" s="105" t="n"/>
      <c r="BC81" s="105" t="n"/>
      <c r="BD81" s="105" t="n"/>
      <c r="BE81" s="105" t="n"/>
      <c r="BF81" s="105" t="n"/>
      <c r="BG81" s="119" t="n"/>
      <c r="BH81" s="105" t="n"/>
      <c r="BI81" s="105" t="n"/>
      <c r="BJ81" s="105" t="n"/>
      <c r="BK81" s="105" t="n"/>
      <c r="BL81" s="119" t="n"/>
      <c r="BM81" s="105" t="n"/>
      <c r="BN81" s="105" t="n"/>
      <c r="BO81" s="105" t="n"/>
      <c r="BP81" s="105" t="n"/>
      <c r="BQ81" s="105" t="n"/>
      <c r="BR81" s="105" t="n"/>
      <c r="BS81" s="105" t="n"/>
      <c r="BT81" s="105" t="n"/>
      <c r="BU81" s="105" t="n"/>
      <c r="BV81" s="105" t="n"/>
      <c r="BW81" s="105" t="n"/>
      <c r="BX81" s="105" t="n"/>
      <c r="BY81" s="105" t="n"/>
      <c r="BZ81" s="105" t="n"/>
      <c r="CA81" s="105" t="n"/>
      <c r="CB81" s="105" t="n"/>
      <c r="CC81" s="105" t="n"/>
      <c r="CD81" s="105" t="n"/>
      <c r="CE81" s="105" t="n"/>
      <c r="CF81" s="105" t="n"/>
      <c r="CG81" s="105" t="n"/>
      <c r="CH81" s="105" t="n"/>
      <c r="DA81" s="112" t="n"/>
      <c r="EH81" s="393" t="n"/>
      <c r="EI81" s="393" t="n"/>
      <c r="EJ81" s="393" t="n"/>
    </row>
    <row r="82" ht="36" customHeight="1" s="568">
      <c r="A82" s="3" t="n"/>
      <c r="B82" s="120" t="n"/>
      <c r="C82" s="121" t="n"/>
      <c r="D82" s="122" t="n"/>
      <c r="E82" s="122" t="n"/>
      <c r="F82" s="122" t="n"/>
      <c r="G82" s="122" t="n"/>
      <c r="H82" s="122" t="n"/>
      <c r="I82" s="121" t="n"/>
      <c r="J82" s="121" t="inlineStr">
        <is>
          <t>CATEDRA PRONOSTICADORES GANADORES Y PULSO RHD</t>
        </is>
      </c>
      <c r="K82" s="121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  <c r="X82" s="122" t="n"/>
      <c r="Y82" s="122" t="n"/>
      <c r="Z82" s="122" t="n"/>
      <c r="AA82" s="122" t="n"/>
      <c r="AB82" s="122" t="n"/>
      <c r="AC82" s="122" t="n"/>
      <c r="AD82" s="122" t="n"/>
      <c r="AE82" s="121" t="n"/>
      <c r="AF82" s="123" t="n"/>
      <c r="AG82" s="121" t="inlineStr">
        <is>
          <t>DOMINGO</t>
        </is>
      </c>
      <c r="AH82" s="123" t="n"/>
      <c r="AI82" s="123" t="n"/>
      <c r="AJ82" s="121" t="n"/>
      <c r="AK82" s="123" t="n"/>
      <c r="AL82" s="124">
        <f>D3</f>
        <v/>
      </c>
      <c r="AM82" s="122" t="n"/>
      <c r="AN82" s="122" t="n"/>
      <c r="AO82" s="122" t="n"/>
      <c r="AP82" s="122" t="n"/>
      <c r="AQ82" s="122" t="n"/>
      <c r="AR82" s="122" t="n"/>
      <c r="AS82" s="122" t="n"/>
      <c r="AT82" s="122" t="n"/>
      <c r="AU82" s="122" t="n"/>
      <c r="AV82" s="122" t="n"/>
      <c r="AW82" s="122" t="n"/>
      <c r="AX82" s="125" t="n"/>
      <c r="AY82" s="122" t="n"/>
      <c r="AZ82" s="122" t="n"/>
      <c r="BA82" s="122" t="n"/>
      <c r="BB82" s="122" t="n"/>
      <c r="BC82" s="122" t="n"/>
      <c r="BD82" s="122" t="n"/>
      <c r="BE82" s="122" t="n"/>
      <c r="BF82" s="126" t="n"/>
      <c r="BG82" s="125" t="n"/>
      <c r="BH82" s="122" t="n"/>
      <c r="BI82" s="122" t="n"/>
      <c r="BJ82" s="122" t="n"/>
      <c r="BK82" s="122" t="n"/>
      <c r="BL82" s="122" t="n"/>
      <c r="BM82" s="122" t="n"/>
      <c r="BN82" s="122" t="n"/>
      <c r="BO82" s="126" t="n"/>
      <c r="BP82" s="125" t="n"/>
      <c r="BQ82" s="105" t="n"/>
      <c r="BR82" s="105" t="n"/>
      <c r="BS82" s="105" t="n"/>
      <c r="BT82" s="105" t="n"/>
      <c r="BU82" s="105" t="n"/>
      <c r="BV82" s="105" t="n"/>
      <c r="BW82" s="105" t="n"/>
      <c r="BX82" s="105" t="n"/>
      <c r="BY82" s="105" t="n"/>
      <c r="BZ82" s="105" t="n"/>
      <c r="CA82" s="105" t="n"/>
      <c r="CB82" s="105" t="n"/>
      <c r="CC82" s="105" t="n"/>
      <c r="CD82" s="105" t="n"/>
      <c r="CE82" s="105" t="n"/>
      <c r="CF82" s="105" t="n"/>
      <c r="CG82" s="105" t="n"/>
      <c r="EH82" s="393" t="n"/>
      <c r="EI82" s="393" t="n"/>
      <c r="EJ82" s="393" t="n"/>
    </row>
    <row r="83" ht="36" customHeight="1" s="568">
      <c r="A83" s="3" t="n"/>
      <c r="B83" s="609">
        <f>E4</f>
        <v/>
      </c>
      <c r="C83" s="184" t="n"/>
      <c r="D83" s="184" t="n"/>
      <c r="E83" s="185" t="n"/>
      <c r="F83" s="610">
        <f>J4</f>
        <v/>
      </c>
      <c r="G83" s="187" t="n"/>
      <c r="H83" s="187" t="n"/>
      <c r="I83" s="187" t="n"/>
      <c r="J83" s="187" t="n"/>
      <c r="K83" s="187" t="n"/>
      <c r="L83" s="187" t="n"/>
      <c r="M83" s="187" t="n"/>
      <c r="N83" s="188" t="n"/>
      <c r="O83" s="610">
        <f>O4</f>
        <v/>
      </c>
      <c r="P83" s="187" t="n"/>
      <c r="Q83" s="187" t="n"/>
      <c r="R83" s="187" t="n"/>
      <c r="S83" s="187" t="n"/>
      <c r="T83" s="187" t="n"/>
      <c r="U83" s="187" t="n"/>
      <c r="V83" s="187" t="n"/>
      <c r="W83" s="188" t="n"/>
      <c r="X83" s="610">
        <f>T4</f>
        <v/>
      </c>
      <c r="Y83" s="187" t="n"/>
      <c r="Z83" s="187" t="n"/>
      <c r="AA83" s="187" t="n"/>
      <c r="AB83" s="187" t="n"/>
      <c r="AC83" s="187" t="n"/>
      <c r="AD83" s="187" t="n"/>
      <c r="AE83" s="187" t="n"/>
      <c r="AF83" s="188" t="n"/>
      <c r="AG83" s="610">
        <f>Y4</f>
        <v/>
      </c>
      <c r="AH83" s="187" t="n"/>
      <c r="AI83" s="187" t="n"/>
      <c r="AJ83" s="187" t="n"/>
      <c r="AK83" s="187" t="n"/>
      <c r="AL83" s="187" t="n"/>
      <c r="AM83" s="187" t="n"/>
      <c r="AN83" s="187" t="n"/>
      <c r="AO83" s="188" t="n"/>
      <c r="AP83" s="610">
        <f>AD4</f>
        <v/>
      </c>
      <c r="AQ83" s="187" t="n"/>
      <c r="AR83" s="187" t="n"/>
      <c r="AS83" s="187" t="n"/>
      <c r="AT83" s="187" t="n"/>
      <c r="AU83" s="187" t="n"/>
      <c r="AV83" s="187" t="n"/>
      <c r="AW83" s="187" t="n"/>
      <c r="AX83" s="188" t="n"/>
      <c r="AY83" s="610">
        <f>AI4</f>
        <v/>
      </c>
      <c r="AZ83" s="187" t="n"/>
      <c r="BA83" s="187" t="n"/>
      <c r="BB83" s="187" t="n"/>
      <c r="BC83" s="187" t="n"/>
      <c r="BD83" s="187" t="n"/>
      <c r="BE83" s="187" t="n"/>
      <c r="BF83" s="187" t="n"/>
      <c r="BG83" s="188" t="n"/>
      <c r="BH83" s="610">
        <f>AN4</f>
        <v/>
      </c>
      <c r="BI83" s="187" t="n"/>
      <c r="BJ83" s="187" t="n"/>
      <c r="BK83" s="187" t="n"/>
      <c r="BL83" s="187" t="n"/>
      <c r="BM83" s="187" t="n"/>
      <c r="BN83" s="187" t="n"/>
      <c r="BO83" s="187" t="n"/>
      <c r="BP83" s="188" t="n"/>
      <c r="BQ83" s="178" t="n"/>
      <c r="BR83" s="178" t="n"/>
      <c r="BS83" s="178" t="n"/>
      <c r="BT83" s="178" t="n"/>
      <c r="BU83" s="178" t="n"/>
      <c r="BV83" s="178" t="n"/>
      <c r="BW83" s="178" t="n"/>
      <c r="BX83" s="178" t="n"/>
      <c r="BY83" s="178" t="n"/>
      <c r="BZ83" s="178" t="n"/>
      <c r="CA83" s="178" t="n"/>
      <c r="CB83" s="178" t="n"/>
      <c r="CC83" s="178" t="n"/>
      <c r="CD83" s="178" t="n"/>
      <c r="CE83" s="178" t="n"/>
      <c r="CF83" s="178" t="n"/>
      <c r="CG83" s="178" t="n"/>
      <c r="EH83" s="393" t="n"/>
      <c r="EI83" s="393" t="n"/>
      <c r="EJ83" s="393" t="n"/>
    </row>
    <row r="84" ht="30" customHeight="1" s="568">
      <c r="A84" s="3" t="n"/>
      <c r="B84" s="127" t="inlineStr">
        <is>
          <t>N°</t>
        </is>
      </c>
      <c r="C84" s="129" t="inlineStr">
        <is>
          <t>EJEMPLAR</t>
        </is>
      </c>
      <c r="D84" s="129" t="n"/>
      <c r="E84" s="128" t="inlineStr">
        <is>
          <t>PTS</t>
        </is>
      </c>
      <c r="F84" s="127" t="inlineStr">
        <is>
          <t>N°</t>
        </is>
      </c>
      <c r="G84" s="129" t="inlineStr">
        <is>
          <t>EJEMPLAR</t>
        </is>
      </c>
      <c r="H84" s="129" t="n"/>
      <c r="I84" s="129" t="n"/>
      <c r="J84" s="129" t="n"/>
      <c r="K84" s="129" t="n"/>
      <c r="L84" s="129" t="n"/>
      <c r="M84" s="129" t="n"/>
      <c r="N84" s="128" t="inlineStr">
        <is>
          <t>PTS</t>
        </is>
      </c>
      <c r="O84" s="127" t="inlineStr">
        <is>
          <t>N°</t>
        </is>
      </c>
      <c r="P84" s="129" t="inlineStr">
        <is>
          <t>EJEMPLAR</t>
        </is>
      </c>
      <c r="Q84" s="129" t="n"/>
      <c r="R84" s="129" t="n"/>
      <c r="S84" s="129" t="n"/>
      <c r="T84" s="129" t="n"/>
      <c r="U84" s="129" t="n"/>
      <c r="V84" s="129" t="n"/>
      <c r="W84" s="128" t="inlineStr">
        <is>
          <t>PTS</t>
        </is>
      </c>
      <c r="X84" s="127" t="inlineStr">
        <is>
          <t>N°</t>
        </is>
      </c>
      <c r="Y84" s="129" t="inlineStr">
        <is>
          <t>EJEMPLAR</t>
        </is>
      </c>
      <c r="Z84" s="129" t="n"/>
      <c r="AA84" s="129" t="n"/>
      <c r="AB84" s="129" t="n"/>
      <c r="AC84" s="129" t="n"/>
      <c r="AD84" s="129" t="n"/>
      <c r="AE84" s="129" t="n"/>
      <c r="AF84" s="128" t="inlineStr">
        <is>
          <t>PTS</t>
        </is>
      </c>
      <c r="AG84" s="127" t="inlineStr">
        <is>
          <t>N°</t>
        </is>
      </c>
      <c r="AH84" s="129" t="inlineStr">
        <is>
          <t>EJEMPLAR</t>
        </is>
      </c>
      <c r="AI84" s="129" t="n"/>
      <c r="AJ84" s="129" t="n"/>
      <c r="AK84" s="129" t="n"/>
      <c r="AL84" s="129" t="n"/>
      <c r="AM84" s="129" t="n"/>
      <c r="AN84" s="129" t="n"/>
      <c r="AO84" s="128" t="inlineStr">
        <is>
          <t>PTS</t>
        </is>
      </c>
      <c r="AP84" s="127" t="inlineStr">
        <is>
          <t>N°</t>
        </is>
      </c>
      <c r="AQ84" s="129" t="inlineStr">
        <is>
          <t>EJEMPLAR</t>
        </is>
      </c>
      <c r="AR84" s="129" t="n"/>
      <c r="AS84" s="129" t="n"/>
      <c r="AT84" s="129" t="n"/>
      <c r="AU84" s="129" t="n"/>
      <c r="AV84" s="129" t="n"/>
      <c r="AW84" s="129" t="n"/>
      <c r="AX84" s="128" t="inlineStr">
        <is>
          <t>PTS</t>
        </is>
      </c>
      <c r="AY84" s="127" t="inlineStr">
        <is>
          <t>N°</t>
        </is>
      </c>
      <c r="AZ84" s="129" t="inlineStr">
        <is>
          <t>EJEMPLAR</t>
        </is>
      </c>
      <c r="BA84" s="129" t="n"/>
      <c r="BB84" s="129" t="n"/>
      <c r="BC84" s="129" t="n"/>
      <c r="BD84" s="129" t="n"/>
      <c r="BE84" s="129" t="n"/>
      <c r="BF84" s="129" t="n"/>
      <c r="BG84" s="128" t="inlineStr">
        <is>
          <t>PTS</t>
        </is>
      </c>
      <c r="BH84" s="127" t="inlineStr">
        <is>
          <t>N°</t>
        </is>
      </c>
      <c r="BI84" s="129" t="inlineStr">
        <is>
          <t>EJEMPLAR</t>
        </is>
      </c>
      <c r="BJ84" s="129" t="n"/>
      <c r="BK84" s="129" t="n"/>
      <c r="BL84" s="129" t="n"/>
      <c r="BM84" s="129" t="n"/>
      <c r="BN84" s="129" t="n"/>
      <c r="BO84" s="129" t="n"/>
      <c r="BP84" s="128" t="inlineStr">
        <is>
          <t>PTS</t>
        </is>
      </c>
      <c r="BQ84" s="105" t="n"/>
      <c r="BR84" s="105" t="n"/>
      <c r="BS84" s="105" t="n"/>
      <c r="BT84" s="105" t="n"/>
      <c r="BU84" s="105" t="n"/>
      <c r="BV84" s="105" t="n"/>
      <c r="BW84" s="105" t="n"/>
      <c r="BX84" s="105" t="n"/>
      <c r="BY84" s="105" t="n"/>
      <c r="BZ84" s="105" t="n"/>
      <c r="CA84" s="105" t="n"/>
      <c r="CB84" s="105" t="n"/>
      <c r="CC84" s="105" t="n"/>
      <c r="CD84" s="105" t="n"/>
      <c r="CE84" s="105" t="n"/>
      <c r="CF84" s="105" t="n"/>
      <c r="CG84" s="105" t="n"/>
      <c r="EH84" s="393" t="n"/>
      <c r="EI84" s="393" t="n"/>
      <c r="EJ84" s="393" t="n"/>
    </row>
    <row r="85" ht="30" customHeight="1" s="568">
      <c r="A85" s="3" t="n"/>
      <c r="B85" s="130">
        <f>E66</f>
        <v/>
      </c>
      <c r="C85" s="177">
        <f t="array" ref="C85">_xlfn._xlws.FILTER('[1]ALFABETICO SEM'!$M$1:$M$196, ('[1]ALFABETICO SEM'!$L$1:$L$196 = $B$83) * ('[1]ALFABETICO SEM'!$N$1:$N$196 = B85), " - ")</f>
        <v/>
      </c>
      <c r="D85" s="105" t="n"/>
      <c r="E85" s="131">
        <f>I66</f>
        <v/>
      </c>
      <c r="F85" s="130">
        <f>J66</f>
        <v/>
      </c>
      <c r="G85" s="177">
        <f t="array" ref="G85">_xlfn._xlws.FILTER('[1]ALFABETICO SEM'!$M$1:$M$196, ('[1]ALFABETICO SEM'!$L$1:$L$196 = $F$83) * ('[1]ALFABETICO SEM'!$N$1:$N$196 = F85), " - ")</f>
        <v/>
      </c>
      <c r="H85" s="178" t="n"/>
      <c r="I85" s="178" t="n"/>
      <c r="J85" s="178" t="n"/>
      <c r="K85" s="178" t="n"/>
      <c r="L85" s="178" t="n"/>
      <c r="M85" s="178" t="n"/>
      <c r="N85" s="131">
        <f>N66</f>
        <v/>
      </c>
      <c r="O85" s="130">
        <f>O66</f>
        <v/>
      </c>
      <c r="P85" s="177">
        <f t="array" ref="P85">_xlfn._xlws.FILTER('[1]ALFABETICO SEM'!$M$1:$M$196, ('[1]ALFABETICO SEM'!$L$1:$L$196 = O$83) * ('[1]ALFABETICO SEM'!$N$1:$N$196 = O85), " - ")</f>
        <v/>
      </c>
      <c r="Q85" s="178" t="n"/>
      <c r="R85" s="178" t="n"/>
      <c r="S85" s="178" t="n"/>
      <c r="T85" s="178" t="n"/>
      <c r="U85" s="178" t="n"/>
      <c r="V85" s="178" t="n"/>
      <c r="W85" s="131">
        <f>S66</f>
        <v/>
      </c>
      <c r="X85" s="130">
        <f>T66</f>
        <v/>
      </c>
      <c r="Y85" s="177">
        <f t="array" ref="Y85">_xlfn._xlws.FILTER('[1]ALFABETICO SEM'!$M$1:$M$196, ('[1]ALFABETICO SEM'!$L$1:$L$196 = X$83) * ('[1]ALFABETICO SEM'!$N$1:$N$196 = X85), " - ")</f>
        <v/>
      </c>
      <c r="Z85" s="144" t="n"/>
      <c r="AA85" s="144" t="n"/>
      <c r="AB85" s="144" t="n"/>
      <c r="AC85" s="144" t="n"/>
      <c r="AD85" s="144" t="n"/>
      <c r="AE85" s="144" t="n"/>
      <c r="AF85" s="143">
        <f>X66</f>
        <v/>
      </c>
      <c r="AG85" s="130">
        <f>Y66</f>
        <v/>
      </c>
      <c r="AH85" s="177">
        <f t="array" ref="AH85">_xlfn._xlws.FILTER('[1]ALFABETICO SEM'!$M$1:$M$196, ('[1]ALFABETICO SEM'!$L$1:$L$196 = AG$83) * ('[1]ALFABETICO SEM'!$N$1:$N$196 = AG85), " - ")</f>
        <v/>
      </c>
      <c r="AI85" s="144" t="n"/>
      <c r="AJ85" s="144" t="n"/>
      <c r="AK85" s="144" t="n"/>
      <c r="AL85" s="144" t="n"/>
      <c r="AM85" s="144" t="n"/>
      <c r="AN85" s="144" t="n"/>
      <c r="AO85" s="143">
        <f>AC66</f>
        <v/>
      </c>
      <c r="AP85" s="130">
        <f>AD66</f>
        <v/>
      </c>
      <c r="AQ85" s="177">
        <f t="array" ref="AQ85">_xlfn._xlws.FILTER('[1]ALFABETICO SEM'!$M$1:$M$196, ('[1]ALFABETICO SEM'!$L$1:$L$196 = AP$83) * ('[1]ALFABETICO SEM'!$N$1:$N$196 = AP85), " - ")</f>
        <v/>
      </c>
      <c r="AR85" s="178" t="n"/>
      <c r="AS85" s="178" t="n"/>
      <c r="AT85" s="178" t="n"/>
      <c r="AU85" s="178" t="n"/>
      <c r="AV85" s="178" t="n"/>
      <c r="AW85" s="178" t="n"/>
      <c r="AX85" s="131">
        <f>AH66</f>
        <v/>
      </c>
      <c r="AY85" s="130">
        <f>AI66</f>
        <v/>
      </c>
      <c r="AZ85" s="177">
        <f t="array" ref="AZ85">_xlfn._xlws.FILTER('[1]ALFABETICO SEM'!$M$1:$M$196, ('[1]ALFABETICO SEM'!$L$1:$L$196 = AY$83) * ('[1]ALFABETICO SEM'!$N$1:$N$196 = AY85), " - ")</f>
        <v/>
      </c>
      <c r="BA85" s="144" t="n"/>
      <c r="BB85" s="144" t="n"/>
      <c r="BC85" s="144" t="n"/>
      <c r="BD85" s="144" t="n"/>
      <c r="BE85" s="144" t="n"/>
      <c r="BF85" s="144" t="n"/>
      <c r="BG85" s="143">
        <f>AM66</f>
        <v/>
      </c>
      <c r="BH85" s="130">
        <f>AN66</f>
        <v/>
      </c>
      <c r="BI85" s="177">
        <f t="array" ref="BI85">_xlfn._xlws.FILTER('[1]ALFABETICO SEM'!$M$1:$M$196, ('[1]ALFABETICO SEM'!$L$1:$L$196 = BH$83) * ('[1]ALFABETICO SEM'!$N$1:$N$196 = BH85), " - ")</f>
        <v/>
      </c>
      <c r="BJ85" s="144" t="n"/>
      <c r="BK85" s="144" t="n"/>
      <c r="BL85" s="144" t="n"/>
      <c r="BM85" s="144" t="n"/>
      <c r="BN85" s="144" t="n"/>
      <c r="BO85" s="144" t="n"/>
      <c r="BP85" s="143">
        <f>AR66</f>
        <v/>
      </c>
      <c r="BQ85" s="105" t="n"/>
      <c r="BR85" s="105" t="n"/>
      <c r="BS85" s="105" t="n"/>
      <c r="BT85" s="105" t="n"/>
      <c r="BU85" s="105" t="n"/>
      <c r="BV85" s="105" t="n"/>
      <c r="BW85" s="105" t="n"/>
      <c r="BX85" s="105" t="n"/>
      <c r="BY85" s="105" t="n"/>
      <c r="BZ85" s="105" t="n"/>
      <c r="CA85" s="105" t="n"/>
      <c r="CB85" s="105" t="n"/>
      <c r="CC85" s="105" t="n"/>
      <c r="CD85" s="105" t="n"/>
      <c r="CE85" s="105" t="n"/>
      <c r="CF85" s="105" t="n"/>
      <c r="CG85" s="105" t="n"/>
      <c r="EH85" s="393" t="n"/>
      <c r="EI85" s="393" t="n"/>
      <c r="EJ85" s="393" t="n"/>
    </row>
    <row r="86" ht="30" customHeight="1" s="568">
      <c r="A86" s="3" t="n"/>
      <c r="B86" s="130">
        <f>E67</f>
        <v/>
      </c>
      <c r="C86" s="177">
        <f t="array" ref="C86">_xlfn._xlws.FILTER('[1]ALFABETICO SEM'!$M$1:$M$196, ('[1]ALFABETICO SEM'!$L$1:$L$196 = $B$83) * ('[1]ALFABETICO SEM'!$N$1:$N$196 = B86), " - ")</f>
        <v/>
      </c>
      <c r="D86" s="105" t="n"/>
      <c r="E86" s="131">
        <f>I67</f>
        <v/>
      </c>
      <c r="F86" s="130">
        <f>J67</f>
        <v/>
      </c>
      <c r="G86" s="177">
        <f t="array" ref="G86">_xlfn._xlws.FILTER('[1]ALFABETICO SEM'!$M$1:$M$196, ('[1]ALFABETICO SEM'!$L$1:$L$196 = $F$83) * ('[1]ALFABETICO SEM'!$N$1:$N$196 = F86), " - ")</f>
        <v/>
      </c>
      <c r="H86" s="144" t="n"/>
      <c r="I86" s="144" t="n"/>
      <c r="J86" s="144" t="n"/>
      <c r="K86" s="144" t="n"/>
      <c r="L86" s="144" t="n"/>
      <c r="M86" s="144" t="n"/>
      <c r="N86" s="143">
        <f>N67</f>
        <v/>
      </c>
      <c r="O86" s="130">
        <f>O67</f>
        <v/>
      </c>
      <c r="P86" s="177">
        <f t="array" ref="P86">_xlfn._xlws.FILTER('[1]ALFABETICO SEM'!$M$1:$M$196, ('[1]ALFABETICO SEM'!$L$1:$L$196 = O$83) * ('[1]ALFABETICO SEM'!$N$1:$N$196 = O86), " - ")</f>
        <v/>
      </c>
      <c r="Q86" s="178" t="n"/>
      <c r="R86" s="178" t="n"/>
      <c r="S86" s="178" t="n"/>
      <c r="T86" s="178" t="n"/>
      <c r="U86" s="178" t="n"/>
      <c r="V86" s="178" t="n"/>
      <c r="W86" s="131">
        <f>S67</f>
        <v/>
      </c>
      <c r="X86" s="130">
        <f>T67</f>
        <v/>
      </c>
      <c r="Y86" s="177">
        <f t="array" ref="Y86">_xlfn._xlws.FILTER('[1]ALFABETICO SEM'!$M$1:$M$196, ('[1]ALFABETICO SEM'!$L$1:$L$196 = X$83) * ('[1]ALFABETICO SEM'!$N$1:$N$196 = X86), " - ")</f>
        <v/>
      </c>
      <c r="Z86" s="178" t="n"/>
      <c r="AA86" s="178" t="n"/>
      <c r="AB86" s="178" t="n"/>
      <c r="AC86" s="178" t="n"/>
      <c r="AD86" s="178" t="n"/>
      <c r="AE86" s="178" t="n"/>
      <c r="AF86" s="131">
        <f>X67</f>
        <v/>
      </c>
      <c r="AG86" s="130">
        <f>Y67</f>
        <v/>
      </c>
      <c r="AH86" s="177">
        <f t="array" ref="AH86">_xlfn._xlws.FILTER('[1]ALFABETICO SEM'!$M$1:$M$196, ('[1]ALFABETICO SEM'!$L$1:$L$196 = AG$83) * ('[1]ALFABETICO SEM'!$N$1:$N$196 = AG86), " - ")</f>
        <v/>
      </c>
      <c r="AI86" s="178" t="n"/>
      <c r="AJ86" s="178" t="n"/>
      <c r="AK86" s="178" t="n"/>
      <c r="AL86" s="178" t="n"/>
      <c r="AM86" s="178" t="n"/>
      <c r="AN86" s="178" t="n"/>
      <c r="AO86" s="131">
        <f>AC67</f>
        <v/>
      </c>
      <c r="AP86" s="130">
        <f>AD67</f>
        <v/>
      </c>
      <c r="AQ86" s="177">
        <f t="array" ref="AQ86">_xlfn._xlws.FILTER('[1]ALFABETICO SEM'!$M$1:$M$196, ('[1]ALFABETICO SEM'!$L$1:$L$196 = AP$83) * ('[1]ALFABETICO SEM'!$N$1:$N$196 = AP86), " - ")</f>
        <v/>
      </c>
      <c r="AR86" s="144" t="n"/>
      <c r="AS86" s="144" t="n"/>
      <c r="AT86" s="144" t="n"/>
      <c r="AU86" s="144" t="n"/>
      <c r="AV86" s="144" t="n"/>
      <c r="AW86" s="144" t="n"/>
      <c r="AX86" s="143">
        <f>AH67</f>
        <v/>
      </c>
      <c r="AY86" s="130">
        <f>AI67</f>
        <v/>
      </c>
      <c r="AZ86" s="177">
        <f t="array" ref="AZ86">_xlfn._xlws.FILTER('[1]ALFABETICO SEM'!$M$1:$M$196, ('[1]ALFABETICO SEM'!$L$1:$L$196 = AY$83) * ('[1]ALFABETICO SEM'!$N$1:$N$196 = AY86), " - ")</f>
        <v/>
      </c>
      <c r="BA86" s="178" t="n"/>
      <c r="BB86" s="178" t="n"/>
      <c r="BC86" s="178" t="n"/>
      <c r="BD86" s="178" t="n"/>
      <c r="BE86" s="178" t="n"/>
      <c r="BF86" s="178" t="n"/>
      <c r="BG86" s="131">
        <f>AM67</f>
        <v/>
      </c>
      <c r="BH86" s="130">
        <f>AN67</f>
        <v/>
      </c>
      <c r="BI86" s="177">
        <f t="array" ref="BI86">_xlfn._xlws.FILTER('[1]ALFABETICO SEM'!$M$1:$M$196, ('[1]ALFABETICO SEM'!$L$1:$L$196 = BH$83) * ('[1]ALFABETICO SEM'!$N$1:$N$196 = BH86), " - ")</f>
        <v/>
      </c>
      <c r="BJ86" s="178" t="n"/>
      <c r="BK86" s="178" t="n"/>
      <c r="BL86" s="178" t="n"/>
      <c r="BM86" s="178" t="n"/>
      <c r="BN86" s="178" t="n"/>
      <c r="BO86" s="178" t="n"/>
      <c r="BP86" s="143">
        <f>AR67</f>
        <v/>
      </c>
      <c r="BQ86" s="105" t="n"/>
      <c r="BR86" s="105" t="n"/>
      <c r="BS86" s="105" t="n"/>
      <c r="BT86" s="105" t="n"/>
      <c r="BU86" s="105" t="n"/>
      <c r="BV86" s="105" t="n"/>
      <c r="BW86" s="105" t="n"/>
      <c r="BX86" s="105" t="n"/>
      <c r="BY86" s="105" t="n"/>
      <c r="BZ86" s="105" t="n"/>
      <c r="CA86" s="105" t="n"/>
      <c r="CB86" s="105" t="n"/>
      <c r="CC86" s="105" t="n"/>
      <c r="CD86" s="105" t="n"/>
      <c r="CE86" s="105" t="n"/>
      <c r="CF86" s="105" t="n"/>
      <c r="CG86" s="105" t="n"/>
      <c r="EH86" s="393" t="n"/>
      <c r="EI86" s="393" t="n"/>
      <c r="EJ86" s="393" t="n"/>
    </row>
    <row r="87" ht="24.75" customHeight="1" s="568">
      <c r="A87" s="3" t="n"/>
      <c r="B87" s="130">
        <f>E68</f>
        <v/>
      </c>
      <c r="C87" s="177">
        <f t="array" ref="C87">_xlfn._xlws.FILTER('[1]ALFABETICO SEM'!$M$1:$M$196, ('[1]ALFABETICO SEM'!$L$1:$L$196 = $B$83) * ('[1]ALFABETICO SEM'!$N$1:$N$196 = B87), " - ")</f>
        <v/>
      </c>
      <c r="D87" s="142" t="n"/>
      <c r="E87" s="143">
        <f>I68</f>
        <v/>
      </c>
      <c r="F87" s="130">
        <f>J68</f>
        <v/>
      </c>
      <c r="G87" s="177">
        <f t="array" ref="G87">_xlfn._xlws.FILTER('[1]ALFABETICO SEM'!$M$1:$M$196, ('[1]ALFABETICO SEM'!$L$1:$L$196 = $F$83) * ('[1]ALFABETICO SEM'!$N$1:$N$196 = F87), " - ")</f>
        <v/>
      </c>
      <c r="H87" s="178" t="n"/>
      <c r="I87" s="178" t="n"/>
      <c r="J87" s="178" t="n"/>
      <c r="K87" s="178" t="n"/>
      <c r="L87" s="178" t="n"/>
      <c r="M87" s="178" t="n"/>
      <c r="N87" s="131">
        <f>N68</f>
        <v/>
      </c>
      <c r="O87" s="130">
        <f>O68</f>
        <v/>
      </c>
      <c r="P87" s="177">
        <f t="array" ref="P87">_xlfn._xlws.FILTER('[1]ALFABETICO SEM'!$M$1:$M$196, ('[1]ALFABETICO SEM'!$L$1:$L$196 = O$83) * ('[1]ALFABETICO SEM'!$N$1:$N$196 = O87), " - ")</f>
        <v/>
      </c>
      <c r="Q87" s="144" t="n"/>
      <c r="R87" s="144" t="n"/>
      <c r="S87" s="144" t="n"/>
      <c r="T87" s="144" t="n"/>
      <c r="U87" s="144" t="n"/>
      <c r="V87" s="144" t="n"/>
      <c r="W87" s="143">
        <f>S68</f>
        <v/>
      </c>
      <c r="X87" s="130">
        <f>T68</f>
        <v/>
      </c>
      <c r="Y87" s="177">
        <f t="array" ref="Y87">_xlfn._xlws.FILTER('[1]ALFABETICO SEM'!$M$1:$M$196, ('[1]ALFABETICO SEM'!$L$1:$L$196 = X$83) * ('[1]ALFABETICO SEM'!$N$1:$N$196 = X87), " - ")</f>
        <v/>
      </c>
      <c r="Z87" s="178" t="n"/>
      <c r="AA87" s="178" t="n"/>
      <c r="AB87" s="178" t="n"/>
      <c r="AC87" s="178" t="n"/>
      <c r="AD87" s="178" t="n"/>
      <c r="AE87" s="178" t="n"/>
      <c r="AF87" s="131">
        <f>X68</f>
        <v/>
      </c>
      <c r="AG87" s="130">
        <f>Y68</f>
        <v/>
      </c>
      <c r="AH87" s="177">
        <f t="array" ref="AH87">_xlfn._xlws.FILTER('[1]ALFABETICO SEM'!$M$1:$M$196, ('[1]ALFABETICO SEM'!$L$1:$L$196 = AG$83) * ('[1]ALFABETICO SEM'!$N$1:$N$196 = AG87), " - ")</f>
        <v/>
      </c>
      <c r="AI87" s="178" t="n"/>
      <c r="AJ87" s="178" t="n"/>
      <c r="AK87" s="178" t="n"/>
      <c r="AL87" s="178" t="n"/>
      <c r="AM87" s="178" t="n"/>
      <c r="AN87" s="178" t="n"/>
      <c r="AO87" s="131">
        <f>AC68</f>
        <v/>
      </c>
      <c r="AP87" s="130">
        <f>AD68</f>
        <v/>
      </c>
      <c r="AQ87" s="177">
        <f t="array" ref="AQ87">_xlfn._xlws.FILTER('[1]ALFABETICO SEM'!$M$1:$M$196, ('[1]ALFABETICO SEM'!$L$1:$L$196 = AP$83) * ('[1]ALFABETICO SEM'!$N$1:$N$196 = AP87), " - ")</f>
        <v/>
      </c>
      <c r="AR87" s="178" t="n"/>
      <c r="AS87" s="178" t="n"/>
      <c r="AT87" s="178" t="n"/>
      <c r="AU87" s="178" t="n"/>
      <c r="AV87" s="178" t="n"/>
      <c r="AW87" s="178" t="n"/>
      <c r="AX87" s="131">
        <f>AH68</f>
        <v/>
      </c>
      <c r="AY87" s="130">
        <f>AI68</f>
        <v/>
      </c>
      <c r="AZ87" s="177">
        <f t="array" ref="AZ87">_xlfn._xlws.FILTER('[1]ALFABETICO SEM'!$M$1:$M$196, ('[1]ALFABETICO SEM'!$L$1:$L$196 = AY$83) * ('[1]ALFABETICO SEM'!$N$1:$N$196 = AY87), " - ")</f>
        <v/>
      </c>
      <c r="BA87" s="178" t="n"/>
      <c r="BB87" s="178" t="n"/>
      <c r="BC87" s="178" t="n"/>
      <c r="BD87" s="178" t="n"/>
      <c r="BE87" s="178" t="n"/>
      <c r="BF87" s="178" t="n"/>
      <c r="BG87" s="131">
        <f>AM68</f>
        <v/>
      </c>
      <c r="BH87" s="130">
        <f>AN68</f>
        <v/>
      </c>
      <c r="BI87" s="177">
        <f t="array" ref="BI87">_xlfn._xlws.FILTER('[1]ALFABETICO SEM'!$M$1:$M$196, ('[1]ALFABETICO SEM'!$L$1:$L$196 = BH$83) * ('[1]ALFABETICO SEM'!$N$1:$N$196 = BH87), " - ")</f>
        <v/>
      </c>
      <c r="BJ87" s="178" t="n"/>
      <c r="BK87" s="178" t="n"/>
      <c r="BL87" s="178" t="n"/>
      <c r="BM87" s="178" t="n"/>
      <c r="BN87" s="178" t="n"/>
      <c r="BO87" s="178" t="n"/>
      <c r="BP87" s="143">
        <f>AR68</f>
        <v/>
      </c>
      <c r="BQ87" s="105" t="n"/>
      <c r="BR87" s="105" t="n"/>
      <c r="BS87" s="105" t="n"/>
      <c r="BT87" s="105" t="n"/>
      <c r="BU87" s="105" t="n"/>
      <c r="BV87" s="105" t="n"/>
      <c r="BW87" s="105" t="n"/>
      <c r="BX87" s="105" t="n"/>
      <c r="BY87" s="105" t="n"/>
      <c r="BZ87" s="105" t="n"/>
      <c r="CA87" s="105" t="n"/>
      <c r="CB87" s="105" t="n"/>
      <c r="CC87" s="105" t="n"/>
      <c r="CD87" s="105" t="n"/>
      <c r="CE87" s="105" t="n"/>
      <c r="CF87" s="105" t="n"/>
      <c r="CG87" s="105" t="n"/>
      <c r="EH87" s="393" t="n"/>
      <c r="EI87" s="393" t="n"/>
      <c r="EJ87" s="393" t="n"/>
    </row>
    <row r="88" ht="30" customHeight="1" s="568">
      <c r="A88" s="3" t="n"/>
      <c r="B88" s="130">
        <f>E69</f>
        <v/>
      </c>
      <c r="C88" s="177">
        <f t="array" ref="C88">_xlfn._xlws.FILTER('[1]ALFABETICO SEM'!$M$1:$M$196, ('[1]ALFABETICO SEM'!$L$1:$L$196 = $B$83) * ('[1]ALFABETICO SEM'!$N$1:$N$196 = B88), " - ")</f>
        <v/>
      </c>
      <c r="D88" s="105" t="n"/>
      <c r="E88" s="131">
        <f>I69</f>
        <v/>
      </c>
      <c r="F88" s="130">
        <f>J69</f>
        <v/>
      </c>
      <c r="G88" s="177">
        <f t="array" ref="G88">_xlfn._xlws.FILTER('[1]ALFABETICO SEM'!$M$1:$M$196, ('[1]ALFABETICO SEM'!$L$1:$L$196 = $F$83) * ('[1]ALFABETICO SEM'!$N$1:$N$196 = F88), " - ")</f>
        <v/>
      </c>
      <c r="H88" s="178" t="n"/>
      <c r="I88" s="178" t="n"/>
      <c r="J88" s="178" t="n"/>
      <c r="K88" s="178" t="n"/>
      <c r="L88" s="178" t="n"/>
      <c r="M88" s="178" t="n"/>
      <c r="N88" s="131">
        <f>N69</f>
        <v/>
      </c>
      <c r="O88" s="130">
        <f>O69</f>
        <v/>
      </c>
      <c r="P88" s="177">
        <f t="array" ref="P88">_xlfn._xlws.FILTER('[1]ALFABETICO SEM'!$M$1:$M$196, ('[1]ALFABETICO SEM'!$L$1:$L$196 = O$83) * ('[1]ALFABETICO SEM'!$N$1:$N$196 = O88), " - ")</f>
        <v/>
      </c>
      <c r="Q88" s="178" t="n"/>
      <c r="R88" s="178" t="n"/>
      <c r="S88" s="178" t="n"/>
      <c r="T88" s="178" t="n"/>
      <c r="U88" s="178" t="n"/>
      <c r="V88" s="178" t="n"/>
      <c r="W88" s="131">
        <f>S69</f>
        <v/>
      </c>
      <c r="X88" s="130">
        <f>T69</f>
        <v/>
      </c>
      <c r="Y88" s="177">
        <f t="array" ref="Y88">_xlfn._xlws.FILTER('[1]ALFABETICO SEM'!$M$1:$M$196, ('[1]ALFABETICO SEM'!$L$1:$L$196 = X$83) * ('[1]ALFABETICO SEM'!$N$1:$N$196 = X88), " - ")</f>
        <v/>
      </c>
      <c r="Z88" s="178" t="n"/>
      <c r="AA88" s="178" t="n"/>
      <c r="AB88" s="178" t="n"/>
      <c r="AC88" s="178" t="n"/>
      <c r="AD88" s="178" t="n"/>
      <c r="AE88" s="178" t="n"/>
      <c r="AF88" s="131">
        <f>X69</f>
        <v/>
      </c>
      <c r="AG88" s="130">
        <f>Y69</f>
        <v/>
      </c>
      <c r="AH88" s="177">
        <f t="array" ref="AH88">_xlfn._xlws.FILTER('[1]ALFABETICO SEM'!$M$1:$M$196, ('[1]ALFABETICO SEM'!$L$1:$L$196 = AG$83) * ('[1]ALFABETICO SEM'!$N$1:$N$196 = AG88), " - ")</f>
        <v/>
      </c>
      <c r="AI88" s="178" t="n"/>
      <c r="AJ88" s="178" t="n"/>
      <c r="AK88" s="178" t="n"/>
      <c r="AL88" s="178" t="n"/>
      <c r="AM88" s="178" t="n"/>
      <c r="AN88" s="178" t="n"/>
      <c r="AO88" s="131">
        <f>AC69</f>
        <v/>
      </c>
      <c r="AP88" s="130">
        <f>AD69</f>
        <v/>
      </c>
      <c r="AQ88" s="177">
        <f t="array" ref="AQ88">_xlfn._xlws.FILTER('[1]ALFABETICO SEM'!$M$1:$M$196, ('[1]ALFABETICO SEM'!$L$1:$L$196 = AP$83) * ('[1]ALFABETICO SEM'!$N$1:$N$196 = AP88), " - ")</f>
        <v/>
      </c>
      <c r="AR88" s="178" t="n"/>
      <c r="AS88" s="178" t="n"/>
      <c r="AT88" s="178" t="n"/>
      <c r="AU88" s="178" t="n"/>
      <c r="AV88" s="178" t="n"/>
      <c r="AW88" s="178" t="n"/>
      <c r="AX88" s="131">
        <f>AH69</f>
        <v/>
      </c>
      <c r="AY88" s="130">
        <f>AI69</f>
        <v/>
      </c>
      <c r="AZ88" s="177">
        <f t="array" ref="AZ88">_xlfn._xlws.FILTER('[1]ALFABETICO SEM'!$M$1:$M$196, ('[1]ALFABETICO SEM'!$L$1:$L$196 = AY$83) * ('[1]ALFABETICO SEM'!$N$1:$N$196 = AY88), " - ")</f>
        <v/>
      </c>
      <c r="BA88" s="178" t="n"/>
      <c r="BB88" s="178" t="n"/>
      <c r="BC88" s="178" t="n"/>
      <c r="BD88" s="178" t="n"/>
      <c r="BE88" s="178" t="n"/>
      <c r="BF88" s="178" t="n"/>
      <c r="BG88" s="131">
        <f>AM69</f>
        <v/>
      </c>
      <c r="BH88" s="130">
        <f>AN69</f>
        <v/>
      </c>
      <c r="BI88" s="177">
        <f t="array" ref="BI88">_xlfn._xlws.FILTER('[1]ALFABETICO SEM'!$M$1:$M$196, ('[1]ALFABETICO SEM'!$L$1:$L$196 = BH$83) * ('[1]ALFABETICO SEM'!$N$1:$N$196 = BH88), " - ")</f>
        <v/>
      </c>
      <c r="BJ88" s="178" t="n"/>
      <c r="BK88" s="178" t="n"/>
      <c r="BL88" s="178" t="n"/>
      <c r="BM88" s="178" t="n"/>
      <c r="BN88" s="178" t="n"/>
      <c r="BO88" s="178" t="n"/>
      <c r="BP88" s="143">
        <f>AR69</f>
        <v/>
      </c>
      <c r="BQ88" s="105" t="n"/>
      <c r="BR88" s="105" t="n"/>
      <c r="BS88" s="105" t="n"/>
      <c r="BT88" s="105" t="n"/>
      <c r="BU88" s="105" t="n"/>
      <c r="BV88" s="105" t="n"/>
      <c r="BW88" s="105" t="n"/>
      <c r="BX88" s="105" t="n"/>
      <c r="BY88" s="105" t="n"/>
      <c r="BZ88" s="105" t="n"/>
      <c r="CA88" s="105" t="n"/>
      <c r="CB88" s="105" t="n"/>
      <c r="CC88" s="105" t="n"/>
      <c r="CD88" s="105" t="n"/>
      <c r="CE88" s="105" t="n"/>
      <c r="CF88" s="105" t="n"/>
      <c r="CG88" s="105" t="n"/>
      <c r="EH88" s="393" t="n"/>
      <c r="EI88" s="393" t="n"/>
      <c r="EJ88" s="393" t="n"/>
    </row>
    <row r="89" ht="30" customHeight="1" s="568">
      <c r="A89" s="3" t="n"/>
      <c r="B89" s="130">
        <f>E70</f>
        <v/>
      </c>
      <c r="C89" s="177">
        <f t="array" ref="C89">_xlfn._xlws.FILTER('[1]ALFABETICO SEM'!$M$1:$M$196, ('[1]ALFABETICO SEM'!$L$1:$L$196 = $B$83) * ('[1]ALFABETICO SEM'!$N$1:$N$196 = B89), " - ")</f>
        <v/>
      </c>
      <c r="D89" s="105" t="n"/>
      <c r="E89" s="131">
        <f>I70</f>
        <v/>
      </c>
      <c r="F89" s="130">
        <f>J70</f>
        <v/>
      </c>
      <c r="G89" s="177">
        <f t="array" ref="G89">_xlfn._xlws.FILTER('[1]ALFABETICO SEM'!$M$1:$M$196, ('[1]ALFABETICO SEM'!$L$1:$L$196 = $F$83) * ('[1]ALFABETICO SEM'!$N$1:$N$196 = F89), " - ")</f>
        <v/>
      </c>
      <c r="H89" s="178" t="n"/>
      <c r="I89" s="178" t="n"/>
      <c r="J89" s="178" t="n"/>
      <c r="K89" s="178" t="n"/>
      <c r="L89" s="178" t="n"/>
      <c r="M89" s="178" t="n"/>
      <c r="N89" s="131">
        <f>N70</f>
        <v/>
      </c>
      <c r="O89" s="130">
        <f>O70</f>
        <v/>
      </c>
      <c r="P89" s="177">
        <f t="array" ref="P89">_xlfn._xlws.FILTER('[1]ALFABETICO SEM'!$M$1:$M$196, ('[1]ALFABETICO SEM'!$L$1:$L$196 = O$83) * ('[1]ALFABETICO SEM'!$N$1:$N$196 = O89), " - ")</f>
        <v/>
      </c>
      <c r="Q89" s="178" t="n"/>
      <c r="R89" s="178" t="n"/>
      <c r="S89" s="178" t="n"/>
      <c r="T89" s="178" t="n"/>
      <c r="U89" s="178" t="n"/>
      <c r="V89" s="178" t="n"/>
      <c r="W89" s="131">
        <f>S70</f>
        <v/>
      </c>
      <c r="X89" s="130">
        <f>T70</f>
        <v/>
      </c>
      <c r="Y89" s="177">
        <f t="array" ref="Y89">_xlfn._xlws.FILTER('[1]ALFABETICO SEM'!$M$1:$M$196, ('[1]ALFABETICO SEM'!$L$1:$L$196 = X$83) * ('[1]ALFABETICO SEM'!$N$1:$N$196 = X89), " - ")</f>
        <v/>
      </c>
      <c r="Z89" s="178" t="n"/>
      <c r="AA89" s="178" t="n"/>
      <c r="AB89" s="178" t="n"/>
      <c r="AC89" s="178" t="n"/>
      <c r="AD89" s="178" t="n"/>
      <c r="AE89" s="178" t="n"/>
      <c r="AF89" s="131">
        <f>X70</f>
        <v/>
      </c>
      <c r="AG89" s="130">
        <f>Y70</f>
        <v/>
      </c>
      <c r="AH89" s="177">
        <f t="array" ref="AH89">_xlfn._xlws.FILTER('[1]ALFABETICO SEM'!$M$1:$M$196, ('[1]ALFABETICO SEM'!$L$1:$L$196 = AG$83) * ('[1]ALFABETICO SEM'!$N$1:$N$196 = AG89), " - ")</f>
        <v/>
      </c>
      <c r="AI89" s="178" t="n"/>
      <c r="AJ89" s="178" t="n"/>
      <c r="AK89" s="178" t="n"/>
      <c r="AL89" s="178" t="n"/>
      <c r="AM89" s="178" t="n"/>
      <c r="AN89" s="178" t="n"/>
      <c r="AO89" s="131">
        <f>AC70</f>
        <v/>
      </c>
      <c r="AP89" s="130">
        <f>AD70</f>
        <v/>
      </c>
      <c r="AQ89" s="177">
        <f t="array" ref="AQ89">_xlfn._xlws.FILTER('[1]ALFABETICO SEM'!$M$1:$M$196, ('[1]ALFABETICO SEM'!$L$1:$L$196 = AP$83) * ('[1]ALFABETICO SEM'!$N$1:$N$196 = AP89), " - ")</f>
        <v/>
      </c>
      <c r="AR89" s="178" t="n"/>
      <c r="AS89" s="178" t="n"/>
      <c r="AT89" s="178" t="n"/>
      <c r="AU89" s="178" t="n"/>
      <c r="AV89" s="178" t="n"/>
      <c r="AW89" s="178" t="n"/>
      <c r="AX89" s="131">
        <f>AH70</f>
        <v/>
      </c>
      <c r="AY89" s="130">
        <f>AI70</f>
        <v/>
      </c>
      <c r="AZ89" s="177">
        <f t="array" ref="AZ89">_xlfn._xlws.FILTER('[1]ALFABETICO SEM'!$M$1:$M$196, ('[1]ALFABETICO SEM'!$L$1:$L$196 = AY$83) * ('[1]ALFABETICO SEM'!$N$1:$N$196 = AY89), " - ")</f>
        <v/>
      </c>
      <c r="BA89" s="178" t="n"/>
      <c r="BB89" s="178" t="n"/>
      <c r="BC89" s="178" t="n"/>
      <c r="BD89" s="178" t="n"/>
      <c r="BE89" s="178" t="n"/>
      <c r="BF89" s="178" t="n"/>
      <c r="BG89" s="131">
        <f>AM70</f>
        <v/>
      </c>
      <c r="BH89" s="130">
        <f>AN70</f>
        <v/>
      </c>
      <c r="BI89" s="177">
        <f t="array" ref="BI89">_xlfn._xlws.FILTER('[1]ALFABETICO SEM'!$M$1:$M$196, ('[1]ALFABETICO SEM'!$L$1:$L$196 = BH$83) * ('[1]ALFABETICO SEM'!$N$1:$N$196 = BH89), " - ")</f>
        <v/>
      </c>
      <c r="BJ89" s="178" t="n"/>
      <c r="BK89" s="178" t="n"/>
      <c r="BL89" s="178" t="n"/>
      <c r="BM89" s="178" t="n"/>
      <c r="BN89" s="178" t="n"/>
      <c r="BO89" s="178" t="n"/>
      <c r="BP89" s="143">
        <f>AR70</f>
        <v/>
      </c>
      <c r="BQ89" s="105" t="n"/>
      <c r="BR89" s="105" t="n"/>
      <c r="BS89" s="105" t="n"/>
      <c r="BT89" s="105" t="n"/>
      <c r="BU89" s="105" t="n"/>
      <c r="BV89" s="105" t="n"/>
      <c r="BW89" s="105" t="n"/>
      <c r="BX89" s="105" t="n"/>
      <c r="BY89" s="105" t="n"/>
      <c r="BZ89" s="105" t="n"/>
      <c r="CA89" s="105" t="n"/>
      <c r="CB89" s="105" t="n"/>
      <c r="CC89" s="105" t="n"/>
      <c r="CD89" s="105" t="n"/>
      <c r="CE89" s="105" t="n"/>
      <c r="CF89" s="105" t="n"/>
      <c r="CG89" s="105" t="n"/>
      <c r="EH89" s="393" t="n"/>
      <c r="EI89" s="393" t="n"/>
      <c r="EJ89" s="393" t="n"/>
    </row>
    <row r="90" ht="24.75" customHeight="1" s="568">
      <c r="A90" s="3" t="n"/>
      <c r="B90" s="132">
        <f>E71</f>
        <v/>
      </c>
      <c r="C90" s="177">
        <f t="array" ref="C90">_xlfn._xlws.FILTER('[1]ALFABETICO SEM'!$M$1:$M$196, ('[1]ALFABETICO SEM'!$L$1:$L$196 = $B$83) * ('[1]ALFABETICO SEM'!$N$1:$N$196 = B90), " - ")</f>
        <v/>
      </c>
      <c r="D90" s="134" t="n"/>
      <c r="E90" s="135">
        <f>I71</f>
        <v/>
      </c>
      <c r="F90" s="132">
        <f>J71</f>
        <v/>
      </c>
      <c r="G90" s="177">
        <f t="array" ref="G90">_xlfn._xlws.FILTER('[1]ALFABETICO SEM'!$M$1:$M$196, ('[1]ALFABETICO SEM'!$L$1:$L$196 = $F$83) * ('[1]ALFABETICO SEM'!$N$1:$N$196 = F90), " - ")</f>
        <v/>
      </c>
      <c r="H90" s="136" t="n"/>
      <c r="I90" s="136" t="n"/>
      <c r="J90" s="136" t="n"/>
      <c r="K90" s="136" t="n"/>
      <c r="L90" s="136" t="n"/>
      <c r="M90" s="136" t="n"/>
      <c r="N90" s="135">
        <f>N71</f>
        <v/>
      </c>
      <c r="O90" s="132">
        <f>O71</f>
        <v/>
      </c>
      <c r="P90" s="177">
        <f t="array" ref="P90">_xlfn._xlws.FILTER('[1]ALFABETICO SEM'!$M$1:$M$196, ('[1]ALFABETICO SEM'!$L$1:$L$196 = O$83) * ('[1]ALFABETICO SEM'!$N$1:$N$196 = O90), " - ")</f>
        <v/>
      </c>
      <c r="Q90" s="136" t="n"/>
      <c r="R90" s="136" t="n"/>
      <c r="S90" s="136" t="n"/>
      <c r="T90" s="136" t="n"/>
      <c r="U90" s="136" t="n"/>
      <c r="V90" s="136" t="n"/>
      <c r="W90" s="135">
        <f>S71</f>
        <v/>
      </c>
      <c r="X90" s="132">
        <f>T71</f>
        <v/>
      </c>
      <c r="Y90" s="177">
        <f t="array" ref="Y90">_xlfn._xlws.FILTER('[1]ALFABETICO SEM'!$M$1:$M$196, ('[1]ALFABETICO SEM'!$L$1:$L$196 = X$83) * ('[1]ALFABETICO SEM'!$N$1:$N$196 = X90), " - ")</f>
        <v/>
      </c>
      <c r="Z90" s="136" t="n"/>
      <c r="AA90" s="136" t="n"/>
      <c r="AB90" s="136" t="n"/>
      <c r="AC90" s="136" t="n"/>
      <c r="AD90" s="136" t="n"/>
      <c r="AE90" s="136" t="n"/>
      <c r="AF90" s="135">
        <f>X71</f>
        <v/>
      </c>
      <c r="AG90" s="132">
        <f>Y71</f>
        <v/>
      </c>
      <c r="AH90" s="177">
        <f t="array" ref="AH90">_xlfn._xlws.FILTER('[1]ALFABETICO SEM'!$M$1:$M$196, ('[1]ALFABETICO SEM'!$L$1:$L$196 = AG$83) * ('[1]ALFABETICO SEM'!$N$1:$N$196 = AG90), " - ")</f>
        <v/>
      </c>
      <c r="AI90" s="136" t="n"/>
      <c r="AJ90" s="136" t="n"/>
      <c r="AK90" s="136" t="n"/>
      <c r="AL90" s="136" t="n"/>
      <c r="AM90" s="136" t="n"/>
      <c r="AN90" s="136" t="n"/>
      <c r="AO90" s="135">
        <f>AC71</f>
        <v/>
      </c>
      <c r="AP90" s="130">
        <f>AD71</f>
        <v/>
      </c>
      <c r="AQ90" s="177">
        <f t="array" ref="AQ90">_xlfn._xlws.FILTER('[1]ALFABETICO SEM'!$M$1:$M$196, ('[1]ALFABETICO SEM'!$L$1:$L$196 = AP$83) * ('[1]ALFABETICO SEM'!$N$1:$N$196 = AP90), " - ")</f>
        <v/>
      </c>
      <c r="AR90" s="136" t="n"/>
      <c r="AS90" s="136" t="n"/>
      <c r="AT90" s="136" t="n"/>
      <c r="AU90" s="136" t="n"/>
      <c r="AV90" s="136" t="n"/>
      <c r="AW90" s="136" t="n"/>
      <c r="AX90" s="131">
        <f>AH71</f>
        <v/>
      </c>
      <c r="AY90" s="130">
        <f>AI71</f>
        <v/>
      </c>
      <c r="AZ90" s="177">
        <f t="array" ref="AZ90">_xlfn._xlws.FILTER('[1]ALFABETICO SEM'!$M$1:$M$196, ('[1]ALFABETICO SEM'!$L$1:$L$196 = AY$83) * ('[1]ALFABETICO SEM'!$N$1:$N$196 = AY90), " - ")</f>
        <v/>
      </c>
      <c r="BA90" s="178" t="n"/>
      <c r="BB90" s="178" t="n"/>
      <c r="BC90" s="178" t="n"/>
      <c r="BD90" s="178" t="n"/>
      <c r="BE90" s="178" t="n"/>
      <c r="BF90" s="178" t="n"/>
      <c r="BG90" s="131">
        <f>AM71</f>
        <v/>
      </c>
      <c r="BH90" s="130">
        <f>AN71</f>
        <v/>
      </c>
      <c r="BI90" s="177">
        <f t="array" ref="BI90">_xlfn._xlws.FILTER('[1]ALFABETICO SEM'!$M$1:$M$196, ('[1]ALFABETICO SEM'!$L$1:$L$196 = BH$83) * ('[1]ALFABETICO SEM'!$N$1:$N$196 = BH90), " - ")</f>
        <v/>
      </c>
      <c r="BJ90" s="178" t="n"/>
      <c r="BK90" s="178" t="n"/>
      <c r="BL90" s="178" t="n"/>
      <c r="BM90" s="178" t="n"/>
      <c r="BN90" s="178" t="n"/>
      <c r="BO90" s="178" t="n"/>
      <c r="BP90" s="143">
        <f>AR71</f>
        <v/>
      </c>
      <c r="BQ90" s="105" t="n"/>
      <c r="BR90" s="105" t="n"/>
      <c r="BS90" s="105" t="n"/>
      <c r="BT90" s="105" t="n"/>
      <c r="BU90" s="105" t="n"/>
      <c r="BV90" s="105" t="n"/>
      <c r="BW90" s="105" t="n"/>
      <c r="BX90" s="105" t="n"/>
      <c r="BY90" s="105" t="n"/>
      <c r="BZ90" s="105" t="n"/>
      <c r="CA90" s="105" t="n"/>
      <c r="CB90" s="105" t="n"/>
      <c r="CC90" s="105" t="n"/>
      <c r="CD90" s="105" t="n"/>
      <c r="CE90" s="105" t="n"/>
      <c r="CF90" s="105" t="n"/>
      <c r="CG90" s="105" t="n"/>
      <c r="EH90" s="393" t="n"/>
      <c r="EI90" s="393" t="n"/>
      <c r="EJ90" s="393" t="n"/>
    </row>
    <row r="91" ht="30" customHeight="1" s="568">
      <c r="A91" s="3" t="n"/>
      <c r="B91" s="609">
        <f>(B5 + 1)</f>
        <v/>
      </c>
      <c r="C91" s="187" t="n"/>
      <c r="D91" s="187" t="n"/>
      <c r="E91" s="188" t="n"/>
      <c r="F91" s="609">
        <f>(B5+ 2)</f>
        <v/>
      </c>
      <c r="G91" s="187" t="n"/>
      <c r="H91" s="187" t="n"/>
      <c r="I91" s="187" t="n"/>
      <c r="J91" s="187" t="n"/>
      <c r="K91" s="187" t="n"/>
      <c r="L91" s="187" t="n"/>
      <c r="M91" s="187" t="n"/>
      <c r="N91" s="188" t="n"/>
      <c r="O91" s="609">
        <f>(B5 + 3)</f>
        <v/>
      </c>
      <c r="P91" s="187" t="n"/>
      <c r="Q91" s="187" t="n"/>
      <c r="R91" s="187" t="n"/>
      <c r="S91" s="187" t="n"/>
      <c r="T91" s="187" t="n"/>
      <c r="U91" s="187" t="n"/>
      <c r="V91" s="187" t="n"/>
      <c r="W91" s="188" t="n"/>
      <c r="X91" s="609">
        <f>(B5 + 4)</f>
        <v/>
      </c>
      <c r="Y91" s="187" t="n"/>
      <c r="Z91" s="187" t="n"/>
      <c r="AA91" s="187" t="n"/>
      <c r="AB91" s="187" t="n"/>
      <c r="AC91" s="187" t="n"/>
      <c r="AD91" s="187" t="n"/>
      <c r="AE91" s="187" t="n"/>
      <c r="AF91" s="188" t="n"/>
      <c r="AG91" s="609">
        <f>(B5 + 5)</f>
        <v/>
      </c>
      <c r="AH91" s="187" t="n"/>
      <c r="AI91" s="187" t="n"/>
      <c r="AJ91" s="187" t="n"/>
      <c r="AK91" s="187" t="n"/>
      <c r="AL91" s="187" t="n"/>
      <c r="AM91" s="187" t="n"/>
      <c r="AN91" s="187" t="n"/>
      <c r="AO91" s="188" t="n"/>
      <c r="AP91" s="609">
        <f>(B5 + 6)</f>
        <v/>
      </c>
      <c r="AQ91" s="187" t="n"/>
      <c r="AR91" s="187" t="n"/>
      <c r="AS91" s="187" t="n"/>
      <c r="AT91" s="187" t="n"/>
      <c r="AU91" s="187" t="n"/>
      <c r="AV91" s="187" t="n"/>
      <c r="AW91" s="187" t="n"/>
      <c r="AX91" s="188" t="n"/>
      <c r="AY91" s="609">
        <f>(B5 + 7)</f>
        <v/>
      </c>
      <c r="AZ91" s="187" t="n"/>
      <c r="BA91" s="187" t="n"/>
      <c r="BB91" s="187" t="n"/>
      <c r="BC91" s="187" t="n"/>
      <c r="BD91" s="187" t="n"/>
      <c r="BE91" s="187" t="n"/>
      <c r="BF91" s="187" t="n"/>
      <c r="BG91" s="188" t="n"/>
      <c r="BH91" s="609">
        <f>(B5 + 8)</f>
        <v/>
      </c>
      <c r="BI91" s="187" t="n"/>
      <c r="BJ91" s="187" t="n"/>
      <c r="BK91" s="187" t="n"/>
      <c r="BL91" s="187" t="n"/>
      <c r="BM91" s="187" t="n"/>
      <c r="BN91" s="187" t="n"/>
      <c r="BO91" s="187" t="n"/>
      <c r="BP91" s="188" t="n"/>
      <c r="EH91" s="393" t="n"/>
      <c r="EI91" s="393" t="n"/>
      <c r="EJ91" s="393" t="n"/>
    </row>
    <row r="92" ht="30" customHeight="1" s="568">
      <c r="A92" s="3" t="n"/>
      <c r="B92" s="274" t="inlineStr">
        <is>
          <t>N°</t>
        </is>
      </c>
      <c r="C92" s="180" t="inlineStr">
        <is>
          <t>EJEMPLAR</t>
        </is>
      </c>
      <c r="D92" s="180" t="n"/>
      <c r="E92" s="137" t="inlineStr">
        <is>
          <t>PTS</t>
        </is>
      </c>
      <c r="F92" s="274" t="inlineStr">
        <is>
          <t>N°</t>
        </is>
      </c>
      <c r="G92" s="180" t="inlineStr">
        <is>
          <t>EJEMPLAR</t>
        </is>
      </c>
      <c r="H92" s="180" t="n"/>
      <c r="I92" s="180" t="n"/>
      <c r="J92" s="180" t="n"/>
      <c r="K92" s="180" t="n"/>
      <c r="L92" s="180" t="n"/>
      <c r="M92" s="180" t="n"/>
      <c r="N92" s="137" t="inlineStr">
        <is>
          <t>PTS</t>
        </is>
      </c>
      <c r="O92" s="274" t="inlineStr">
        <is>
          <t>N°</t>
        </is>
      </c>
      <c r="P92" s="180" t="inlineStr">
        <is>
          <t>EJEMPLAR</t>
        </is>
      </c>
      <c r="Q92" s="180" t="n"/>
      <c r="R92" s="180" t="n"/>
      <c r="S92" s="180" t="n"/>
      <c r="T92" s="180" t="n"/>
      <c r="U92" s="180" t="n"/>
      <c r="V92" s="180" t="n"/>
      <c r="W92" s="137" t="inlineStr">
        <is>
          <t>PTS</t>
        </is>
      </c>
      <c r="X92" s="274" t="inlineStr">
        <is>
          <t>N°</t>
        </is>
      </c>
      <c r="Y92" s="180" t="inlineStr">
        <is>
          <t>EJEMPLAR</t>
        </is>
      </c>
      <c r="Z92" s="180" t="n"/>
      <c r="AA92" s="180" t="n"/>
      <c r="AB92" s="180" t="n"/>
      <c r="AC92" s="180" t="n"/>
      <c r="AD92" s="180" t="n"/>
      <c r="AE92" s="180" t="n"/>
      <c r="AF92" s="137" t="inlineStr">
        <is>
          <t>PTS</t>
        </is>
      </c>
      <c r="AG92" s="274" t="inlineStr">
        <is>
          <t>N°</t>
        </is>
      </c>
      <c r="AH92" s="180" t="inlineStr">
        <is>
          <t>EJEMPLAR</t>
        </is>
      </c>
      <c r="AI92" s="180" t="n"/>
      <c r="AJ92" s="180" t="n"/>
      <c r="AK92" s="180" t="n"/>
      <c r="AL92" s="180" t="n"/>
      <c r="AM92" s="180" t="n"/>
      <c r="AN92" s="180" t="n"/>
      <c r="AO92" s="179" t="inlineStr">
        <is>
          <t>PTS</t>
        </is>
      </c>
      <c r="AP92" s="274" t="inlineStr">
        <is>
          <t>N°</t>
        </is>
      </c>
      <c r="AQ92" s="180" t="inlineStr">
        <is>
          <t>EJEMPLAR</t>
        </is>
      </c>
      <c r="AR92" s="180" t="n"/>
      <c r="AS92" s="180" t="n"/>
      <c r="AT92" s="180" t="n"/>
      <c r="AU92" s="180" t="n"/>
      <c r="AV92" s="180" t="n"/>
      <c r="AW92" s="180" t="n"/>
      <c r="AX92" s="137" t="inlineStr">
        <is>
          <t>PTS</t>
        </is>
      </c>
      <c r="AY92" s="274" t="inlineStr">
        <is>
          <t>N°</t>
        </is>
      </c>
      <c r="AZ92" s="180" t="inlineStr">
        <is>
          <t>EJEMPLAR</t>
        </is>
      </c>
      <c r="BA92" s="180" t="n"/>
      <c r="BB92" s="180" t="n"/>
      <c r="BC92" s="180" t="n"/>
      <c r="BD92" s="180" t="n"/>
      <c r="BE92" s="180" t="n"/>
      <c r="BF92" s="180" t="n"/>
      <c r="BG92" s="137" t="inlineStr">
        <is>
          <t>PTS</t>
        </is>
      </c>
      <c r="BH92" s="274" t="inlineStr">
        <is>
          <t>N°</t>
        </is>
      </c>
      <c r="BI92" s="180" t="inlineStr">
        <is>
          <t>EJEMPLAR</t>
        </is>
      </c>
      <c r="BJ92" s="180" t="n"/>
      <c r="BK92" s="180" t="n"/>
      <c r="BL92" s="180" t="n"/>
      <c r="BM92" s="180" t="n"/>
      <c r="BN92" s="180" t="n"/>
      <c r="BO92" s="180" t="n"/>
      <c r="BP92" s="137" t="inlineStr">
        <is>
          <t>PTS</t>
        </is>
      </c>
      <c r="EH92" s="393" t="n"/>
      <c r="EI92" s="393" t="n"/>
      <c r="EJ92" s="393" t="n"/>
    </row>
    <row r="93" ht="24.75" customHeight="1" s="568">
      <c r="A93" s="3" t="n"/>
      <c r="B93" s="181">
        <f t="array" ref="B93">INDEX(66:66,$B$5* 5 + 5)</f>
        <v/>
      </c>
      <c r="C93" s="436">
        <f t="array" ref="C93">_xlfn._xlws.FILTER('[1]ALFABETICO SEM'!$M$1:$M$196, ('[1]ALFABETICO SEM'!$L$1:$L$196 = B$91) * ('[1]ALFABETICO SEM'!$N$1:$N$196 = B93), " - ")</f>
        <v/>
      </c>
      <c r="D93" s="182" t="n"/>
      <c r="E93" s="182">
        <f t="array" ref="E93">INDEX(66:66,$B$5* 5 + 9)</f>
        <v/>
      </c>
      <c r="F93" s="181">
        <f t="array" ref="F93">INDEX(66:66,$B$5* 5+1 + 9)</f>
        <v/>
      </c>
      <c r="G93" s="436">
        <f t="array" ref="G93">_xlfn._xlws.FILTER('[1]ALFABETICO SEM'!$M$1:$M$196, ('[1]ALFABETICO SEM'!$L$1:$L$196 = F$91) * ('[1]ALFABETICO SEM'!$N$1:$N$196 = F93), " - ")</f>
        <v/>
      </c>
      <c r="H93" s="182" t="n"/>
      <c r="I93" s="182" t="n"/>
      <c r="J93" s="182" t="n"/>
      <c r="K93" s="182" t="n"/>
      <c r="L93" s="182" t="n"/>
      <c r="M93" s="182" t="n"/>
      <c r="N93" s="140">
        <f t="array" ref="N93">INDEX(66:66,$B$5* 5 + 14)</f>
        <v/>
      </c>
      <c r="O93" s="181">
        <f t="array" ref="O93">INDEX(66:66,$B$5* 5+1 + 14)</f>
        <v/>
      </c>
      <c r="P93" s="436">
        <f t="array" ref="P93">_xlfn._xlws.FILTER('[1]ALFABETICO SEM'!$M$1:$M$196, ('[1]ALFABETICO SEM'!$L$1:$L$196 = O$91) * ('[1]ALFABETICO SEM'!$N$1:$N$196 = O93), " - ")</f>
        <v/>
      </c>
      <c r="Q93" s="182" t="n"/>
      <c r="R93" s="182" t="n"/>
      <c r="S93" s="182" t="n"/>
      <c r="T93" s="182" t="n"/>
      <c r="U93" s="182" t="n"/>
      <c r="V93" s="182" t="n"/>
      <c r="W93" s="140">
        <f t="array" ref="W93">INDEX(66:66,$B$5* 5 + 19)</f>
        <v/>
      </c>
      <c r="X93" s="181">
        <f t="array" ref="X93">INDEX(66:66,$B$5* 5+1 + 19)</f>
        <v/>
      </c>
      <c r="Y93" s="436">
        <f t="array" ref="Y93">_xlfn._xlws.FILTER('[1]ALFABETICO SEM'!$M$1:$M$196, ('[1]ALFABETICO SEM'!$L$1:$L$196 = X$91) * ('[1]ALFABETICO SEM'!$N$1:$N$196 = X93), " - ")</f>
        <v/>
      </c>
      <c r="Z93" s="182" t="n"/>
      <c r="AA93" s="182" t="n"/>
      <c r="AB93" s="182" t="n"/>
      <c r="AC93" s="182" t="n"/>
      <c r="AD93" s="182" t="n"/>
      <c r="AE93" s="182" t="n"/>
      <c r="AF93" s="140">
        <f t="array" ref="AF93">INDEX(66:66,$B$5* 5 + 24)</f>
        <v/>
      </c>
      <c r="AG93" s="181">
        <f t="array" ref="AG93">INDEX(66:66,$B$5* 5+1 + 24)</f>
        <v/>
      </c>
      <c r="AH93" s="436">
        <f t="array" ref="AH93">_xlfn._xlws.FILTER('[1]ALFABETICO SEM'!$M$1:$M$196, ('[1]ALFABETICO SEM'!$L$1:$L$196 = AG$91) * ('[1]ALFABETICO SEM'!$N$1:$N$196 = AG93), " - ")</f>
        <v/>
      </c>
      <c r="AI93" s="182" t="n"/>
      <c r="AJ93" s="182" t="n"/>
      <c r="AK93" s="182" t="n"/>
      <c r="AL93" s="182" t="n"/>
      <c r="AM93" s="182" t="n"/>
      <c r="AN93" s="182" t="n"/>
      <c r="AO93" s="140">
        <f t="array" ref="AO93">INDEX(66:66,$B$5* 5 + 29)</f>
        <v/>
      </c>
      <c r="AP93" s="181">
        <f t="array" ref="AP93">INDEX(66:66,$B$5* 5+1 + 29)</f>
        <v/>
      </c>
      <c r="AQ93" s="436">
        <f t="array" ref="AQ93">_xlfn._xlws.FILTER('[1]ALFABETICO SEM'!$M$1:$M$196, ('[1]ALFABETICO SEM'!$L$1:$L$196 = AP$91) * ('[1]ALFABETICO SEM'!$N$1:$N$196 = AP93), " - ")</f>
        <v/>
      </c>
      <c r="AR93" s="182" t="n"/>
      <c r="AS93" s="182" t="n"/>
      <c r="AT93" s="182" t="n"/>
      <c r="AU93" s="182" t="n"/>
      <c r="AV93" s="182" t="n"/>
      <c r="AW93" s="182" t="n"/>
      <c r="AX93" s="140">
        <f t="array" ref="AX93">INDEX(66:66,$B$5* 5 + 34)</f>
        <v/>
      </c>
      <c r="AY93" s="181">
        <f t="array" ref="AY93">INDEX(66:66,$B$5* 5+1 + 34)</f>
        <v/>
      </c>
      <c r="AZ93" s="436">
        <f t="array" ref="AZ93">_xlfn._xlws.FILTER('[1]ALFABETICO SEM'!$M$1:$M$196, ('[1]ALFABETICO SEM'!$L$1:$L$196 = AY$91) * ('[1]ALFABETICO SEM'!$N$1:$N$196 = AY93), " - ")</f>
        <v/>
      </c>
      <c r="BA93" s="182" t="n"/>
      <c r="BB93" s="182" t="n"/>
      <c r="BC93" s="182" t="n"/>
      <c r="BD93" s="182" t="n"/>
      <c r="BE93" s="182" t="n"/>
      <c r="BF93" s="182" t="n"/>
      <c r="BG93" s="140">
        <f t="array" ref="BG93">INDEX(66:66,B5* 5 + 39)</f>
        <v/>
      </c>
      <c r="BH93" s="435">
        <f t="array" ref="BH93">INDEX(66:66,$B$5* 5+1 + 34)</f>
        <v/>
      </c>
      <c r="BI93" s="436">
        <f t="array" ref="BI93">_xlfn._xlws.FILTER('[1]ALFABETICO SEM'!$M$1:$M$196, ('[1]ALFABETICO SEM'!$L$1:$L$196 = BH$91) * ('[1]ALFABETICO SEM'!$N$1:$N$196 = BH93), " - ")</f>
        <v/>
      </c>
      <c r="BJ93" s="182" t="n"/>
      <c r="BK93" s="182" t="n"/>
      <c r="BL93" s="182" t="n"/>
      <c r="BM93" s="182" t="n"/>
      <c r="BN93" s="182" t="n"/>
      <c r="BO93" s="182" t="n"/>
      <c r="BP93" s="140">
        <f t="array" ref="BP93">INDEX(66:66,$B$5* 5 + 39)</f>
        <v/>
      </c>
      <c r="EH93" s="393" t="n"/>
      <c r="EI93" s="393" t="n"/>
      <c r="EJ93" s="393" t="n"/>
    </row>
    <row r="94" ht="27.75" customHeight="1" s="568">
      <c r="A94" s="3" t="n"/>
      <c r="B94" s="181">
        <f t="array" ref="B94">INDEX(67:67,$B$5* 5 + 5)</f>
        <v/>
      </c>
      <c r="C94" s="437">
        <f t="array" ref="C94">_xlfn._xlws.FILTER('[1]ALFABETICO SEM'!$M$1:$M$196, ('[1]ALFABETICO SEM'!$L$1:$L$196 = B$91) * ('[1]ALFABETICO SEM'!$N$1:$N$196 = B94), " - ")</f>
        <v/>
      </c>
      <c r="D94" s="178" t="n"/>
      <c r="E94" s="178">
        <f t="array" ref="E94">INDEX(67:67,$B$5* 5 + 9)</f>
        <v/>
      </c>
      <c r="F94" s="181">
        <f t="array" ref="F94">INDEX(67:67,$B$5* 5+1 + 9)</f>
        <v/>
      </c>
      <c r="G94" s="437">
        <f t="array" ref="G94">_xlfn._xlws.FILTER('[1]ALFABETICO SEM'!$M$1:$M$196, ('[1]ALFABETICO SEM'!$L$1:$L$196 = F$91) * ('[1]ALFABETICO SEM'!$N$1:$N$196 = F94), " - ")</f>
        <v/>
      </c>
      <c r="H94" s="178" t="n"/>
      <c r="I94" s="178" t="n"/>
      <c r="J94" s="178" t="n"/>
      <c r="K94" s="178" t="n"/>
      <c r="L94" s="178" t="n"/>
      <c r="M94" s="178" t="n"/>
      <c r="N94" s="131">
        <f t="array" ref="N94">INDEX(67:67,$B$5* 5 + 14)</f>
        <v/>
      </c>
      <c r="O94" s="181">
        <f t="array" ref="O94">INDEX(67:67,$B$5* 5+1 + 14)</f>
        <v/>
      </c>
      <c r="P94" s="437">
        <f t="array" ref="P94">_xlfn._xlws.FILTER('[1]ALFABETICO SEM'!$M$1:$M$196, ('[1]ALFABETICO SEM'!$L$1:$L$196 = O$91) * ('[1]ALFABETICO SEM'!$N$1:$N$196 = O94), " - ")</f>
        <v/>
      </c>
      <c r="Q94" s="178" t="n"/>
      <c r="R94" s="178" t="n"/>
      <c r="S94" s="178" t="n"/>
      <c r="T94" s="178" t="n"/>
      <c r="U94" s="178" t="n"/>
      <c r="V94" s="178" t="n"/>
      <c r="W94" s="131">
        <f t="array" ref="W94">INDEX(67:67,$B$5* 5 + 19)</f>
        <v/>
      </c>
      <c r="X94" s="181">
        <f t="array" ref="X94">INDEX(67:67,$B$5* 5+1 + 19)</f>
        <v/>
      </c>
      <c r="Y94" s="437">
        <f t="array" ref="Y94">_xlfn._xlws.FILTER('[1]ALFABETICO SEM'!$M$1:$M$196, ('[1]ALFABETICO SEM'!$L$1:$L$196 = X$91) * ('[1]ALFABETICO SEM'!$N$1:$N$196 = X94), " - ")</f>
        <v/>
      </c>
      <c r="Z94" s="178" t="n"/>
      <c r="AA94" s="178" t="n"/>
      <c r="AB94" s="178" t="n"/>
      <c r="AC94" s="178" t="n"/>
      <c r="AD94" s="178" t="n"/>
      <c r="AE94" s="178" t="n"/>
      <c r="AF94" s="131">
        <f t="array" ref="AF94">INDEX(67:67,$B$5* 5 + 24)</f>
        <v/>
      </c>
      <c r="AG94" s="181">
        <f t="array" ref="AG94">INDEX(67:67,$B$5* 5+1 + 24)</f>
        <v/>
      </c>
      <c r="AH94" s="437">
        <f t="array" ref="AH94">_xlfn._xlws.FILTER('[1]ALFABETICO SEM'!$M$1:$M$196, ('[1]ALFABETICO SEM'!$L$1:$L$196 = AG$91) * ('[1]ALFABETICO SEM'!$N$1:$N$196 = AG94), " - ")</f>
        <v/>
      </c>
      <c r="AI94" s="178" t="n"/>
      <c r="AJ94" s="178" t="n"/>
      <c r="AK94" s="178" t="n"/>
      <c r="AL94" s="178" t="n"/>
      <c r="AM94" s="178" t="n"/>
      <c r="AN94" s="178" t="n"/>
      <c r="AO94" s="131">
        <f t="array" ref="AO94">INDEX(67:67,$B$5* 5 + 29)</f>
        <v/>
      </c>
      <c r="AP94" s="181">
        <f t="array" ref="AP94">INDEX(67:67,$B$5* 5+1 + 29)</f>
        <v/>
      </c>
      <c r="AQ94" s="437">
        <f t="array" ref="AQ94">_xlfn._xlws.FILTER('[1]ALFABETICO SEM'!$M$1:$M$196, ('[1]ALFABETICO SEM'!$L$1:$L$196 = AP$91) * ('[1]ALFABETICO SEM'!$N$1:$N$196 = AP94), " - ")</f>
        <v/>
      </c>
      <c r="AR94" s="178" t="n"/>
      <c r="AS94" s="178" t="n"/>
      <c r="AT94" s="178" t="n"/>
      <c r="AU94" s="178" t="n"/>
      <c r="AV94" s="178" t="n"/>
      <c r="AW94" s="178" t="n"/>
      <c r="AX94" s="131">
        <f t="array" ref="AX94">INDEX(67:67,$B$5* 5 + 34)</f>
        <v/>
      </c>
      <c r="AY94" s="181">
        <f t="array" ref="AY94">INDEX(67:67,$B$5* 5+1 + 34)</f>
        <v/>
      </c>
      <c r="AZ94" s="437">
        <f t="array" ref="AZ94">_xlfn._xlws.FILTER('[1]ALFABETICO SEM'!$M$1:$M$196, ('[1]ALFABETICO SEM'!$L$1:$L$196 = AY$91) * ('[1]ALFABETICO SEM'!$N$1:$N$196 = AY94), " - ")</f>
        <v/>
      </c>
      <c r="BA94" s="178" t="n"/>
      <c r="BB94" s="178" t="n"/>
      <c r="BC94" s="178" t="n"/>
      <c r="BD94" s="178" t="n"/>
      <c r="BE94" s="178" t="n"/>
      <c r="BF94" s="178" t="n"/>
      <c r="BG94" s="131">
        <f t="array" ref="BG94">INDEX(67:67,B6* 5 + 39)</f>
        <v/>
      </c>
      <c r="BH94" s="435">
        <f t="array" ref="BH94">INDEX(67:67,$B$5* 5+1 + 34)</f>
        <v/>
      </c>
      <c r="BI94" s="437">
        <f t="array" ref="BI94">_xlfn._xlws.FILTER('[1]ALFABETICO SEM'!$M$1:$M$196, ('[1]ALFABETICO SEM'!$L$1:$L$196 = BH$91) * ('[1]ALFABETICO SEM'!$N$1:$N$196 = BH94), " - ")</f>
        <v/>
      </c>
      <c r="BJ94" s="178" t="n"/>
      <c r="BK94" s="178" t="n"/>
      <c r="BL94" s="178" t="n"/>
      <c r="BM94" s="178" t="n"/>
      <c r="BN94" s="178" t="n"/>
      <c r="BO94" s="178" t="n"/>
      <c r="BP94" s="131">
        <f t="array" ref="BP94">INDEX(67:67,$B$5* 5 + 39)</f>
        <v/>
      </c>
      <c r="EH94" s="393" t="n"/>
      <c r="EI94" s="393" t="n"/>
      <c r="EJ94" s="393" t="n"/>
    </row>
    <row r="95" ht="27.75" customHeight="1" s="568">
      <c r="A95" s="3" t="n"/>
      <c r="B95" s="181">
        <f t="array" ref="B95">INDEX(68:68,$B$5* 5 + 5)</f>
        <v/>
      </c>
      <c r="C95" s="437">
        <f t="array" ref="C95">_xlfn._xlws.FILTER('[1]ALFABETICO SEM'!$M$1:$M$196, ('[1]ALFABETICO SEM'!$L$1:$L$196 = B$91) * ('[1]ALFABETICO SEM'!$N$1:$N$196 = B95), " - ")</f>
        <v/>
      </c>
      <c r="D95" s="178" t="n"/>
      <c r="E95" s="178">
        <f t="array" ref="E95">INDEX(68:68,$B$5* 5 + 9)</f>
        <v/>
      </c>
      <c r="F95" s="181">
        <f t="array" ref="F95">INDEX(68:68,$B$5* 5+1 + 9)</f>
        <v/>
      </c>
      <c r="G95" s="437">
        <f t="array" ref="G95">_xlfn._xlws.FILTER('[1]ALFABETICO SEM'!$M$1:$M$196, ('[1]ALFABETICO SEM'!$L$1:$L$196 = F$91) * ('[1]ALFABETICO SEM'!$N$1:$N$196 = F95), " - ")</f>
        <v/>
      </c>
      <c r="H95" s="178" t="n"/>
      <c r="I95" s="178" t="n"/>
      <c r="J95" s="178" t="n"/>
      <c r="K95" s="178" t="n"/>
      <c r="L95" s="178" t="n"/>
      <c r="M95" s="178" t="n"/>
      <c r="N95" s="131">
        <f t="array" ref="N95">INDEX(68:68,$B$5* 5 + 14)</f>
        <v/>
      </c>
      <c r="O95" s="181">
        <f t="array" ref="O95">INDEX(68:68,$B$5* 5+1 + 14)</f>
        <v/>
      </c>
      <c r="P95" s="437">
        <f t="array" ref="P95">_xlfn._xlws.FILTER('[1]ALFABETICO SEM'!$M$1:$M$196, ('[1]ALFABETICO SEM'!$L$1:$L$196 = O$91) * ('[1]ALFABETICO SEM'!$N$1:$N$196 = O95), " - ")</f>
        <v/>
      </c>
      <c r="Q95" s="178" t="n"/>
      <c r="R95" s="178" t="n"/>
      <c r="S95" s="178" t="n"/>
      <c r="T95" s="178" t="n"/>
      <c r="U95" s="178" t="n"/>
      <c r="V95" s="178" t="n"/>
      <c r="W95" s="131">
        <f t="array" ref="W95">INDEX(68:68,$B$5* 5 + 19)</f>
        <v/>
      </c>
      <c r="X95" s="181">
        <f t="array" ref="X95">INDEX(68:68,$B$5* 5+1 + 19)</f>
        <v/>
      </c>
      <c r="Y95" s="437">
        <f t="array" ref="Y95">_xlfn._xlws.FILTER('[1]ALFABETICO SEM'!$M$1:$M$196, ('[1]ALFABETICO SEM'!$L$1:$L$196 = X$91) * ('[1]ALFABETICO SEM'!$N$1:$N$196 = X95), " - ")</f>
        <v/>
      </c>
      <c r="Z95" s="178" t="n"/>
      <c r="AA95" s="178" t="n"/>
      <c r="AB95" s="178" t="n"/>
      <c r="AC95" s="178" t="n"/>
      <c r="AD95" s="178" t="n"/>
      <c r="AE95" s="178" t="n"/>
      <c r="AF95" s="131">
        <f t="array" ref="AF95">INDEX(68:68,$B$5* 5 + 24)</f>
        <v/>
      </c>
      <c r="AG95" s="181">
        <f t="array" ref="AG95">INDEX(68:68,$B$5* 5+1 + 24)</f>
        <v/>
      </c>
      <c r="AH95" s="437">
        <f t="array" ref="AH95">_xlfn._xlws.FILTER('[1]ALFABETICO SEM'!$M$1:$M$196, ('[1]ALFABETICO SEM'!$L$1:$L$196 = AG$91) * ('[1]ALFABETICO SEM'!$N$1:$N$196 = AG95), " - ")</f>
        <v/>
      </c>
      <c r="AI95" s="178" t="n"/>
      <c r="AJ95" s="178" t="n"/>
      <c r="AK95" s="178" t="n"/>
      <c r="AL95" s="178" t="n"/>
      <c r="AM95" s="178" t="n"/>
      <c r="AN95" s="178" t="n"/>
      <c r="AO95" s="131">
        <f t="array" ref="AO95">INDEX(68:68,$B$5* 5 + 29)</f>
        <v/>
      </c>
      <c r="AP95" s="181">
        <f t="array" ref="AP95">INDEX(68:68,$B$5* 5+1 + 29)</f>
        <v/>
      </c>
      <c r="AQ95" s="437">
        <f t="array" ref="AQ95">_xlfn._xlws.FILTER('[1]ALFABETICO SEM'!$M$1:$M$196, ('[1]ALFABETICO SEM'!$L$1:$L$196 = AP$91) * ('[1]ALFABETICO SEM'!$N$1:$N$196 = AP95), " - ")</f>
        <v/>
      </c>
      <c r="AR95" s="178" t="n"/>
      <c r="AS95" s="178" t="n"/>
      <c r="AT95" s="178" t="n"/>
      <c r="AU95" s="178" t="n"/>
      <c r="AV95" s="178" t="n"/>
      <c r="AW95" s="178" t="n"/>
      <c r="AX95" s="131">
        <f t="array" ref="AX95">INDEX(68:68,$B$5* 5 + 34)</f>
        <v/>
      </c>
      <c r="AY95" s="181">
        <f t="array" ref="AY95">INDEX(68:68,$B$5* 5+1 + 34)</f>
        <v/>
      </c>
      <c r="AZ95" s="437">
        <f t="array" ref="AZ95">_xlfn._xlws.FILTER('[1]ALFABETICO SEM'!$M$1:$M$196, ('[1]ALFABETICO SEM'!$L$1:$L$196 = AY$91) * ('[1]ALFABETICO SEM'!$N$1:$N$196 = AY95), " - ")</f>
        <v/>
      </c>
      <c r="BA95" s="178" t="n"/>
      <c r="BB95" s="178" t="n"/>
      <c r="BC95" s="178" t="n"/>
      <c r="BD95" s="178" t="n"/>
      <c r="BE95" s="178" t="n"/>
      <c r="BF95" s="178" t="n"/>
      <c r="BG95" s="131">
        <f t="array" ref="BG95">INDEX(68:68,B7* 5 + 39)</f>
        <v/>
      </c>
      <c r="BH95" s="435">
        <f t="array" ref="BH95">INDEX(68:68,$B$5* 5+1 + 34)</f>
        <v/>
      </c>
      <c r="BI95" s="437">
        <f t="array" ref="BI95">_xlfn._xlws.FILTER('[1]ALFABETICO SEM'!$M$1:$M$196, ('[1]ALFABETICO SEM'!$L$1:$L$196 = BH$91) * ('[1]ALFABETICO SEM'!$N$1:$N$196 = BH95), " - ")</f>
        <v/>
      </c>
      <c r="BJ95" s="178" t="n"/>
      <c r="BK95" s="178" t="n"/>
      <c r="BL95" s="178" t="n"/>
      <c r="BM95" s="178" t="n"/>
      <c r="BN95" s="178" t="n"/>
      <c r="BO95" s="178" t="n"/>
      <c r="BP95" s="131">
        <f t="array" ref="BP95">INDEX(68:68,$B$5* 5 + 39)</f>
        <v/>
      </c>
      <c r="EH95" s="393" t="n"/>
      <c r="EI95" s="393" t="n"/>
      <c r="EJ95" s="393" t="n"/>
    </row>
    <row r="96" ht="27.75" customHeight="1" s="568">
      <c r="A96" s="3" t="n"/>
      <c r="B96" s="181">
        <f t="array" ref="B96">INDEX(69:69,$B$5* 5 + 5)</f>
        <v/>
      </c>
      <c r="C96" s="437">
        <f t="array" ref="C96">_xlfn._xlws.FILTER('[1]ALFABETICO SEM'!$M$1:$M$196, ('[1]ALFABETICO SEM'!$L$1:$L$196 = B$91) * ('[1]ALFABETICO SEM'!$N$1:$N$196 = B96), " - ")</f>
        <v/>
      </c>
      <c r="D96" s="178" t="n"/>
      <c r="E96" s="178">
        <f t="array" ref="E96">INDEX(69:69,$B$5* 5 + 9)</f>
        <v/>
      </c>
      <c r="F96" s="181">
        <f t="array" ref="F96">INDEX(69:69,$B$5* 5+1 + 9)</f>
        <v/>
      </c>
      <c r="G96" s="437">
        <f t="array" ref="G96">_xlfn._xlws.FILTER('[1]ALFABETICO SEM'!$M$1:$M$196, ('[1]ALFABETICO SEM'!$L$1:$L$196 = F$91) * ('[1]ALFABETICO SEM'!$N$1:$N$196 = F96), " - ")</f>
        <v/>
      </c>
      <c r="H96" s="178" t="n"/>
      <c r="I96" s="178" t="n"/>
      <c r="J96" s="178" t="n"/>
      <c r="K96" s="178" t="n"/>
      <c r="L96" s="178" t="n"/>
      <c r="M96" s="178" t="n"/>
      <c r="N96" s="131">
        <f t="array" ref="N96">INDEX(69:69,$B$5* 5 + 14)</f>
        <v/>
      </c>
      <c r="O96" s="181">
        <f t="array" ref="O96">INDEX(69:69,$B$5* 5+1 + 14)</f>
        <v/>
      </c>
      <c r="P96" s="437">
        <f t="array" ref="P96">_xlfn._xlws.FILTER('[1]ALFABETICO SEM'!$M$1:$M$196, ('[1]ALFABETICO SEM'!$L$1:$L$196 = O$91) * ('[1]ALFABETICO SEM'!$N$1:$N$196 = O96), " - ")</f>
        <v/>
      </c>
      <c r="Q96" s="178" t="n"/>
      <c r="R96" s="178" t="n"/>
      <c r="S96" s="178" t="n"/>
      <c r="T96" s="178" t="n"/>
      <c r="U96" s="178" t="n"/>
      <c r="V96" s="178" t="n"/>
      <c r="W96" s="131">
        <f t="array" ref="W96">INDEX(69:69,$B$5* 5 + 19)</f>
        <v/>
      </c>
      <c r="X96" s="181">
        <f t="array" ref="X96">INDEX(69:69,$B$5* 5+1 + 19)</f>
        <v/>
      </c>
      <c r="Y96" s="437">
        <f t="array" ref="Y96">_xlfn._xlws.FILTER('[1]ALFABETICO SEM'!$M$1:$M$196, ('[1]ALFABETICO SEM'!$L$1:$L$196 = X$91) * ('[1]ALFABETICO SEM'!$N$1:$N$196 = X96), " - ")</f>
        <v/>
      </c>
      <c r="Z96" s="178" t="n"/>
      <c r="AA96" s="178" t="n"/>
      <c r="AB96" s="178" t="n"/>
      <c r="AC96" s="178" t="n"/>
      <c r="AD96" s="178" t="n"/>
      <c r="AE96" s="178" t="n"/>
      <c r="AF96" s="131">
        <f t="array" ref="AF96">INDEX(69:69,$B$5* 5 + 24)</f>
        <v/>
      </c>
      <c r="AG96" s="181">
        <f t="array" ref="AG96">INDEX(69:69,$B$5* 5+1 + 24)</f>
        <v/>
      </c>
      <c r="AH96" s="437">
        <f t="array" ref="AH96">_xlfn._xlws.FILTER('[1]ALFABETICO SEM'!$M$1:$M$196, ('[1]ALFABETICO SEM'!$L$1:$L$196 = AG$91) * ('[1]ALFABETICO SEM'!$N$1:$N$196 = AG96), " - ")</f>
        <v/>
      </c>
      <c r="AI96" s="178" t="n"/>
      <c r="AJ96" s="178" t="n"/>
      <c r="AK96" s="178" t="n"/>
      <c r="AL96" s="178" t="n"/>
      <c r="AM96" s="178" t="n"/>
      <c r="AN96" s="178" t="n"/>
      <c r="AO96" s="131">
        <f t="array" ref="AO96">INDEX(69:69,$B$5* 5 + 29)</f>
        <v/>
      </c>
      <c r="AP96" s="181">
        <f t="array" ref="AP96">INDEX(69:69,$B$5* 5+1 + 29)</f>
        <v/>
      </c>
      <c r="AQ96" s="437">
        <f t="array" ref="AQ96">_xlfn._xlws.FILTER('[1]ALFABETICO SEM'!$M$1:$M$196, ('[1]ALFABETICO SEM'!$L$1:$L$196 = AP$91) * ('[1]ALFABETICO SEM'!$N$1:$N$196 = AP96), " - ")</f>
        <v/>
      </c>
      <c r="AR96" s="178" t="n"/>
      <c r="AS96" s="178" t="n"/>
      <c r="AT96" s="178" t="n"/>
      <c r="AU96" s="178" t="n"/>
      <c r="AV96" s="178" t="n"/>
      <c r="AW96" s="178" t="n"/>
      <c r="AX96" s="131">
        <f t="array" ref="AX96">INDEX(69:69,$B$5* 5 + 34)</f>
        <v/>
      </c>
      <c r="AY96" s="181">
        <f t="array" ref="AY96">INDEX(69:69,$B$5* 5+1 + 34)</f>
        <v/>
      </c>
      <c r="AZ96" s="437">
        <f t="array" ref="AZ96">_xlfn._xlws.FILTER('[1]ALFABETICO SEM'!$M$1:$M$196, ('[1]ALFABETICO SEM'!$L$1:$L$196 = AY$91) * ('[1]ALFABETICO SEM'!$N$1:$N$196 = AY96), " - ")</f>
        <v/>
      </c>
      <c r="BA96" s="178" t="n"/>
      <c r="BB96" s="178" t="n"/>
      <c r="BC96" s="178" t="n"/>
      <c r="BD96" s="178" t="n"/>
      <c r="BE96" s="178" t="n"/>
      <c r="BF96" s="178" t="n"/>
      <c r="BG96" s="131">
        <f t="array" ref="BG96">INDEX(69:69,B8* 5 + 39)</f>
        <v/>
      </c>
      <c r="BH96" s="435">
        <f t="array" ref="BH96">INDEX(69:69,$B$5* 5+1 + 34)</f>
        <v/>
      </c>
      <c r="BI96" s="437">
        <f t="array" ref="BI96">_xlfn._xlws.FILTER('[1]ALFABETICO SEM'!$M$1:$M$196, ('[1]ALFABETICO SEM'!$L$1:$L$196 = BH$91) * ('[1]ALFABETICO SEM'!$N$1:$N$196 = BH96), " - ")</f>
        <v/>
      </c>
      <c r="BJ96" s="178" t="n"/>
      <c r="BK96" s="178" t="n"/>
      <c r="BL96" s="178" t="n"/>
      <c r="BM96" s="178" t="n"/>
      <c r="BN96" s="178" t="n"/>
      <c r="BO96" s="178" t="n"/>
      <c r="BP96" s="131">
        <f t="array" ref="BP96">INDEX(69:69,$B$5* 5 + 39)</f>
        <v/>
      </c>
      <c r="EH96" s="393" t="n"/>
      <c r="EI96" s="393" t="n"/>
      <c r="EJ96" s="393" t="n"/>
    </row>
    <row r="97" ht="27.75" customHeight="1" s="568">
      <c r="A97" s="3" t="n"/>
      <c r="B97" s="181">
        <f t="array" ref="B97">INDEX(70:70,$B$5* 5 + 5)</f>
        <v/>
      </c>
      <c r="C97" s="437">
        <f t="array" ref="C97">_xlfn._xlws.FILTER('[1]ALFABETICO SEM'!$M$1:$M$196, ('[1]ALFABETICO SEM'!$L$1:$L$196 = B$91) * ('[1]ALFABETICO SEM'!$N$1:$N$196 = B97), " - ")</f>
        <v/>
      </c>
      <c r="D97" s="178" t="n"/>
      <c r="E97" s="178">
        <f t="array" ref="E97">INDEX(70:70,$B$5* 5 + 9)</f>
        <v/>
      </c>
      <c r="F97" s="181">
        <f t="array" ref="F97">INDEX(70:70,$B$5* 5+1 + 9)</f>
        <v/>
      </c>
      <c r="G97" s="437">
        <f t="array" ref="G97">_xlfn._xlws.FILTER('[1]ALFABETICO SEM'!$M$1:$M$196, ('[1]ALFABETICO SEM'!$L$1:$L$196 = F$91) * ('[1]ALFABETICO SEM'!$N$1:$N$196 = F97), " - ")</f>
        <v/>
      </c>
      <c r="H97" s="178" t="n"/>
      <c r="I97" s="178" t="n"/>
      <c r="J97" s="178" t="n"/>
      <c r="K97" s="178" t="n"/>
      <c r="L97" s="178" t="n"/>
      <c r="M97" s="178" t="n"/>
      <c r="N97" s="131">
        <f t="array" ref="N97">INDEX(70:70,$B$5* 5 + 14)</f>
        <v/>
      </c>
      <c r="O97" s="181">
        <f t="array" ref="O97">INDEX(70:70,$B$5* 5+1 + 14)</f>
        <v/>
      </c>
      <c r="P97" s="437">
        <f t="array" ref="P97">_xlfn._xlws.FILTER('[1]ALFABETICO SEM'!$M$1:$M$196, ('[1]ALFABETICO SEM'!$L$1:$L$196 = O$91) * ('[1]ALFABETICO SEM'!$N$1:$N$196 = O97), " - ")</f>
        <v/>
      </c>
      <c r="Q97" s="178" t="n"/>
      <c r="R97" s="178" t="n"/>
      <c r="S97" s="178" t="n"/>
      <c r="T97" s="178" t="n"/>
      <c r="U97" s="178" t="n"/>
      <c r="V97" s="178" t="n"/>
      <c r="W97" s="131">
        <f t="array" ref="W97">INDEX(70:70,$B$5* 5 + 19)</f>
        <v/>
      </c>
      <c r="X97" s="181">
        <f t="array" ref="X97">INDEX(70:70,$B$5* 5+1 + 19)</f>
        <v/>
      </c>
      <c r="Y97" s="437">
        <f t="array" ref="Y97">_xlfn._xlws.FILTER('[1]ALFABETICO SEM'!$M$1:$M$196, ('[1]ALFABETICO SEM'!$L$1:$L$196 = X$91) * ('[1]ALFABETICO SEM'!$N$1:$N$196 = X97), " - ")</f>
        <v/>
      </c>
      <c r="Z97" s="178" t="n"/>
      <c r="AA97" s="178" t="n"/>
      <c r="AB97" s="178" t="n"/>
      <c r="AC97" s="178" t="n"/>
      <c r="AD97" s="178" t="n"/>
      <c r="AE97" s="178" t="n"/>
      <c r="AF97" s="131">
        <f t="array" ref="AF97">INDEX(70:70,$B$5* 5 + 24)</f>
        <v/>
      </c>
      <c r="AG97" s="181">
        <f t="array" ref="AG97">INDEX(70:70,$B$5* 5+1 + 24)</f>
        <v/>
      </c>
      <c r="AH97" s="437">
        <f t="array" ref="AH97">_xlfn._xlws.FILTER('[1]ALFABETICO SEM'!$M$1:$M$196, ('[1]ALFABETICO SEM'!$L$1:$L$196 = AG$91) * ('[1]ALFABETICO SEM'!$N$1:$N$196 = AG97), " - ")</f>
        <v/>
      </c>
      <c r="AI97" s="178" t="n"/>
      <c r="AJ97" s="178" t="n"/>
      <c r="AK97" s="178" t="n"/>
      <c r="AL97" s="178" t="n"/>
      <c r="AM97" s="178" t="n"/>
      <c r="AN97" s="178" t="n"/>
      <c r="AO97" s="131">
        <f t="array" ref="AO97">INDEX(70:70,$B$5* 5 + 29)</f>
        <v/>
      </c>
      <c r="AP97" s="181">
        <f t="array" ref="AP97">INDEX(70:70,$B$5* 5+1 + 29)</f>
        <v/>
      </c>
      <c r="AQ97" s="437">
        <f t="array" ref="AQ97">_xlfn._xlws.FILTER('[1]ALFABETICO SEM'!$M$1:$M$196, ('[1]ALFABETICO SEM'!$L$1:$L$196 = AP$91) * ('[1]ALFABETICO SEM'!$N$1:$N$196 = AP97), " - ")</f>
        <v/>
      </c>
      <c r="AR97" s="178" t="n"/>
      <c r="AS97" s="178" t="n"/>
      <c r="AT97" s="178" t="n"/>
      <c r="AU97" s="178" t="n"/>
      <c r="AV97" s="178" t="n"/>
      <c r="AW97" s="178" t="n"/>
      <c r="AX97" s="131">
        <f t="array" ref="AX97">INDEX(70:70,$B$5* 5 + 34)</f>
        <v/>
      </c>
      <c r="AY97" s="181">
        <f t="array" ref="AY97">INDEX(70:70,$B$5* 5+1 + 34)</f>
        <v/>
      </c>
      <c r="AZ97" s="437">
        <f t="array" ref="AZ97">_xlfn._xlws.FILTER('[1]ALFABETICO SEM'!$M$1:$M$196, ('[1]ALFABETICO SEM'!$L$1:$L$196 = AY$91) * ('[1]ALFABETICO SEM'!$N$1:$N$196 = AY97), " - ")</f>
        <v/>
      </c>
      <c r="BA97" s="178" t="n"/>
      <c r="BB97" s="178" t="n"/>
      <c r="BC97" s="178" t="n"/>
      <c r="BD97" s="178" t="n"/>
      <c r="BE97" s="178" t="n"/>
      <c r="BF97" s="178" t="n"/>
      <c r="BG97" s="131">
        <f t="array" ref="BG97">INDEX(70:70,B9* 5 + 39)</f>
        <v/>
      </c>
      <c r="BH97" s="435">
        <f t="array" ref="BH97">INDEX(70:70,$B$5* 5+1 + 34)</f>
        <v/>
      </c>
      <c r="BI97" s="437">
        <f t="array" ref="BI97">_xlfn._xlws.FILTER('[1]ALFABETICO SEM'!$M$1:$M$196, ('[1]ALFABETICO SEM'!$L$1:$L$196 = BH$91) * ('[1]ALFABETICO SEM'!$N$1:$N$196 = BH97), " - ")</f>
        <v/>
      </c>
      <c r="BJ97" s="178" t="n"/>
      <c r="BK97" s="178" t="n"/>
      <c r="BL97" s="178" t="n"/>
      <c r="BM97" s="178" t="n"/>
      <c r="BN97" s="178" t="n"/>
      <c r="BO97" s="178" t="n"/>
      <c r="BP97" s="131">
        <f t="array" ref="BP97">INDEX(70:70,$B$5* 5 + 39)</f>
        <v/>
      </c>
      <c r="EH97" s="393" t="n"/>
      <c r="EI97" s="393" t="n"/>
      <c r="EJ97" s="393" t="n"/>
    </row>
    <row r="98" ht="27.75" customHeight="1" s="568">
      <c r="A98" s="1" t="n"/>
      <c r="B98" s="141">
        <f t="array" ref="B98">INDEX(71:71,$B$5* 5 + 5)</f>
        <v/>
      </c>
      <c r="C98" s="438">
        <f t="array" ref="C98">_xlfn._xlws.FILTER('[1]ALFABETICO SEM'!$M$1:$M$196, ('[1]ALFABETICO SEM'!$L$1:$L$196 = B$91) * ('[1]ALFABETICO SEM'!$N$1:$N$196 = B98), " - ")</f>
        <v/>
      </c>
      <c r="D98" s="136" t="n"/>
      <c r="E98" s="136">
        <f t="array" ref="E98">INDEX(71:71,$B$5* 5 + 9)</f>
        <v/>
      </c>
      <c r="F98" s="141">
        <f t="array" ref="F98">INDEX(71:71,$B$5* 5+1 + 9)</f>
        <v/>
      </c>
      <c r="G98" s="438">
        <f t="array" ref="G98">_xlfn._xlws.FILTER('[1]ALFABETICO SEM'!$M$1:$M$196, ('[1]ALFABETICO SEM'!$L$1:$L$196 = F$91) * ('[1]ALFABETICO SEM'!$N$1:$N$196 = F98), " - ")</f>
        <v/>
      </c>
      <c r="H98" s="136" t="n"/>
      <c r="I98" s="136" t="n"/>
      <c r="J98" s="136" t="n"/>
      <c r="K98" s="136" t="n"/>
      <c r="L98" s="136" t="n"/>
      <c r="M98" s="136" t="n"/>
      <c r="N98" s="135">
        <f t="array" ref="N98">INDEX(71:71,$B$5* 5 + 14)</f>
        <v/>
      </c>
      <c r="O98" s="141">
        <f t="array" ref="O98">INDEX(71:71,$B$5* 5+1 + 14)</f>
        <v/>
      </c>
      <c r="P98" s="438">
        <f t="array" ref="P98">_xlfn._xlws.FILTER('[1]ALFABETICO SEM'!$M$1:$M$196, ('[1]ALFABETICO SEM'!$L$1:$L$196 = O$91) * ('[1]ALFABETICO SEM'!$N$1:$N$196 = O98), " - ")</f>
        <v/>
      </c>
      <c r="Q98" s="136" t="n"/>
      <c r="R98" s="136" t="n"/>
      <c r="S98" s="136" t="n"/>
      <c r="T98" s="136" t="n"/>
      <c r="U98" s="136" t="n"/>
      <c r="V98" s="136" t="n"/>
      <c r="W98" s="135">
        <f t="array" ref="W98">INDEX(71:71,$B$5* 5 + 19)</f>
        <v/>
      </c>
      <c r="X98" s="141">
        <f t="array" ref="X98">INDEX(71:71,$B$5* 5+1 + 19)</f>
        <v/>
      </c>
      <c r="Y98" s="438">
        <f t="array" ref="Y98">_xlfn._xlws.FILTER('[1]ALFABETICO SEM'!$M$1:$M$196, ('[1]ALFABETICO SEM'!$L$1:$L$196 = X$91) * ('[1]ALFABETICO SEM'!$N$1:$N$196 = X98), " - ")</f>
        <v/>
      </c>
      <c r="Z98" s="136" t="n"/>
      <c r="AA98" s="136" t="n"/>
      <c r="AB98" s="136" t="n"/>
      <c r="AC98" s="136" t="n"/>
      <c r="AD98" s="136" t="n"/>
      <c r="AE98" s="136" t="n"/>
      <c r="AF98" s="135">
        <f t="array" ref="AF98">INDEX(71:71,$B$5* 5 + 24)</f>
        <v/>
      </c>
      <c r="AG98" s="141">
        <f t="array" ref="AG98">INDEX(71:71,$B$5* 5+1 + 24)</f>
        <v/>
      </c>
      <c r="AH98" s="438">
        <f t="array" ref="AH98">_xlfn._xlws.FILTER('[1]ALFABETICO SEM'!$M$1:$M$196, ('[1]ALFABETICO SEM'!$L$1:$L$196 = AG$91) * ('[1]ALFABETICO SEM'!$N$1:$N$196 = AG98), " - ")</f>
        <v/>
      </c>
      <c r="AI98" s="136" t="n"/>
      <c r="AJ98" s="136" t="n"/>
      <c r="AK98" s="136" t="n"/>
      <c r="AL98" s="136" t="n"/>
      <c r="AM98" s="136" t="n"/>
      <c r="AN98" s="136" t="n"/>
      <c r="AO98" s="135">
        <f t="array" ref="AO98">INDEX(71:71,$B$5* 5 + 29)</f>
        <v/>
      </c>
      <c r="AP98" s="141">
        <f t="array" ref="AP98">INDEX(71:71,$B$5* 5+1 + 29)</f>
        <v/>
      </c>
      <c r="AQ98" s="438">
        <f t="array" ref="AQ98">_xlfn._xlws.FILTER('[1]ALFABETICO SEM'!$M$1:$M$196, ('[1]ALFABETICO SEM'!$L$1:$L$196 = AP$91) * ('[1]ALFABETICO SEM'!$N$1:$N$196 = AP98), " - ")</f>
        <v/>
      </c>
      <c r="AR98" s="136" t="n"/>
      <c r="AS98" s="136" t="n"/>
      <c r="AT98" s="136" t="n"/>
      <c r="AU98" s="136" t="n"/>
      <c r="AV98" s="136" t="n"/>
      <c r="AW98" s="136" t="n"/>
      <c r="AX98" s="135">
        <f t="array" ref="AX98">INDEX(71:71,$B$5* 5 + 34)</f>
        <v/>
      </c>
      <c r="AY98" s="141">
        <f t="array" ref="AY98">INDEX(71:71,$B$5* 5+1 + 34)</f>
        <v/>
      </c>
      <c r="AZ98" s="438">
        <f t="array" ref="AZ98">_xlfn._xlws.FILTER('[1]ALFABETICO SEM'!$M$1:$M$196, ('[1]ALFABETICO SEM'!$L$1:$L$196 = AY$91) * ('[1]ALFABETICO SEM'!$N$1:$N$196 = AY98), " - ")</f>
        <v/>
      </c>
      <c r="BA98" s="136" t="n"/>
      <c r="BB98" s="136" t="n"/>
      <c r="BC98" s="136" t="n"/>
      <c r="BD98" s="136" t="n"/>
      <c r="BE98" s="136" t="n"/>
      <c r="BF98" s="136" t="n"/>
      <c r="BG98" s="135">
        <f t="array" ref="BG98">INDEX(71:71,B10* 5 + 39)</f>
        <v/>
      </c>
      <c r="BH98" s="368">
        <f t="array" ref="BH98">INDEX(71:71,$B$5* 5+1 + 34)</f>
        <v/>
      </c>
      <c r="BI98" s="438">
        <f t="array" ref="BI98">_xlfn._xlws.FILTER('[1]ALFABETICO SEM'!$M$1:$M$196, ('[1]ALFABETICO SEM'!$L$1:$L$196 = BH$91) * ('[1]ALFABETICO SEM'!$N$1:$N$196 = BH98), " - ")</f>
        <v/>
      </c>
      <c r="BJ98" s="136" t="n"/>
      <c r="BK98" s="136" t="n"/>
      <c r="BL98" s="136" t="n"/>
      <c r="BM98" s="136" t="n"/>
      <c r="BN98" s="136" t="n"/>
      <c r="BO98" s="136" t="n"/>
      <c r="BP98" s="135">
        <f t="array" ref="BP98">INDEX(71:71,$B$5* 5 + 39)</f>
        <v/>
      </c>
      <c r="EH98" s="393" t="n"/>
      <c r="EI98" s="393" t="n"/>
      <c r="EJ98" s="393" t="n"/>
    </row>
    <row r="99" ht="27.75" customHeight="1" s="568">
      <c r="A99" s="1" t="n"/>
      <c r="EH99" s="393" t="n"/>
      <c r="EI99" s="393" t="n"/>
      <c r="EJ99" s="393" t="n"/>
    </row>
    <row r="100" ht="30" customHeight="1" s="568">
      <c r="EH100" s="393" t="n"/>
      <c r="EI100" s="393" t="n"/>
      <c r="EJ100" s="393" t="n"/>
    </row>
    <row r="101" ht="31.5" customHeight="1" s="568">
      <c r="B101" s="161" t="inlineStr">
        <is>
          <t>FACTOR</t>
        </is>
      </c>
      <c r="C101" s="156" t="inlineStr">
        <is>
          <t>DIVIDENDO</t>
        </is>
      </c>
      <c r="D101" s="174" t="inlineStr">
        <is>
          <t>BS</t>
        </is>
      </c>
      <c r="F101" s="159" t="inlineStr">
        <is>
          <t>BOLETO</t>
        </is>
      </c>
      <c r="G101" s="160" t="n"/>
      <c r="H101" s="162" t="n">
        <v>100</v>
      </c>
      <c r="I101" s="163" t="n"/>
      <c r="BI101" s="356" t="n"/>
      <c r="BN101" s="356" t="n"/>
      <c r="EH101" s="393" t="n"/>
      <c r="EI101" s="393" t="n"/>
      <c r="EJ101" s="393" t="n"/>
    </row>
    <row r="102" ht="30" customHeight="1" s="568">
      <c r="B102" s="158">
        <f>1/5</f>
        <v/>
      </c>
      <c r="C102" s="158">
        <f>1/5</f>
        <v/>
      </c>
      <c r="D102" s="157">
        <f>(DIVIDENDO[[#This Row],[FACTOR]]*$H$101)+$H$101</f>
        <v/>
      </c>
      <c r="BC102" s="356" t="n"/>
      <c r="BH102" s="356" t="n"/>
      <c r="EH102" s="393" t="n"/>
      <c r="EI102" s="393" t="n"/>
      <c r="EJ102" s="393" t="n"/>
    </row>
    <row r="103" ht="30" customHeight="1" s="568">
      <c r="B103" s="158">
        <f>2/5</f>
        <v/>
      </c>
      <c r="C103" s="158">
        <f>2/5</f>
        <v/>
      </c>
      <c r="D103" s="157">
        <f>(DIVIDENDO[[#This Row],[FACTOR]]*$H$101)+$H$101</f>
        <v/>
      </c>
      <c r="BC103" s="356" t="n"/>
      <c r="BH103" s="356" t="n"/>
      <c r="EH103" s="393" t="n"/>
      <c r="EI103" s="393" t="n"/>
      <c r="EJ103" s="393" t="n"/>
    </row>
    <row r="104" ht="30" customHeight="1" s="568">
      <c r="B104" s="158">
        <f>1/2</f>
        <v/>
      </c>
      <c r="C104" s="158">
        <f>1/2</f>
        <v/>
      </c>
      <c r="D104" s="157">
        <f>(DIVIDENDO[[#This Row],[FACTOR]]*$H$101)+$H$101</f>
        <v/>
      </c>
      <c r="BC104" s="356" t="n"/>
      <c r="BH104" s="356" t="n"/>
      <c r="EH104" s="393" t="n"/>
      <c r="EI104" s="393" t="n"/>
      <c r="EJ104" s="393" t="n"/>
    </row>
    <row r="105" ht="30" customHeight="1" s="568">
      <c r="B105" s="158">
        <f>3/5</f>
        <v/>
      </c>
      <c r="C105" s="158">
        <f>3/5</f>
        <v/>
      </c>
      <c r="D105" s="157">
        <f>(DIVIDENDO[[#This Row],[FACTOR]]*$H$101)+$H$101</f>
        <v/>
      </c>
      <c r="BC105" s="356" t="n"/>
      <c r="BH105" s="356" t="n"/>
      <c r="EH105" s="393" t="n"/>
      <c r="EI105" s="393" t="n"/>
      <c r="EJ105" s="393" t="n"/>
    </row>
    <row r="106" ht="30" customHeight="1" s="568">
      <c r="B106" s="158">
        <f>4/5</f>
        <v/>
      </c>
      <c r="C106" s="158">
        <f>4/5</f>
        <v/>
      </c>
      <c r="D106" s="157">
        <f>(DIVIDENDO[[#This Row],[FACTOR]]*$H$101)+$H$101</f>
        <v/>
      </c>
      <c r="BC106" s="356" t="n"/>
      <c r="BH106" s="356" t="n"/>
      <c r="EH106" s="393" t="n"/>
      <c r="EI106" s="393" t="n"/>
      <c r="EJ106" s="393" t="n"/>
    </row>
    <row r="107" ht="30" customHeight="1" s="568">
      <c r="B107" s="158" t="n">
        <v>1</v>
      </c>
      <c r="C107" s="158" t="n">
        <v>1</v>
      </c>
      <c r="D107" s="157">
        <f>(DIVIDENDO[[#This Row],[FACTOR]]*$H$101)+$H$101</f>
        <v/>
      </c>
      <c r="BC107" s="356" t="n"/>
      <c r="BH107" s="356" t="n"/>
      <c r="EH107" s="393" t="n"/>
      <c r="EI107" s="393" t="n"/>
      <c r="EJ107" s="393" t="n"/>
    </row>
    <row r="108" ht="30" customHeight="1" s="568">
      <c r="B108" s="158">
        <f>7/5</f>
        <v/>
      </c>
      <c r="C108" s="158" t="inlineStr">
        <is>
          <t>7/5</t>
        </is>
      </c>
      <c r="D108" s="157">
        <f>(DIVIDENDO[[#This Row],[FACTOR]]*$H$101)+$H$101</f>
        <v/>
      </c>
      <c r="EH108" s="393" t="n"/>
      <c r="EI108" s="393" t="n"/>
      <c r="EJ108" s="393" t="n"/>
    </row>
    <row r="109" ht="30" customHeight="1" s="568">
      <c r="B109" s="158">
        <f>3/2</f>
        <v/>
      </c>
      <c r="C109" s="158" t="inlineStr">
        <is>
          <t>3/2</t>
        </is>
      </c>
      <c r="D109" s="157">
        <f>(DIVIDENDO[[#This Row],[FACTOR]]*$H$101)+$H$101</f>
        <v/>
      </c>
      <c r="EH109" s="393" t="n"/>
      <c r="EI109" s="393" t="n"/>
      <c r="EJ109" s="393" t="n"/>
    </row>
    <row r="110" ht="30" customHeight="1" s="568">
      <c r="B110" s="158">
        <f>8/5</f>
        <v/>
      </c>
      <c r="C110" s="158" t="inlineStr">
        <is>
          <t>8/5</t>
        </is>
      </c>
      <c r="D110" s="157">
        <f>(DIVIDENDO[[#This Row],[FACTOR]]*$H$101)+$H$101</f>
        <v/>
      </c>
      <c r="EH110" s="393" t="n"/>
      <c r="EI110" s="393" t="n"/>
      <c r="EJ110" s="393" t="n"/>
    </row>
    <row r="111" ht="30" customHeight="1" s="568">
      <c r="B111" s="158">
        <f>9/5</f>
        <v/>
      </c>
      <c r="C111" s="158" t="inlineStr">
        <is>
          <t>9/5</t>
        </is>
      </c>
      <c r="D111" s="157">
        <f>(DIVIDENDO[[#This Row],[FACTOR]]*$H$101)+$H$101</f>
        <v/>
      </c>
      <c r="EH111" s="393" t="n"/>
      <c r="EI111" s="393" t="n"/>
      <c r="EJ111" s="393" t="n"/>
    </row>
    <row r="112" ht="30" customHeight="1" s="568">
      <c r="B112" s="158" t="n">
        <v>2</v>
      </c>
      <c r="C112" s="158" t="n">
        <v>2</v>
      </c>
      <c r="D112" s="157">
        <f>(DIVIDENDO[[#This Row],[FACTOR]]*$H$101)+$H$101</f>
        <v/>
      </c>
      <c r="EH112" s="393" t="n"/>
      <c r="EI112" s="393" t="n"/>
      <c r="EJ112" s="393" t="n"/>
    </row>
    <row r="113" ht="30" customHeight="1" s="568">
      <c r="B113" s="158">
        <f>5/2</f>
        <v/>
      </c>
      <c r="C113" s="158" t="inlineStr">
        <is>
          <t>5/2</t>
        </is>
      </c>
      <c r="D113" s="157">
        <f>(DIVIDENDO[[#This Row],[FACTOR]]*$H$101)+$H$101</f>
        <v/>
      </c>
      <c r="EH113" s="393" t="n"/>
      <c r="EI113" s="393" t="n"/>
      <c r="EJ113" s="393" t="n"/>
    </row>
    <row r="114" ht="30" customHeight="1" s="568">
      <c r="B114" s="158">
        <f>7/2</f>
        <v/>
      </c>
      <c r="C114" s="158" t="inlineStr">
        <is>
          <t>7/2</t>
        </is>
      </c>
      <c r="D114" s="157">
        <f>(DIVIDENDO[[#This Row],[FACTOR]]*$H$101)+$H$101</f>
        <v/>
      </c>
      <c r="BF114" s="356" t="n"/>
      <c r="BK114" s="356" t="n"/>
      <c r="EH114" s="393" t="n"/>
      <c r="EI114" s="393" t="n"/>
      <c r="EJ114" s="393" t="n"/>
    </row>
    <row r="115" ht="30" customHeight="1" s="568">
      <c r="B115" s="158" t="n">
        <v>4</v>
      </c>
      <c r="C115" s="158" t="n">
        <v>4</v>
      </c>
      <c r="D115" s="157">
        <f>(DIVIDENDO[[#This Row],[FACTOR]]*$H$101)+$H$101</f>
        <v/>
      </c>
      <c r="BF115" s="356" t="n"/>
      <c r="BK115" s="356" t="n"/>
      <c r="EH115" s="393" t="n"/>
      <c r="EI115" s="393" t="n"/>
      <c r="EJ115" s="393" t="n"/>
    </row>
    <row r="116" ht="30" customHeight="1" s="568">
      <c r="B116" s="158">
        <f>9/2</f>
        <v/>
      </c>
      <c r="C116" s="158" t="inlineStr">
        <is>
          <t>9/2</t>
        </is>
      </c>
      <c r="D116" s="157">
        <f>(DIVIDENDO[[#This Row],[FACTOR]]*$H$101)+$H$101</f>
        <v/>
      </c>
      <c r="BF116" s="356" t="n"/>
      <c r="BK116" s="356" t="n"/>
      <c r="EH116" s="393" t="n"/>
      <c r="EI116" s="393" t="n"/>
      <c r="EJ116" s="393" t="n"/>
    </row>
    <row r="117" ht="30" customHeight="1" s="568">
      <c r="B117" s="158" t="n">
        <v>5</v>
      </c>
      <c r="C117" s="158" t="n">
        <v>5</v>
      </c>
      <c r="D117" s="157">
        <f>(DIVIDENDO[[#This Row],[FACTOR]]*$H$101)+$H$101</f>
        <v/>
      </c>
      <c r="BF117" s="356" t="n"/>
      <c r="BK117" s="356" t="n"/>
      <c r="EH117" s="393" t="n"/>
      <c r="EI117" s="393" t="n"/>
      <c r="EJ117" s="393" t="n"/>
    </row>
    <row r="118" ht="30" customHeight="1" s="568">
      <c r="B118" s="158" t="n">
        <v>6</v>
      </c>
      <c r="C118" s="158" t="n">
        <v>6</v>
      </c>
      <c r="D118" s="157">
        <f>(DIVIDENDO[[#This Row],[FACTOR]]*$H$101)+$H$101</f>
        <v/>
      </c>
      <c r="BF118" s="356" t="n"/>
      <c r="BK118" s="356" t="n"/>
      <c r="EH118" s="393" t="n"/>
      <c r="EI118" s="393" t="n"/>
      <c r="EJ118" s="393" t="n"/>
    </row>
    <row r="119" ht="30" customHeight="1" s="568">
      <c r="B119" s="158" t="n">
        <v>7</v>
      </c>
      <c r="C119" s="158" t="n">
        <v>7</v>
      </c>
      <c r="D119" s="157">
        <f>(DIVIDENDO[[#This Row],[FACTOR]]*$H$101)+$H$101</f>
        <v/>
      </c>
      <c r="BF119" s="356" t="n"/>
      <c r="BK119" s="356" t="n"/>
      <c r="EH119" s="393" t="n"/>
      <c r="EI119" s="393" t="n"/>
      <c r="EJ119" s="393" t="n"/>
    </row>
    <row r="120" ht="30" customHeight="1" s="568">
      <c r="B120" s="158" t="n">
        <v>9</v>
      </c>
      <c r="C120" s="158" t="n">
        <v>9</v>
      </c>
      <c r="D120" s="157">
        <f>(DIVIDENDO[[#This Row],[FACTOR]]*$H$101)+$H$101</f>
        <v/>
      </c>
      <c r="EH120" s="393" t="n"/>
      <c r="EI120" s="393" t="n"/>
      <c r="EJ120" s="393" t="n"/>
    </row>
    <row r="121" ht="30" customHeight="1" s="568">
      <c r="B121" s="158" t="n">
        <v>10</v>
      </c>
      <c r="C121" s="158" t="n">
        <v>10</v>
      </c>
      <c r="D121" s="157">
        <f>(DIVIDENDO[[#This Row],[FACTOR]]*$H$101)+$H$101</f>
        <v/>
      </c>
      <c r="EH121" s="393" t="n"/>
      <c r="EI121" s="393" t="n"/>
      <c r="EJ121" s="393" t="n"/>
    </row>
    <row r="122" ht="30" customHeight="1" s="568">
      <c r="B122" s="158" t="n">
        <v>11</v>
      </c>
      <c r="C122" s="158" t="n">
        <v>11</v>
      </c>
      <c r="D122" s="157">
        <f>(DIVIDENDO[[#This Row],[FACTOR]]*$H$101)+$H$101</f>
        <v/>
      </c>
      <c r="EH122" s="393" t="n"/>
      <c r="EI122" s="393" t="n"/>
      <c r="EJ122" s="393" t="n"/>
    </row>
    <row r="123" ht="30" customHeight="1" s="568">
      <c r="B123" s="158" t="n">
        <v>12</v>
      </c>
      <c r="C123" s="158" t="n">
        <v>12</v>
      </c>
      <c r="D123" s="157">
        <f>(DIVIDENDO[[#This Row],[FACTOR]]*$H$101)+$H$101</f>
        <v/>
      </c>
      <c r="EH123" s="393" t="n"/>
      <c r="EI123" s="393" t="n"/>
      <c r="EJ123" s="393" t="n"/>
    </row>
    <row r="124" ht="30" customHeight="1" s="568">
      <c r="B124" s="158" t="n">
        <v>13</v>
      </c>
      <c r="C124" s="158" t="n">
        <v>13</v>
      </c>
      <c r="D124" s="157">
        <f>(DIVIDENDO[[#This Row],[FACTOR]]*$H$101)+$H$101</f>
        <v/>
      </c>
      <c r="EH124" s="393" t="n"/>
      <c r="EI124" s="393" t="n"/>
      <c r="EJ124" s="393" t="n"/>
    </row>
    <row r="125" ht="30" customHeight="1" s="568">
      <c r="B125" s="158" t="n">
        <v>14</v>
      </c>
      <c r="C125" s="158" t="n">
        <v>14</v>
      </c>
      <c r="D125" s="157">
        <f>(DIVIDENDO[[#This Row],[FACTOR]]*$H$101)+$H$101</f>
        <v/>
      </c>
      <c r="EH125" s="393" t="n"/>
      <c r="EI125" s="393" t="n"/>
      <c r="EJ125" s="393" t="n"/>
    </row>
    <row r="126" ht="30" customHeight="1" s="568">
      <c r="B126" s="158" t="n">
        <v>16</v>
      </c>
      <c r="C126" s="158" t="n">
        <v>16</v>
      </c>
      <c r="D126" s="157">
        <f>(DIVIDENDO[[#This Row],[FACTOR]]*$H$101)+$H$101</f>
        <v/>
      </c>
      <c r="EH126" s="393" t="n"/>
      <c r="EI126" s="393" t="n"/>
      <c r="EJ126" s="393" t="n"/>
    </row>
    <row r="127" ht="30" customHeight="1" s="568">
      <c r="B127" s="158" t="n">
        <v>17</v>
      </c>
      <c r="C127" s="158" t="n">
        <v>17</v>
      </c>
      <c r="D127" s="157">
        <f>(DIVIDENDO[[#This Row],[FACTOR]]*$H$101)+$H$101</f>
        <v/>
      </c>
      <c r="EH127" s="393" t="n"/>
      <c r="EI127" s="393" t="n"/>
      <c r="EJ127" s="393" t="n"/>
    </row>
    <row r="128" ht="30" customHeight="1" s="568">
      <c r="B128" s="158" t="n">
        <v>18</v>
      </c>
      <c r="C128" s="158" t="n">
        <v>18</v>
      </c>
      <c r="D128" s="157">
        <f>(DIVIDENDO[[#This Row],[FACTOR]]*$H$101)+$H$101</f>
        <v/>
      </c>
      <c r="EH128" s="393" t="n"/>
      <c r="EI128" s="393" t="n"/>
      <c r="EJ128" s="393" t="n"/>
    </row>
    <row r="129" ht="30" customHeight="1" s="568">
      <c r="B129" s="158" t="n">
        <v>19</v>
      </c>
      <c r="C129" s="158" t="n">
        <v>19</v>
      </c>
      <c r="D129" s="157">
        <f>(DIVIDENDO[[#This Row],[FACTOR]]*$H$101)+$H$101</f>
        <v/>
      </c>
      <c r="EH129" s="393" t="n"/>
      <c r="EI129" s="393" t="n"/>
      <c r="EJ129" s="393" t="n"/>
    </row>
    <row r="130" ht="30" customHeight="1" s="568">
      <c r="EH130" s="393" t="n"/>
      <c r="EI130" s="393" t="n"/>
      <c r="EJ130" s="393" t="n"/>
    </row>
    <row r="131" ht="30" customHeight="1" s="568">
      <c r="EH131" s="393" t="n"/>
      <c r="EI131" s="393" t="n"/>
      <c r="EJ131" s="393" t="n"/>
    </row>
    <row r="132" ht="30" customHeight="1" s="568">
      <c r="EH132" s="393" t="n"/>
      <c r="EI132" s="393" t="n"/>
      <c r="EJ132" s="393" t="n"/>
    </row>
    <row r="133" ht="30" customHeight="1" s="568">
      <c r="EH133" s="393" t="n"/>
      <c r="EI133" s="393" t="n"/>
      <c r="EJ133" s="393" t="n"/>
    </row>
    <row r="134" ht="30" customHeight="1" s="568">
      <c r="EH134" s="393" t="n"/>
      <c r="EI134" s="393" t="n"/>
      <c r="EJ134" s="393" t="n"/>
    </row>
    <row r="135" ht="30" customHeight="1" s="568">
      <c r="EH135" s="393" t="n"/>
      <c r="EI135" s="393" t="n"/>
      <c r="EJ135" s="393" t="n"/>
    </row>
    <row r="136" ht="30" customHeight="1" s="568">
      <c r="EH136" s="393" t="n"/>
      <c r="EI136" s="393" t="n"/>
      <c r="EJ136" s="393" t="n"/>
    </row>
    <row r="137" ht="30" customHeight="1" s="568">
      <c r="EH137" s="393" t="n"/>
      <c r="EI137" s="393" t="n"/>
      <c r="EJ137" s="393" t="n"/>
    </row>
    <row r="138" ht="30" customHeight="1" s="568">
      <c r="EH138" s="393" t="n"/>
      <c r="EI138" s="393" t="n"/>
      <c r="EJ138" s="393" t="n"/>
    </row>
    <row r="139" ht="30" customHeight="1" s="568">
      <c r="EH139" s="393" t="n"/>
      <c r="EI139" s="393" t="n"/>
      <c r="EJ139" s="393" t="n"/>
    </row>
    <row r="140" ht="30" customHeight="1" s="568">
      <c r="EH140" s="393" t="n"/>
      <c r="EI140" s="393" t="n"/>
      <c r="EJ140" s="393" t="n"/>
    </row>
    <row r="141" ht="30" customHeight="1" s="568">
      <c r="EH141" s="393" t="n"/>
      <c r="EI141" s="393" t="n"/>
      <c r="EJ141" s="393" t="n"/>
    </row>
    <row r="142" ht="30" customHeight="1" s="568">
      <c r="EH142" s="393" t="n"/>
      <c r="EI142" s="393" t="n"/>
      <c r="EJ142" s="393" t="n"/>
    </row>
    <row r="143" ht="30" customHeight="1" s="568">
      <c r="EH143" s="393" t="n"/>
      <c r="EI143" s="393" t="n"/>
      <c r="EJ143" s="393" t="n"/>
    </row>
    <row r="144" ht="30" customHeight="1" s="568">
      <c r="EH144" s="393" t="n"/>
      <c r="EI144" s="393" t="n"/>
      <c r="EJ144" s="393" t="n"/>
    </row>
    <row r="145" ht="30" customHeight="1" s="568">
      <c r="EH145" s="393" t="n"/>
      <c r="EI145" s="393" t="n"/>
      <c r="EJ145" s="393" t="n"/>
    </row>
    <row r="146" ht="30" customHeight="1" s="568">
      <c r="EH146" s="393" t="n"/>
      <c r="EI146" s="393" t="n"/>
      <c r="EJ146" s="393" t="n"/>
    </row>
    <row r="147" ht="30" customHeight="1" s="568">
      <c r="EH147" s="393" t="n"/>
      <c r="EI147" s="393" t="n"/>
      <c r="EJ147" s="393" t="n"/>
    </row>
    <row r="148" ht="30" customHeight="1" s="568">
      <c r="EH148" s="393" t="n"/>
      <c r="EI148" s="393" t="n"/>
      <c r="EJ148" s="393" t="n"/>
    </row>
    <row r="149" ht="30" customHeight="1" s="568">
      <c r="EH149" s="393" t="n"/>
      <c r="EI149" s="393" t="n"/>
      <c r="EJ149" s="393" t="n"/>
    </row>
    <row r="150" ht="30" customHeight="1" s="568">
      <c r="EH150" s="393" t="n"/>
      <c r="EI150" s="393" t="n"/>
      <c r="EJ150" s="393" t="n"/>
    </row>
    <row r="151" ht="30" customHeight="1" s="568">
      <c r="EH151" s="393" t="n"/>
      <c r="EI151" s="393" t="n"/>
      <c r="EJ151" s="393" t="n"/>
    </row>
    <row r="152" ht="30" customHeight="1" s="568">
      <c r="EH152" s="393" t="n"/>
      <c r="EI152" s="393" t="n"/>
      <c r="EJ152" s="393" t="n"/>
    </row>
    <row r="153" ht="30" customHeight="1" s="568"/>
    <row r="154" ht="30" customHeight="1" s="568"/>
    <row r="155" ht="30" customHeight="1" s="568"/>
    <row r="156" ht="30" customHeight="1" s="568"/>
    <row r="157" ht="30" customHeight="1" s="568"/>
    <row r="158" ht="30" customHeight="1" s="568"/>
    <row r="159" ht="30" customHeight="1" s="568"/>
    <row r="160" ht="30" customHeight="1" s="568"/>
    <row r="161" ht="30" customHeight="1" s="568"/>
    <row r="162" ht="30" customHeight="1" s="568"/>
    <row r="163" ht="30" customHeight="1" s="568"/>
    <row r="164" ht="30" customHeight="1" s="568"/>
    <row r="165" ht="30" customHeight="1" s="568"/>
    <row r="166" ht="30" customHeight="1" s="568"/>
    <row r="167" ht="30" customHeight="1" s="568"/>
    <row r="168" ht="30" customHeight="1" s="568"/>
    <row r="169" ht="30" customHeight="1" s="568"/>
    <row r="170" ht="30" customHeight="1" s="568"/>
    <row r="171" ht="30" customHeight="1" s="568"/>
    <row r="172" ht="30" customHeight="1" s="568"/>
    <row r="173" ht="30" customHeight="1" s="568"/>
    <row r="174" ht="30" customHeight="1" s="568"/>
    <row r="175" ht="30" customHeight="1" s="568"/>
    <row r="176" ht="30" customHeight="1" s="568"/>
    <row r="177" ht="30" customHeight="1" s="568"/>
    <row r="178" ht="30" customHeight="1" s="568"/>
    <row r="179" ht="30" customHeight="1" s="568"/>
    <row r="180" ht="30" customHeight="1" s="568"/>
    <row r="181" ht="30" customHeight="1" s="568"/>
    <row r="182" ht="30" customHeight="1" s="568"/>
    <row r="183" ht="30" customHeight="1" s="568"/>
    <row r="184" ht="30" customHeight="1" s="568"/>
    <row r="185" ht="30" customHeight="1" s="568"/>
    <row r="186" ht="30" customHeight="1" s="568"/>
    <row r="187" ht="30" customHeight="1" s="568"/>
    <row r="188" ht="30" customHeight="1" s="568"/>
    <row r="189" ht="30" customHeight="1" s="568"/>
    <row r="190" ht="30" customHeight="1" s="568"/>
    <row r="191" ht="30" customHeight="1" s="568"/>
    <row r="192" ht="30" customHeight="1" s="568"/>
    <row r="193" ht="30" customHeight="1" s="568"/>
    <row r="194" ht="30" customHeight="1" s="568"/>
    <row r="195" ht="30" customHeight="1" s="568"/>
    <row r="196" ht="30" customHeight="1" s="568"/>
    <row r="197" ht="30" customHeight="1" s="568"/>
    <row r="198" ht="30" customHeight="1" s="568"/>
    <row r="199" ht="30" customHeight="1" s="568"/>
    <row r="200" ht="30" customHeight="1" s="568"/>
    <row r="201" ht="30" customHeight="1" s="568"/>
    <row r="202" ht="30" customHeight="1" s="568"/>
    <row r="203" ht="30" customHeight="1" s="568"/>
    <row r="204" ht="30" customHeight="1" s="568"/>
    <row r="205" ht="30" customHeight="1" s="568"/>
    <row r="206" ht="30" customHeight="1" s="568"/>
    <row r="207" ht="30" customHeight="1" s="568"/>
    <row r="208" ht="30" customHeight="1" s="568"/>
  </sheetData>
  <mergeCells count="8">
    <mergeCell ref="CT58:CU58"/>
    <mergeCell ref="CT60:CU60"/>
    <mergeCell ref="CT61:CU61"/>
    <mergeCell ref="AN61:AW61"/>
    <mergeCell ref="AN60:AW60"/>
    <mergeCell ref="T3:AB3"/>
    <mergeCell ref="CT59:CU59"/>
    <mergeCell ref="AH3:AM3"/>
  </mergeCells>
  <conditionalFormatting sqref="B85:B90 F85:F90 F93:F98 O85:O90 O93:O98 X85:X90 X93:X98 AG85:AG90 AG93:AG98 AP85:AP90">
    <cfRule type="cellIs" priority="156" operator="equal" dxfId="1">
      <formula>2</formula>
    </cfRule>
    <cfRule type="cellIs" priority="155" operator="equal" dxfId="2">
      <formula>3</formula>
    </cfRule>
    <cfRule type="cellIs" priority="144" operator="equal" dxfId="13">
      <formula>14</formula>
    </cfRule>
    <cfRule type="cellIs" priority="154" operator="equal" dxfId="3">
      <formula>4</formula>
    </cfRule>
    <cfRule type="cellIs" priority="153" operator="equal" dxfId="4">
      <formula>5</formula>
    </cfRule>
    <cfRule type="cellIs" priority="152" operator="equal" dxfId="5">
      <formula>6</formula>
    </cfRule>
    <cfRule type="cellIs" priority="150" operator="equal" dxfId="7">
      <formula>8</formula>
    </cfRule>
    <cfRule type="cellIs" priority="149" operator="equal" dxfId="8">
      <formula>9</formula>
    </cfRule>
    <cfRule type="cellIs" priority="146" operator="equal" dxfId="11">
      <formula>12</formula>
    </cfRule>
    <cfRule type="cellIs" priority="147" operator="equal" dxfId="10">
      <formula>11</formula>
    </cfRule>
    <cfRule type="cellIs" priority="145" operator="equal" dxfId="12">
      <formula>13</formula>
    </cfRule>
    <cfRule type="cellIs" priority="148" operator="equal" dxfId="9">
      <formula>10</formula>
    </cfRule>
    <cfRule type="cellIs" priority="151" operator="equal" dxfId="6">
      <formula>7</formula>
    </cfRule>
    <cfRule type="cellIs" priority="157" operator="equal" dxfId="0">
      <formula>1</formula>
    </cfRule>
  </conditionalFormatting>
  <conditionalFormatting sqref="B93:B98">
    <cfRule type="cellIs" priority="133" operator="equal" dxfId="10">
      <formula>11</formula>
    </cfRule>
    <cfRule type="cellIs" priority="137" operator="equal" dxfId="6">
      <formula>7</formula>
    </cfRule>
    <cfRule type="cellIs" priority="136" operator="equal" dxfId="7">
      <formula>8</formula>
    </cfRule>
    <cfRule type="cellIs" priority="135" operator="equal" dxfId="8">
      <formula>9</formula>
    </cfRule>
    <cfRule type="cellIs" priority="134" operator="equal" dxfId="9">
      <formula>10</formula>
    </cfRule>
    <cfRule type="cellIs" priority="140" operator="equal" dxfId="3">
      <formula>4</formula>
    </cfRule>
    <cfRule type="cellIs" priority="132" operator="equal" dxfId="11">
      <formula>12</formula>
    </cfRule>
    <cfRule type="cellIs" priority="131" operator="equal" dxfId="12">
      <formula>13</formula>
    </cfRule>
    <cfRule type="cellIs" priority="130" operator="equal" dxfId="13">
      <formula>14</formula>
    </cfRule>
    <cfRule type="cellIs" priority="143" operator="equal" dxfId="0">
      <formula>1</formula>
    </cfRule>
    <cfRule type="cellIs" priority="142" operator="equal" dxfId="1">
      <formula>2</formula>
    </cfRule>
    <cfRule type="cellIs" priority="141" operator="equal" dxfId="2">
      <formula>3</formula>
    </cfRule>
    <cfRule type="cellIs" priority="139" operator="equal" dxfId="4">
      <formula>5</formula>
    </cfRule>
    <cfRule type="cellIs" priority="138" operator="equal" dxfId="5">
      <formula>6</formula>
    </cfRule>
  </conditionalFormatting>
  <conditionalFormatting sqref="C8:C57">
    <cfRule type="expression" priority="158" dxfId="124">
      <formula>$CM8&gt;$CN8</formula>
    </cfRule>
  </conditionalFormatting>
  <conditionalFormatting sqref="D8:D57">
    <cfRule type="containsText" priority="161" operator="containsText" dxfId="123" text="PREMIO">
      <formula>NOT(ISERROR(SEARCH("PREMIO",D8)))</formula>
    </cfRule>
    <cfRule type="containsText" priority="113" operator="containsText" dxfId="122" text="PENDIENTE">
      <formula>NOT(ISERROR(SEARCH("PENDIENTE",D8)))</formula>
    </cfRule>
    <cfRule type="containsText" priority="159" operator="containsText" dxfId="121" text="NO ENVIÓ">
      <formula>NOT(ISERROR(SEARCH("NO ENVIÓ",D8)))</formula>
    </cfRule>
    <cfRule type="containsText" priority="160" operator="containsText" dxfId="120" text="MEETING">
      <formula>NOT(ISERROR(SEARCH("MEETING",D8)))</formula>
    </cfRule>
  </conditionalFormatting>
  <conditionalFormatting sqref="E8:E57">
    <cfRule type="expression" priority="114" dxfId="19">
      <formula>AND(H8="F")</formula>
    </cfRule>
    <cfRule type="expression" priority="115" dxfId="18">
      <formula>AND(H8="SF")</formula>
    </cfRule>
  </conditionalFormatting>
  <conditionalFormatting sqref="J8:J57">
    <cfRule type="expression" priority="25" dxfId="19">
      <formula>AND(M8="F")</formula>
    </cfRule>
    <cfRule type="expression" priority="26" dxfId="18">
      <formula>AND(M8="SF")</formula>
    </cfRule>
  </conditionalFormatting>
  <conditionalFormatting sqref="O8:O57">
    <cfRule type="expression" priority="23" dxfId="19">
      <formula>AND(R8="F")</formula>
    </cfRule>
    <cfRule type="expression" priority="24" dxfId="18">
      <formula>AND(R8="SF")</formula>
    </cfRule>
  </conditionalFormatting>
  <conditionalFormatting sqref="T8:T57">
    <cfRule type="expression" priority="22" dxfId="18">
      <formula>AND(W8="SF")</formula>
    </cfRule>
    <cfRule type="expression" priority="21" dxfId="19">
      <formula>AND(W8="F")</formula>
    </cfRule>
  </conditionalFormatting>
  <conditionalFormatting sqref="Y8:Y57">
    <cfRule type="expression" priority="20" dxfId="18">
      <formula>AND(AB8="SF")</formula>
    </cfRule>
    <cfRule type="expression" priority="19" dxfId="19">
      <formula>AND(AB8="F")</formula>
    </cfRule>
  </conditionalFormatting>
  <conditionalFormatting sqref="AD8:AD57">
    <cfRule type="expression" priority="18" dxfId="18">
      <formula>AND(AG8="SF")</formula>
    </cfRule>
    <cfRule type="expression" priority="17" dxfId="19">
      <formula>AND(AG8="F")</formula>
    </cfRule>
  </conditionalFormatting>
  <conditionalFormatting sqref="AI8:AI57">
    <cfRule type="expression" priority="16" dxfId="18">
      <formula>AND(AL8="SF")</formula>
    </cfRule>
    <cfRule type="expression" priority="15" dxfId="19">
      <formula>AND(AL8="F")</formula>
    </cfRule>
  </conditionalFormatting>
  <conditionalFormatting sqref="AN8:AN57">
    <cfRule type="expression" priority="14" dxfId="18">
      <formula>AND(AQ8="SF")</formula>
    </cfRule>
    <cfRule type="expression" priority="13" dxfId="19">
      <formula>AND(AQ8="F")</formula>
    </cfRule>
  </conditionalFormatting>
  <conditionalFormatting sqref="AP93:AP98">
    <cfRule type="cellIs" priority="111" operator="equal" dxfId="1">
      <formula>2</formula>
    </cfRule>
    <cfRule type="cellIs" priority="109" operator="equal" dxfId="3">
      <formula>4</formula>
    </cfRule>
    <cfRule type="cellIs" priority="108" operator="equal" dxfId="4">
      <formula>5</formula>
    </cfRule>
    <cfRule type="cellIs" priority="107" operator="equal" dxfId="5">
      <formula>6</formula>
    </cfRule>
    <cfRule type="cellIs" priority="106" operator="equal" dxfId="6">
      <formula>7</formula>
    </cfRule>
    <cfRule type="cellIs" priority="99" operator="equal" dxfId="13">
      <formula>14</formula>
    </cfRule>
    <cfRule type="cellIs" priority="110" operator="equal" dxfId="2">
      <formula>3</formula>
    </cfRule>
    <cfRule type="cellIs" priority="104" operator="equal" dxfId="8">
      <formula>9</formula>
    </cfRule>
    <cfRule type="cellIs" priority="103" operator="equal" dxfId="9">
      <formula>10</formula>
    </cfRule>
    <cfRule type="cellIs" priority="102" operator="equal" dxfId="10">
      <formula>11</formula>
    </cfRule>
    <cfRule type="cellIs" priority="101" operator="equal" dxfId="11">
      <formula>12</formula>
    </cfRule>
    <cfRule type="cellIs" priority="100" operator="equal" dxfId="12">
      <formula>13</formula>
    </cfRule>
    <cfRule type="cellIs" priority="105" operator="equal" dxfId="7">
      <formula>8</formula>
    </cfRule>
    <cfRule type="cellIs" priority="112" operator="equal" dxfId="0">
      <formula>1</formula>
    </cfRule>
  </conditionalFormatting>
  <conditionalFormatting sqref="AS8:AS57">
    <cfRule type="expression" priority="11" dxfId="19">
      <formula>AND(AV8="F")</formula>
    </cfRule>
    <cfRule type="expression" priority="12" dxfId="18">
      <formula>AND(AV8="SF")</formula>
    </cfRule>
  </conditionalFormatting>
  <conditionalFormatting sqref="AX8:AX57">
    <cfRule type="expression" priority="10" dxfId="18">
      <formula>AND(BA8="SF")</formula>
    </cfRule>
    <cfRule type="expression" priority="9" dxfId="19">
      <formula>AND(BA8="F")</formula>
    </cfRule>
  </conditionalFormatting>
  <conditionalFormatting sqref="AY85:AY90">
    <cfRule type="cellIs" priority="120" operator="equal" dxfId="9">
      <formula>10</formula>
    </cfRule>
    <cfRule type="cellIs" priority="121" operator="equal" dxfId="8">
      <formula>9</formula>
    </cfRule>
    <cfRule type="cellIs" priority="122" operator="equal" dxfId="7">
      <formula>8</formula>
    </cfRule>
    <cfRule type="cellIs" priority="126" operator="equal" dxfId="3">
      <formula>4</formula>
    </cfRule>
    <cfRule type="cellIs" priority="123" operator="equal" dxfId="6">
      <formula>7</formula>
    </cfRule>
    <cfRule type="cellIs" priority="124" operator="equal" dxfId="5">
      <formula>6</formula>
    </cfRule>
    <cfRule type="cellIs" priority="125" operator="equal" dxfId="4">
      <formula>5</formula>
    </cfRule>
    <cfRule type="cellIs" priority="116" operator="equal" dxfId="13">
      <formula>14</formula>
    </cfRule>
    <cfRule type="cellIs" priority="127" operator="equal" dxfId="2">
      <formula>3</formula>
    </cfRule>
    <cfRule type="cellIs" priority="117" operator="equal" dxfId="12">
      <formula>13</formula>
    </cfRule>
    <cfRule type="cellIs" priority="118" operator="equal" dxfId="11">
      <formula>12</formula>
    </cfRule>
    <cfRule type="cellIs" priority="119" operator="equal" dxfId="10">
      <formula>11</formula>
    </cfRule>
    <cfRule type="cellIs" priority="128" operator="equal" dxfId="1">
      <formula>2</formula>
    </cfRule>
    <cfRule type="cellIs" priority="129" operator="equal" dxfId="0">
      <formula>1</formula>
    </cfRule>
  </conditionalFormatting>
  <conditionalFormatting sqref="AY93:AY98">
    <cfRule type="cellIs" priority="94" operator="equal" dxfId="4">
      <formula>5</formula>
    </cfRule>
    <cfRule type="cellIs" priority="95" operator="equal" dxfId="3">
      <formula>4</formula>
    </cfRule>
    <cfRule type="cellIs" priority="96" operator="equal" dxfId="2">
      <formula>3</formula>
    </cfRule>
    <cfRule type="cellIs" priority="97" operator="equal" dxfId="1">
      <formula>2</formula>
    </cfRule>
    <cfRule type="cellIs" priority="98" operator="equal" dxfId="0">
      <formula>1</formula>
    </cfRule>
    <cfRule type="cellIs" priority="85" operator="equal" dxfId="13">
      <formula>14</formula>
    </cfRule>
    <cfRule type="cellIs" priority="86" operator="equal" dxfId="12">
      <formula>13</formula>
    </cfRule>
    <cfRule type="cellIs" priority="87" operator="equal" dxfId="11">
      <formula>12</formula>
    </cfRule>
    <cfRule type="cellIs" priority="88" operator="equal" dxfId="10">
      <formula>11</formula>
    </cfRule>
    <cfRule type="cellIs" priority="89" operator="equal" dxfId="9">
      <formula>10</formula>
    </cfRule>
    <cfRule type="cellIs" priority="90" operator="equal" dxfId="8">
      <formula>9</formula>
    </cfRule>
    <cfRule type="cellIs" priority="91" operator="equal" dxfId="7">
      <formula>8</formula>
    </cfRule>
    <cfRule type="cellIs" priority="92" operator="equal" dxfId="6">
      <formula>7</formula>
    </cfRule>
    <cfRule type="cellIs" priority="93" operator="equal" dxfId="5">
      <formula>6</formula>
    </cfRule>
  </conditionalFormatting>
  <conditionalFormatting sqref="BC8:BC57">
    <cfRule type="expression" priority="8" dxfId="18">
      <formula>AND(BF8="SF")</formula>
    </cfRule>
    <cfRule type="expression" priority="7" dxfId="19">
      <formula>AND(BF8="F")</formula>
    </cfRule>
  </conditionalFormatting>
  <conditionalFormatting sqref="BH8:BH57">
    <cfRule type="expression" priority="6" dxfId="18">
      <formula>AND(BK8="SF")</formula>
    </cfRule>
    <cfRule type="expression" priority="5" dxfId="19">
      <formula>AND(BK8="F")</formula>
    </cfRule>
  </conditionalFormatting>
  <conditionalFormatting sqref="BH85:BH90">
    <cfRule type="cellIs" priority="80" operator="equal" dxfId="4">
      <formula>5</formula>
    </cfRule>
    <cfRule type="cellIs" priority="83" operator="equal" dxfId="1">
      <formula>2</formula>
    </cfRule>
    <cfRule type="cellIs" priority="72" operator="equal" dxfId="12">
      <formula>13</formula>
    </cfRule>
    <cfRule type="cellIs" priority="82" operator="equal" dxfId="2">
      <formula>3</formula>
    </cfRule>
    <cfRule type="cellIs" priority="81" operator="equal" dxfId="3">
      <formula>4</formula>
    </cfRule>
    <cfRule type="cellIs" priority="78" operator="equal" dxfId="6">
      <formula>7</formula>
    </cfRule>
    <cfRule type="cellIs" priority="73" operator="equal" dxfId="11">
      <formula>12</formula>
    </cfRule>
    <cfRule type="cellIs" priority="74" operator="equal" dxfId="10">
      <formula>11</formula>
    </cfRule>
    <cfRule type="cellIs" priority="75" operator="equal" dxfId="9">
      <formula>10</formula>
    </cfRule>
    <cfRule type="cellIs" priority="76" operator="equal" dxfId="8">
      <formula>9</formula>
    </cfRule>
    <cfRule type="cellIs" priority="77" operator="equal" dxfId="7">
      <formula>8</formula>
    </cfRule>
    <cfRule type="cellIs" priority="79" operator="equal" dxfId="5">
      <formula>6</formula>
    </cfRule>
    <cfRule type="cellIs" priority="84" operator="equal" dxfId="0">
      <formula>1</formula>
    </cfRule>
    <cfRule type="cellIs" priority="71" operator="equal" dxfId="13">
      <formula>14</formula>
    </cfRule>
  </conditionalFormatting>
  <conditionalFormatting sqref="BH93:BH98">
    <cfRule type="cellIs" priority="58" operator="equal" dxfId="12">
      <formula>13</formula>
    </cfRule>
    <cfRule type="cellIs" priority="57" operator="equal" dxfId="13">
      <formula>14</formula>
    </cfRule>
    <cfRule type="cellIs" priority="61" operator="equal" dxfId="9">
      <formula>10</formula>
    </cfRule>
    <cfRule type="cellIs" priority="59" operator="equal" dxfId="11">
      <formula>12</formula>
    </cfRule>
    <cfRule type="cellIs" priority="60" operator="equal" dxfId="10">
      <formula>11</formula>
    </cfRule>
    <cfRule type="cellIs" priority="70" operator="equal" dxfId="0">
      <formula>1</formula>
    </cfRule>
    <cfRule type="cellIs" priority="69" operator="equal" dxfId="1">
      <formula>2</formula>
    </cfRule>
    <cfRule type="cellIs" priority="68" operator="equal" dxfId="2">
      <formula>3</formula>
    </cfRule>
    <cfRule type="cellIs" priority="67" operator="equal" dxfId="3">
      <formula>4</formula>
    </cfRule>
    <cfRule type="cellIs" priority="66" operator="equal" dxfId="4">
      <formula>5</formula>
    </cfRule>
    <cfRule type="cellIs" priority="65" operator="equal" dxfId="5">
      <formula>6</formula>
    </cfRule>
    <cfRule type="cellIs" priority="64" operator="equal" dxfId="6">
      <formula>7</formula>
    </cfRule>
    <cfRule type="cellIs" priority="63" operator="equal" dxfId="7">
      <formula>8</formula>
    </cfRule>
    <cfRule type="cellIs" priority="62" operator="equal" dxfId="8">
      <formula>9</formula>
    </cfRule>
  </conditionalFormatting>
  <conditionalFormatting sqref="BM8:BM57">
    <cfRule type="expression" priority="4" dxfId="18">
      <formula>AND(BP8="SF")</formula>
    </cfRule>
    <cfRule type="expression" priority="3" dxfId="19">
      <formula>AND(BP8="F")</formula>
    </cfRule>
  </conditionalFormatting>
  <conditionalFormatting sqref="BR8:BR57">
    <cfRule type="expression" priority="1" dxfId="19">
      <formula>AND(BU8="F")</formula>
    </cfRule>
    <cfRule type="expression" priority="2" dxfId="18">
      <formula>AND(BU8="SF")</formula>
    </cfRule>
  </conditionalFormatting>
  <conditionalFormatting sqref="BW8:BW57">
    <cfRule type="expression" priority="29" dxfId="19">
      <formula>AND(BZ8="F")</formula>
    </cfRule>
    <cfRule type="expression" priority="30" dxfId="18">
      <formula>AND(BZ8="SF")</formula>
    </cfRule>
  </conditionalFormatting>
  <conditionalFormatting sqref="CB8:CB57">
    <cfRule type="expression" priority="27" dxfId="19">
      <formula>AND(CE8="F")</formula>
    </cfRule>
    <cfRule type="expression" priority="28" dxfId="18">
      <formula>AND(CE8="SF")</formula>
    </cfRule>
  </conditionalFormatting>
  <pageMargins left="0.25" right="0.25" top="0.75" bottom="0.75" header="0.3" footer="0.3"/>
  <pageSetup orientation="landscape" paperSize="3" scale="27" fitToHeight="0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T191"/>
  <sheetViews>
    <sheetView showGridLines="0" topLeftCell="A136" zoomScale="97" zoomScaleNormal="97" zoomScaleSheetLayoutView="96" workbookViewId="0">
      <selection activeCell="N151" sqref="N151"/>
    </sheetView>
  </sheetViews>
  <sheetFormatPr baseColWidth="10" defaultRowHeight="15" outlineLevelRow="2"/>
  <cols>
    <col width="2.5703125" customWidth="1" style="568" min="1" max="1"/>
    <col width="5.140625" customWidth="1" style="10" min="2" max="2"/>
    <col width="10.7109375" customWidth="1" style="568" min="3" max="3"/>
    <col width="39.7109375" customWidth="1" style="568" min="4" max="4"/>
    <col width="7.7109375" customWidth="1" style="568" min="5" max="6"/>
    <col width="11.7109375" customWidth="1" style="568" min="7" max="7"/>
    <col width="6.7109375" customWidth="1" style="568" min="8" max="9"/>
    <col width="11.7109375" customWidth="1" style="568" min="10" max="10"/>
    <col width="7.7109375" customWidth="1" style="568" min="11" max="12"/>
    <col width="12.7109375" customWidth="1" style="568" min="13" max="13"/>
    <col width="7.7109375" customWidth="1" style="568" min="14" max="15"/>
    <col width="12.7109375" customWidth="1" style="568" min="16" max="16"/>
    <col width="15.7109375" customWidth="1" style="568" min="17" max="17"/>
    <col width="2.85546875" customWidth="1" style="568" min="18" max="18"/>
    <col width="13" bestFit="1" customWidth="1" style="568" min="41" max="41"/>
  </cols>
  <sheetData>
    <row r="1" ht="3.75" customHeight="1" s="568">
      <c r="R1" s="3" t="n"/>
    </row>
    <row r="2" ht="56.25" customFormat="1" customHeight="1" s="283">
      <c r="A2" s="282" t="n"/>
      <c r="B2" s="582" t="inlineStr">
        <is>
          <t>CAMPEONATO DE MARCAS                            RANKING GENERAL</t>
        </is>
      </c>
      <c r="C2" s="557" t="n"/>
      <c r="D2" s="557" t="n"/>
      <c r="E2" s="557" t="n"/>
      <c r="F2" s="557" t="n"/>
      <c r="G2" s="557" t="n"/>
      <c r="H2" s="557" t="n"/>
      <c r="I2" s="557" t="n"/>
      <c r="J2" s="557" t="n"/>
      <c r="K2" s="557" t="n"/>
      <c r="L2" s="557" t="n"/>
      <c r="M2" s="557" t="n"/>
      <c r="N2" s="557" t="n"/>
      <c r="O2" s="557" t="n"/>
      <c r="P2" s="557" t="n"/>
      <c r="Q2" s="581" t="n"/>
    </row>
    <row r="3" ht="39" customHeight="1" s="568">
      <c r="A3" s="1" t="n"/>
      <c r="B3" s="349">
        <f>CONTROL!D2</f>
        <v/>
      </c>
      <c r="C3" s="284" t="n"/>
      <c r="D3" s="284" t="n"/>
      <c r="E3" s="284" t="n"/>
      <c r="F3" s="284" t="n"/>
      <c r="G3" s="284" t="n"/>
      <c r="H3" s="284" t="n"/>
      <c r="I3" s="284" t="n"/>
      <c r="J3" s="284" t="n"/>
      <c r="K3" s="284" t="n"/>
      <c r="L3" s="284" t="n"/>
      <c r="M3" s="284" t="n"/>
      <c r="N3" s="580">
        <f>'SEM 3'!D3</f>
        <v/>
      </c>
      <c r="O3" s="557" t="n"/>
      <c r="P3" s="557" t="n"/>
      <c r="Q3" s="581" t="n"/>
      <c r="R3" s="3" t="n"/>
    </row>
    <row r="4" ht="20.25" customFormat="1" customHeight="1" s="576">
      <c r="A4" s="285" t="n"/>
      <c r="B4" s="286" t="n">
        <v>0</v>
      </c>
      <c r="C4" s="287" t="inlineStr">
        <is>
          <t>COD</t>
        </is>
      </c>
      <c r="D4" s="288" t="inlineStr">
        <is>
          <t>NOMBRE PARTICIPANTE</t>
        </is>
      </c>
      <c r="E4" s="289" t="inlineStr">
        <is>
          <t>UNA MARCA</t>
        </is>
      </c>
      <c r="F4" s="290" t="n"/>
      <c r="G4" s="290" t="n"/>
      <c r="H4" s="289" t="inlineStr">
        <is>
          <t>DOS MARCAS</t>
        </is>
      </c>
      <c r="I4" s="290" t="n"/>
      <c r="J4" s="290" t="n"/>
      <c r="K4" s="289" t="inlineStr">
        <is>
          <t>TRES MARCAS</t>
        </is>
      </c>
      <c r="L4" s="289" t="n"/>
      <c r="M4" s="289" t="n"/>
      <c r="N4" s="291" t="inlineStr">
        <is>
          <t>FIJAS</t>
        </is>
      </c>
      <c r="O4" s="292" t="n"/>
      <c r="P4" s="293" t="n"/>
      <c r="Q4" s="294" t="inlineStr">
        <is>
          <t>PUNTOS</t>
        </is>
      </c>
      <c r="R4" s="3" t="n"/>
    </row>
    <row r="5" ht="23.1" customFormat="1" customHeight="1" s="393">
      <c r="A5" s="295" t="n"/>
      <c r="B5" s="296" t="n">
        <v>1</v>
      </c>
      <c r="C5" s="611">
        <f t="array" ref="C5:C54">_xlfn.SORTBY(SEMANA29[COD],SEMANA29[Columna33],-1)</f>
        <v/>
      </c>
      <c r="D5" s="469">
        <f>_xlfn.XLOOKUP(C5,CODIGOS_Y_PAGOS[CODIGO],CODIGOS_Y_PAGOS[NOMBRE PARTICIPANTE],"")</f>
        <v/>
      </c>
      <c r="E5" s="298">
        <f>IF(D5="","",_xlfn.XLOOKUP($C5,BASE01[COD],BASE01[Columna14],"")+_xlfn.XLOOKUP($C5,SEMANA2[COD],SEMANA2[Columna14],"")+_xlfn.XLOOKUP($C5,SEMANA29[COD],SEMANA29[Columna14],""))</f>
        <v/>
      </c>
      <c r="F5" s="298">
        <f>IF(D5="","",_xlfn.XLOOKUP($C5,BASE01[COD],BASE01[Columna19],"")+_xlfn.XLOOKUP($C5,SEMANA2[COD],SEMANA2[Columna19],"")+_xlfn.XLOOKUP($C5,SEMANA29[COD],SEMANA29[Columna19],""))</f>
        <v/>
      </c>
      <c r="G5" s="299">
        <f>IFERROR(+F5/E5,"")</f>
        <v/>
      </c>
      <c r="H5" s="300">
        <f>IF(D5="","",_xlfn.XLOOKUP($C5,BASE01[COD],BASE01[Columna29],"")+_xlfn.XLOOKUP($C5,SEMANA2[COD],SEMANA2[Columna29],"")+_xlfn.XLOOKUP($C5,SEMANA29[COD],SEMANA29[Columna29],""))</f>
        <v/>
      </c>
      <c r="I5" s="300">
        <f>IF(D5="","",_xlfn.XLOOKUP($C5,BASE01[COD],BASE01[Columna30],"")+_xlfn.XLOOKUP($C5,SEMANA2[COD],SEMANA2[Columna30],"")+_xlfn.XLOOKUP($C5,SEMANA29[COD],SEMANA29[Columna30],""))</f>
        <v/>
      </c>
      <c r="J5" s="301">
        <f>IFERROR(+I5/H5,"")</f>
        <v/>
      </c>
      <c r="K5" s="302">
        <f>IF(D5="","",_xlfn.XLOOKUP($C5,BASE01[COD],BASE01[Columna32],"")+_xlfn.XLOOKUP($C5,SEMANA2[COD],SEMANA2[Columna32],"")+_xlfn.XLOOKUP($C5,SEMANA29[COD],SEMANA29[Columna32],""))</f>
        <v/>
      </c>
      <c r="L5" s="302">
        <f>IF(D5="","",_xlfn.XLOOKUP($C5,BASE01[COD],BASE01[Columna34],"")+_xlfn.XLOOKUP($C5,SEMANA2[COD],SEMANA2[Columna34],"")+_xlfn.XLOOKUP($C5,SEMANA29[COD],SEMANA29[Columna34],""))</f>
        <v/>
      </c>
      <c r="M5" s="303">
        <f>IFERROR(+L5/K5,"")</f>
        <v/>
      </c>
      <c r="N5" s="304">
        <f>IF(D5="","",_xlfn.XLOOKUP($C5,BASE01[COD],BASE01[Columna36],"")+_xlfn.XLOOKUP($C5,SEMANA2[COD],SEMANA2[Columna36],"")+_xlfn.XLOOKUP($C5,SEMANA29[COD],SEMANA29[Columna36],""))</f>
        <v/>
      </c>
      <c r="O5" s="304">
        <f>IF(D5="","",_xlfn.XLOOKUP($C5,BASE01[COD],BASE01[Columna37],"")+_xlfn.XLOOKUP($C5,SEMANA2[COD],SEMANA2[Columna37],"")+_xlfn.XLOOKUP($C5,SEMANA29[COD],SEMANA29[Columna37],""))</f>
        <v/>
      </c>
      <c r="P5" s="305">
        <f>IFERROR(+O5/N5,0)</f>
        <v/>
      </c>
      <c r="Q5" s="306">
        <f>_xlfn.XLOOKUP(C5,SEMANA29[COD],SEMANA29[Columna33],"")</f>
        <v/>
      </c>
      <c r="R5" s="3" t="n"/>
      <c r="U5" s="393">
        <f t="array" ref="U5:U54">_xlfn.SORTBY(C5:C54,Q5:Q54,-1)</f>
        <v/>
      </c>
      <c r="V5" s="393">
        <f>U5</f>
        <v/>
      </c>
    </row>
    <row r="6" ht="23.1" customFormat="1" customHeight="1" s="393">
      <c r="A6" s="295" t="n"/>
      <c r="B6" s="296">
        <f>+B5+1</f>
        <v/>
      </c>
      <c r="C6" s="611" t="inlineStr">
        <is>
          <t>COD 21</t>
        </is>
      </c>
      <c r="D6" s="469">
        <f>_xlfn.XLOOKUP(C6,CODIGOS_Y_PAGOS[CODIGO],CODIGOS_Y_PAGOS[NOMBRE PARTICIPANTE],"")</f>
        <v/>
      </c>
      <c r="E6" s="298">
        <f>IF(D6="","",_xlfn.XLOOKUP($C6,BASE01[COD],BASE01[Columna14],"")+_xlfn.XLOOKUP($C6,SEMANA2[COD],SEMANA2[Columna14],"")+_xlfn.XLOOKUP($C6,SEMANA29[COD],SEMANA29[Columna14],""))</f>
        <v/>
      </c>
      <c r="F6" s="298">
        <f>IF(D6="","",_xlfn.XLOOKUP($C6,BASE01[COD],BASE01[Columna19],"")+_xlfn.XLOOKUP($C6,SEMANA2[COD],SEMANA2[Columna19],"")+_xlfn.XLOOKUP($C6,SEMANA29[COD],SEMANA29[Columna19],""))</f>
        <v/>
      </c>
      <c r="G6" s="299">
        <f>IFERROR(+F6/E6,"")</f>
        <v/>
      </c>
      <c r="H6" s="300">
        <f>IF(D6="","",_xlfn.XLOOKUP($C6,BASE01[COD],BASE01[Columna29],"")+_xlfn.XLOOKUP($C6,SEMANA2[COD],SEMANA2[Columna29],"")+_xlfn.XLOOKUP($C6,SEMANA29[COD],SEMANA29[Columna29],""))</f>
        <v/>
      </c>
      <c r="I6" s="300">
        <f>IF(D6="","",_xlfn.XLOOKUP($C6,BASE01[COD],BASE01[Columna30],"")+_xlfn.XLOOKUP($C6,SEMANA2[COD],SEMANA2[Columna30],"")+_xlfn.XLOOKUP($C6,SEMANA29[COD],SEMANA29[Columna30],""))</f>
        <v/>
      </c>
      <c r="J6" s="301">
        <f>IFERROR(+I6/H6,"")</f>
        <v/>
      </c>
      <c r="K6" s="302">
        <f>IF(D6="","",_xlfn.XLOOKUP($C6,BASE01[COD],BASE01[Columna32],"")+_xlfn.XLOOKUP($C6,SEMANA2[COD],SEMANA2[Columna32],"")+_xlfn.XLOOKUP($C6,SEMANA29[COD],SEMANA29[Columna32],""))</f>
        <v/>
      </c>
      <c r="L6" s="302">
        <f>IF(D6="","",_xlfn.XLOOKUP($C6,BASE01[COD],BASE01[Columna34],"")+_xlfn.XLOOKUP($C6,SEMANA2[COD],SEMANA2[Columna34],"")+_xlfn.XLOOKUP($C6,SEMANA29[COD],SEMANA29[Columna34],""))</f>
        <v/>
      </c>
      <c r="M6" s="303">
        <f>IFERROR(+L6/K6,"")</f>
        <v/>
      </c>
      <c r="N6" s="304">
        <f>IF(D6="","",_xlfn.XLOOKUP($C6,BASE01[COD],BASE01[Columna36],"")+_xlfn.XLOOKUP($C6,SEMANA2[COD],SEMANA2[Columna36],"")+_xlfn.XLOOKUP($C6,SEMANA29[COD],SEMANA29[Columna36],""))</f>
        <v/>
      </c>
      <c r="O6" s="304">
        <f>IF(D6="","",_xlfn.XLOOKUP($C6,BASE01[COD],BASE01[Columna37],"")+_xlfn.XLOOKUP($C6,SEMANA2[COD],SEMANA2[Columna37],"")+_xlfn.XLOOKUP($C6,SEMANA29[COD],SEMANA29[Columna37],""))</f>
        <v/>
      </c>
      <c r="P6" s="305">
        <f>IFERROR(+O6/N6,0)</f>
        <v/>
      </c>
      <c r="Q6" s="306">
        <f>_xlfn.XLOOKUP(C6,SEMANA29[COD],SEMANA29[Columna33],"")</f>
        <v/>
      </c>
      <c r="R6" s="3" t="n"/>
      <c r="U6" s="393" t="inlineStr">
        <is>
          <t>COD 21</t>
        </is>
      </c>
      <c r="V6" s="393">
        <f>U6</f>
        <v/>
      </c>
    </row>
    <row r="7" ht="23.1" customFormat="1" customHeight="1" s="393">
      <c r="A7" s="295" t="n"/>
      <c r="B7" s="296">
        <f>+B6+1</f>
        <v/>
      </c>
      <c r="C7" s="611" t="inlineStr">
        <is>
          <t>COD 10</t>
        </is>
      </c>
      <c r="D7" s="469">
        <f>_xlfn.XLOOKUP(C7,CODIGOS_Y_PAGOS[CODIGO],CODIGOS_Y_PAGOS[NOMBRE PARTICIPANTE],"")</f>
        <v/>
      </c>
      <c r="E7" s="298">
        <f>IF(D7="","",_xlfn.XLOOKUP($C7,BASE01[COD],BASE01[Columna14],"")+_xlfn.XLOOKUP($C7,SEMANA2[COD],SEMANA2[Columna14],"")+_xlfn.XLOOKUP($C7,SEMANA29[COD],SEMANA29[Columna14],""))</f>
        <v/>
      </c>
      <c r="F7" s="298">
        <f>IF(D7="","",_xlfn.XLOOKUP($C7,BASE01[COD],BASE01[Columna19],"")+_xlfn.XLOOKUP($C7,SEMANA2[COD],SEMANA2[Columna19],"")+_xlfn.XLOOKUP($C7,SEMANA29[COD],SEMANA29[Columna19],""))</f>
        <v/>
      </c>
      <c r="G7" s="299">
        <f>IFERROR(+F7/E7,"")</f>
        <v/>
      </c>
      <c r="H7" s="300">
        <f>IF(D7="","",_xlfn.XLOOKUP($C7,BASE01[COD],BASE01[Columna29],"")+_xlfn.XLOOKUP($C7,SEMANA2[COD],SEMANA2[Columna29],"")+_xlfn.XLOOKUP($C7,SEMANA29[COD],SEMANA29[Columna29],""))</f>
        <v/>
      </c>
      <c r="I7" s="300">
        <f>IF(D7="","",_xlfn.XLOOKUP($C7,BASE01[COD],BASE01[Columna30],"")+_xlfn.XLOOKUP($C7,SEMANA2[COD],SEMANA2[Columna30],"")+_xlfn.XLOOKUP($C7,SEMANA29[COD],SEMANA29[Columna30],""))</f>
        <v/>
      </c>
      <c r="J7" s="301">
        <f>IFERROR(+I7/H7,"")</f>
        <v/>
      </c>
      <c r="K7" s="302">
        <f>IF(D7="","",_xlfn.XLOOKUP($C7,BASE01[COD],BASE01[Columna32],"")+_xlfn.XLOOKUP($C7,SEMANA2[COD],SEMANA2[Columna32],"")+_xlfn.XLOOKUP($C7,SEMANA29[COD],SEMANA29[Columna32],""))</f>
        <v/>
      </c>
      <c r="L7" s="302">
        <f>IF(D7="","",_xlfn.XLOOKUP($C7,BASE01[COD],BASE01[Columna34],"")+_xlfn.XLOOKUP($C7,SEMANA2[COD],SEMANA2[Columna34],"")+_xlfn.XLOOKUP($C7,SEMANA29[COD],SEMANA29[Columna34],""))</f>
        <v/>
      </c>
      <c r="M7" s="303">
        <f>IFERROR(+L7/K7,"")</f>
        <v/>
      </c>
      <c r="N7" s="304">
        <f>IF(D7="","",_xlfn.XLOOKUP($C7,BASE01[COD],BASE01[Columna36],"")+_xlfn.XLOOKUP($C7,SEMANA2[COD],SEMANA2[Columna36],"")+_xlfn.XLOOKUP($C7,SEMANA29[COD],SEMANA29[Columna36],""))</f>
        <v/>
      </c>
      <c r="O7" s="304">
        <f>IF(D7="","",_xlfn.XLOOKUP($C7,BASE01[COD],BASE01[Columna37],"")+_xlfn.XLOOKUP($C7,SEMANA2[COD],SEMANA2[Columna37],"")+_xlfn.XLOOKUP($C7,SEMANA29[COD],SEMANA29[Columna37],""))</f>
        <v/>
      </c>
      <c r="P7" s="305">
        <f>IFERROR(+O7/N7,0)</f>
        <v/>
      </c>
      <c r="Q7" s="306">
        <f>_xlfn.XLOOKUP(C7,SEMANA29[COD],SEMANA29[Columna33],"")</f>
        <v/>
      </c>
      <c r="R7" s="3" t="n"/>
      <c r="U7" s="393" t="inlineStr">
        <is>
          <t>COD 10</t>
        </is>
      </c>
      <c r="V7" s="393">
        <f>U7</f>
        <v/>
      </c>
    </row>
    <row r="8" ht="23.1" customFormat="1" customHeight="1" s="393">
      <c r="A8" s="295" t="n"/>
      <c r="B8" s="296">
        <f>+B7+1</f>
        <v/>
      </c>
      <c r="C8" s="611" t="inlineStr">
        <is>
          <t>COD 25</t>
        </is>
      </c>
      <c r="D8" s="469">
        <f>_xlfn.XLOOKUP(C8,CODIGOS_Y_PAGOS[CODIGO],CODIGOS_Y_PAGOS[NOMBRE PARTICIPANTE],"")</f>
        <v/>
      </c>
      <c r="E8" s="298">
        <f>IF(D8="","",_xlfn.XLOOKUP($C8,BASE01[COD],BASE01[Columna14],"")+_xlfn.XLOOKUP($C8,SEMANA2[COD],SEMANA2[Columna14],"")+_xlfn.XLOOKUP($C8,SEMANA29[COD],SEMANA29[Columna14],""))</f>
        <v/>
      </c>
      <c r="F8" s="298">
        <f>IF(D8="","",_xlfn.XLOOKUP($C8,BASE01[COD],BASE01[Columna19],"")+_xlfn.XLOOKUP($C8,SEMANA2[COD],SEMANA2[Columna19],"")+_xlfn.XLOOKUP($C8,SEMANA29[COD],SEMANA29[Columna19],""))</f>
        <v/>
      </c>
      <c r="G8" s="299">
        <f>IFERROR(+F8/E8,"")</f>
        <v/>
      </c>
      <c r="H8" s="300">
        <f>IF(D8="","",_xlfn.XLOOKUP($C8,BASE01[COD],BASE01[Columna29],"")+_xlfn.XLOOKUP($C8,SEMANA2[COD],SEMANA2[Columna29],"")+_xlfn.XLOOKUP($C8,SEMANA29[COD],SEMANA29[Columna29],""))</f>
        <v/>
      </c>
      <c r="I8" s="300">
        <f>IF(D8="","",_xlfn.XLOOKUP($C8,BASE01[COD],BASE01[Columna30],"")+_xlfn.XLOOKUP($C8,SEMANA2[COD],SEMANA2[Columna30],"")+_xlfn.XLOOKUP($C8,SEMANA29[COD],SEMANA29[Columna30],""))</f>
        <v/>
      </c>
      <c r="J8" s="301">
        <f>IFERROR(+I8/H8,"")</f>
        <v/>
      </c>
      <c r="K8" s="302">
        <f>IF(D8="","",_xlfn.XLOOKUP($C8,BASE01[COD],BASE01[Columna32],"")+_xlfn.XLOOKUP($C8,SEMANA2[COD],SEMANA2[Columna32],"")+_xlfn.XLOOKUP($C8,SEMANA29[COD],SEMANA29[Columna32],""))</f>
        <v/>
      </c>
      <c r="L8" s="302">
        <f>IF(D8="","",_xlfn.XLOOKUP($C8,BASE01[COD],BASE01[Columna34],"")+_xlfn.XLOOKUP($C8,SEMANA2[COD],SEMANA2[Columna34],"")+_xlfn.XLOOKUP($C8,SEMANA29[COD],SEMANA29[Columna34],""))</f>
        <v/>
      </c>
      <c r="M8" s="303">
        <f>IFERROR(+L8/K8,"")</f>
        <v/>
      </c>
      <c r="N8" s="304">
        <f>IF(D8="","",_xlfn.XLOOKUP($C8,BASE01[COD],BASE01[Columna36],"")+_xlfn.XLOOKUP($C8,SEMANA2[COD],SEMANA2[Columna36],"")+_xlfn.XLOOKUP($C8,SEMANA29[COD],SEMANA29[Columna36],""))</f>
        <v/>
      </c>
      <c r="O8" s="304">
        <f>IF(D8="","",_xlfn.XLOOKUP($C8,BASE01[COD],BASE01[Columna37],"")+_xlfn.XLOOKUP($C8,SEMANA2[COD],SEMANA2[Columna37],"")+_xlfn.XLOOKUP($C8,SEMANA29[COD],SEMANA29[Columna37],""))</f>
        <v/>
      </c>
      <c r="P8" s="305">
        <f>IFERROR(+O8/N8,0)</f>
        <v/>
      </c>
      <c r="Q8" s="306">
        <f>_xlfn.XLOOKUP(C8,SEMANA29[COD],SEMANA29[Columna33],"")</f>
        <v/>
      </c>
      <c r="R8" s="3" t="n"/>
      <c r="U8" s="393" t="inlineStr">
        <is>
          <t>COD 25</t>
        </is>
      </c>
      <c r="V8" s="393">
        <f>U8</f>
        <v/>
      </c>
    </row>
    <row r="9" ht="23.1" customFormat="1" customHeight="1" s="393">
      <c r="A9" s="295" t="n"/>
      <c r="B9" s="296">
        <f>+B8+1</f>
        <v/>
      </c>
      <c r="C9" s="611" t="inlineStr">
        <is>
          <t>COD 05</t>
        </is>
      </c>
      <c r="D9" s="469">
        <f>_xlfn.XLOOKUP(C9,CODIGOS_Y_PAGOS[CODIGO],CODIGOS_Y_PAGOS[NOMBRE PARTICIPANTE],"")</f>
        <v/>
      </c>
      <c r="E9" s="298">
        <f>IF(D9="","",_xlfn.XLOOKUP($C9,BASE01[COD],BASE01[Columna14],"")+_xlfn.XLOOKUP($C9,SEMANA2[COD],SEMANA2[Columna14],"")+_xlfn.XLOOKUP($C9,SEMANA29[COD],SEMANA29[Columna14],""))</f>
        <v/>
      </c>
      <c r="F9" s="298">
        <f>IF(D9="","",_xlfn.XLOOKUP($C9,BASE01[COD],BASE01[Columna19],"")+_xlfn.XLOOKUP($C9,SEMANA2[COD],SEMANA2[Columna19],"")+_xlfn.XLOOKUP($C9,SEMANA29[COD],SEMANA29[Columna19],""))</f>
        <v/>
      </c>
      <c r="G9" s="299">
        <f>IFERROR(+F9/E9,"")</f>
        <v/>
      </c>
      <c r="H9" s="300">
        <f>IF(D9="","",_xlfn.XLOOKUP($C9,BASE01[COD],BASE01[Columna29],"")+_xlfn.XLOOKUP($C9,SEMANA2[COD],SEMANA2[Columna29],"")+_xlfn.XLOOKUP($C9,SEMANA29[COD],SEMANA29[Columna29],""))</f>
        <v/>
      </c>
      <c r="I9" s="300">
        <f>IF(D9="","",_xlfn.XLOOKUP($C9,BASE01[COD],BASE01[Columna30],"")+_xlfn.XLOOKUP($C9,SEMANA2[COD],SEMANA2[Columna30],"")+_xlfn.XLOOKUP($C9,SEMANA29[COD],SEMANA29[Columna30],""))</f>
        <v/>
      </c>
      <c r="J9" s="301">
        <f>IFERROR(+I9/H9,"")</f>
        <v/>
      </c>
      <c r="K9" s="302">
        <f>IF(D9="","",_xlfn.XLOOKUP($C9,BASE01[COD],BASE01[Columna32],"")+_xlfn.XLOOKUP($C9,SEMANA2[COD],SEMANA2[Columna32],"")+_xlfn.XLOOKUP($C9,SEMANA29[COD],SEMANA29[Columna32],""))</f>
        <v/>
      </c>
      <c r="L9" s="302">
        <f>IF(D9="","",_xlfn.XLOOKUP($C9,BASE01[COD],BASE01[Columna34],"")+_xlfn.XLOOKUP($C9,SEMANA2[COD],SEMANA2[Columna34],"")+_xlfn.XLOOKUP($C9,SEMANA29[COD],SEMANA29[Columna34],""))</f>
        <v/>
      </c>
      <c r="M9" s="303">
        <f>IFERROR(+L9/K9,"")</f>
        <v/>
      </c>
      <c r="N9" s="304">
        <f>IF(D9="","",_xlfn.XLOOKUP($C9,BASE01[COD],BASE01[Columna36],"")+_xlfn.XLOOKUP($C9,SEMANA2[COD],SEMANA2[Columna36],"")+_xlfn.XLOOKUP($C9,SEMANA29[COD],SEMANA29[Columna36],""))</f>
        <v/>
      </c>
      <c r="O9" s="304">
        <f>IF(D9="","",_xlfn.XLOOKUP($C9,BASE01[COD],BASE01[Columna37],"")+_xlfn.XLOOKUP($C9,SEMANA2[COD],SEMANA2[Columna37],"")+_xlfn.XLOOKUP($C9,SEMANA29[COD],SEMANA29[Columna37],""))</f>
        <v/>
      </c>
      <c r="P9" s="305">
        <f>IFERROR(+O9/N9,0)</f>
        <v/>
      </c>
      <c r="Q9" s="306">
        <f>_xlfn.XLOOKUP(C9,SEMANA29[COD],SEMANA29[Columna33],"")</f>
        <v/>
      </c>
      <c r="R9" s="3" t="n"/>
      <c r="U9" s="393" t="inlineStr">
        <is>
          <t>COD 05</t>
        </is>
      </c>
      <c r="V9" s="393">
        <f>U9</f>
        <v/>
      </c>
    </row>
    <row r="10" ht="23.1" customFormat="1" customHeight="1" s="393">
      <c r="A10" s="295" t="n"/>
      <c r="B10" s="296">
        <f>+B9+1</f>
        <v/>
      </c>
      <c r="C10" s="611" t="inlineStr">
        <is>
          <t>COD 09</t>
        </is>
      </c>
      <c r="D10" s="469">
        <f>_xlfn.XLOOKUP(C10,CODIGOS_Y_PAGOS[CODIGO],CODIGOS_Y_PAGOS[NOMBRE PARTICIPANTE],"")</f>
        <v/>
      </c>
      <c r="E10" s="298">
        <f>IF(D10="","",_xlfn.XLOOKUP($C10,BASE01[COD],BASE01[Columna14],"")+_xlfn.XLOOKUP($C10,SEMANA2[COD],SEMANA2[Columna14],"")+_xlfn.XLOOKUP($C10,SEMANA29[COD],SEMANA29[Columna14],""))</f>
        <v/>
      </c>
      <c r="F10" s="298">
        <f>IF(D10="","",_xlfn.XLOOKUP($C10,BASE01[COD],BASE01[Columna19],"")+_xlfn.XLOOKUP($C10,SEMANA2[COD],SEMANA2[Columna19],"")+_xlfn.XLOOKUP($C10,SEMANA29[COD],SEMANA29[Columna19],""))</f>
        <v/>
      </c>
      <c r="G10" s="299">
        <f>IFERROR(+F10/E10,"")</f>
        <v/>
      </c>
      <c r="H10" s="300">
        <f>IF(D10="","",_xlfn.XLOOKUP($C10,BASE01[COD],BASE01[Columna29],"")+_xlfn.XLOOKUP($C10,SEMANA2[COD],SEMANA2[Columna29],"")+_xlfn.XLOOKUP($C10,SEMANA29[COD],SEMANA29[Columna29],""))</f>
        <v/>
      </c>
      <c r="I10" s="300">
        <f>IF(D10="","",_xlfn.XLOOKUP($C10,BASE01[COD],BASE01[Columna30],"")+_xlfn.XLOOKUP($C10,SEMANA2[COD],SEMANA2[Columna30],"")+_xlfn.XLOOKUP($C10,SEMANA29[COD],SEMANA29[Columna30],""))</f>
        <v/>
      </c>
      <c r="J10" s="301">
        <f>IFERROR(+I10/H10,"")</f>
        <v/>
      </c>
      <c r="K10" s="302">
        <f>IF(D10="","",_xlfn.XLOOKUP($C10,BASE01[COD],BASE01[Columna32],"")+_xlfn.XLOOKUP($C10,SEMANA2[COD],SEMANA2[Columna32],"")+_xlfn.XLOOKUP($C10,SEMANA29[COD],SEMANA29[Columna32],""))</f>
        <v/>
      </c>
      <c r="L10" s="302">
        <f>IF(D10="","",_xlfn.XLOOKUP($C10,BASE01[COD],BASE01[Columna34],"")+_xlfn.XLOOKUP($C10,SEMANA2[COD],SEMANA2[Columna34],"")+_xlfn.XLOOKUP($C10,SEMANA29[COD],SEMANA29[Columna34],""))</f>
        <v/>
      </c>
      <c r="M10" s="303">
        <f>IFERROR(+L10/K10,"")</f>
        <v/>
      </c>
      <c r="N10" s="304">
        <f>IF(D10="","",_xlfn.XLOOKUP($C10,BASE01[COD],BASE01[Columna36],"")+_xlfn.XLOOKUP($C10,SEMANA2[COD],SEMANA2[Columna36],"")+_xlfn.XLOOKUP($C10,SEMANA29[COD],SEMANA29[Columna36],""))</f>
        <v/>
      </c>
      <c r="O10" s="304">
        <f>IF(D10="","",_xlfn.XLOOKUP($C10,BASE01[COD],BASE01[Columna37],"")+_xlfn.XLOOKUP($C10,SEMANA2[COD],SEMANA2[Columna37],"")+_xlfn.XLOOKUP($C10,SEMANA29[COD],SEMANA29[Columna37],""))</f>
        <v/>
      </c>
      <c r="P10" s="305">
        <f>IFERROR(+O10/N10,0)</f>
        <v/>
      </c>
      <c r="Q10" s="306">
        <f>_xlfn.XLOOKUP(C10,SEMANA29[COD],SEMANA29[Columna33],"")</f>
        <v/>
      </c>
      <c r="R10" s="3" t="n"/>
      <c r="U10" s="393" t="inlineStr">
        <is>
          <t>COD 09</t>
        </is>
      </c>
      <c r="V10" s="393">
        <f>U10</f>
        <v/>
      </c>
    </row>
    <row r="11" ht="23.1" customFormat="1" customHeight="1" s="393">
      <c r="A11" s="295" t="n"/>
      <c r="B11" s="307">
        <f>+B10+1</f>
        <v/>
      </c>
      <c r="C11" s="611" t="inlineStr">
        <is>
          <t>COD 27</t>
        </is>
      </c>
      <c r="D11" s="469">
        <f>_xlfn.XLOOKUP(C11,CODIGOS_Y_PAGOS[CODIGO],CODIGOS_Y_PAGOS[NOMBRE PARTICIPANTE],"")</f>
        <v/>
      </c>
      <c r="E11" s="298">
        <f>IF(D11="","",_xlfn.XLOOKUP($C11,BASE01[COD],BASE01[Columna14],"")+_xlfn.XLOOKUP($C11,SEMANA2[COD],SEMANA2[Columna14],"")+_xlfn.XLOOKUP($C11,SEMANA29[COD],SEMANA29[Columna14],""))</f>
        <v/>
      </c>
      <c r="F11" s="298">
        <f>IF(D11="","",_xlfn.XLOOKUP($C11,BASE01[COD],BASE01[Columna19],"")+_xlfn.XLOOKUP($C11,SEMANA2[COD],SEMANA2[Columna19],"")+_xlfn.XLOOKUP($C11,SEMANA29[COD],SEMANA29[Columna19],""))</f>
        <v/>
      </c>
      <c r="G11" s="299">
        <f>IFERROR(+F11/E11,"")</f>
        <v/>
      </c>
      <c r="H11" s="300">
        <f>IF(D11="","",_xlfn.XLOOKUP($C11,BASE01[COD],BASE01[Columna29],"")+_xlfn.XLOOKUP($C11,SEMANA2[COD],SEMANA2[Columna29],"")+_xlfn.XLOOKUP($C11,SEMANA29[COD],SEMANA29[Columna29],""))</f>
        <v/>
      </c>
      <c r="I11" s="300">
        <f>IF(D11="","",_xlfn.XLOOKUP($C11,BASE01[COD],BASE01[Columna30],"")+_xlfn.XLOOKUP($C11,SEMANA2[COD],SEMANA2[Columna30],"")+_xlfn.XLOOKUP($C11,SEMANA29[COD],SEMANA29[Columna30],""))</f>
        <v/>
      </c>
      <c r="J11" s="301">
        <f>IFERROR(+I11/H11,"")</f>
        <v/>
      </c>
      <c r="K11" s="302">
        <f>IF(D11="","",_xlfn.XLOOKUP($C11,BASE01[COD],BASE01[Columna32],"")+_xlfn.XLOOKUP($C11,SEMANA2[COD],SEMANA2[Columna32],"")+_xlfn.XLOOKUP($C11,SEMANA29[COD],SEMANA29[Columna32],""))</f>
        <v/>
      </c>
      <c r="L11" s="302">
        <f>IF(D11="","",_xlfn.XLOOKUP($C11,BASE01[COD],BASE01[Columna34],"")+_xlfn.XLOOKUP($C11,SEMANA2[COD],SEMANA2[Columna34],"")+_xlfn.XLOOKUP($C11,SEMANA29[COD],SEMANA29[Columna34],""))</f>
        <v/>
      </c>
      <c r="M11" s="303">
        <f>IFERROR(+L11/K11,"")</f>
        <v/>
      </c>
      <c r="N11" s="304">
        <f>IF(D11="","",_xlfn.XLOOKUP($C11,BASE01[COD],BASE01[Columna36],"")+_xlfn.XLOOKUP($C11,SEMANA2[COD],SEMANA2[Columna36],"")+_xlfn.XLOOKUP($C11,SEMANA29[COD],SEMANA29[Columna36],""))</f>
        <v/>
      </c>
      <c r="O11" s="304">
        <f>IF(D11="","",_xlfn.XLOOKUP($C11,BASE01[COD],BASE01[Columna37],"")+_xlfn.XLOOKUP($C11,SEMANA2[COD],SEMANA2[Columna37],"")+_xlfn.XLOOKUP($C11,SEMANA29[COD],SEMANA29[Columna37],""))</f>
        <v/>
      </c>
      <c r="P11" s="305">
        <f>IFERROR(+O11/N11,0)</f>
        <v/>
      </c>
      <c r="Q11" s="306">
        <f>_xlfn.XLOOKUP(C11,SEMANA29[COD],SEMANA29[Columna33],"")</f>
        <v/>
      </c>
      <c r="R11" s="3" t="n"/>
      <c r="U11" s="393" t="inlineStr">
        <is>
          <t>COD 27</t>
        </is>
      </c>
      <c r="V11" s="393">
        <f>U11</f>
        <v/>
      </c>
    </row>
    <row r="12" ht="23.1" customFormat="1" customHeight="1" s="393">
      <c r="A12" s="295" t="n"/>
      <c r="B12" s="296">
        <f>+B11+1</f>
        <v/>
      </c>
      <c r="C12" s="611" t="inlineStr">
        <is>
          <t>COD 22</t>
        </is>
      </c>
      <c r="D12" s="469">
        <f>_xlfn.XLOOKUP(C12,CODIGOS_Y_PAGOS[CODIGO],CODIGOS_Y_PAGOS[NOMBRE PARTICIPANTE],"")</f>
        <v/>
      </c>
      <c r="E12" s="298">
        <f>IF(D12="","",_xlfn.XLOOKUP($C12,BASE01[COD],BASE01[Columna14],"")+_xlfn.XLOOKUP($C12,SEMANA2[COD],SEMANA2[Columna14],"")+_xlfn.XLOOKUP($C12,SEMANA29[COD],SEMANA29[Columna14],""))</f>
        <v/>
      </c>
      <c r="F12" s="298">
        <f>IF(D12="","",_xlfn.XLOOKUP($C12,BASE01[COD],BASE01[Columna19],"")+_xlfn.XLOOKUP($C12,SEMANA2[COD],SEMANA2[Columna19],"")+_xlfn.XLOOKUP($C12,SEMANA29[COD],SEMANA29[Columna19],""))</f>
        <v/>
      </c>
      <c r="G12" s="299">
        <f>IFERROR(+F12/E12,"")</f>
        <v/>
      </c>
      <c r="H12" s="300">
        <f>IF(D12="","",_xlfn.XLOOKUP($C12,BASE01[COD],BASE01[Columna29],"")+_xlfn.XLOOKUP($C12,SEMANA2[COD],SEMANA2[Columna29],"")+_xlfn.XLOOKUP($C12,SEMANA29[COD],SEMANA29[Columna29],""))</f>
        <v/>
      </c>
      <c r="I12" s="300">
        <f>IF(D12="","",_xlfn.XLOOKUP($C12,BASE01[COD],BASE01[Columna30],"")+_xlfn.XLOOKUP($C12,SEMANA2[COD],SEMANA2[Columna30],"")+_xlfn.XLOOKUP($C12,SEMANA29[COD],SEMANA29[Columna30],""))</f>
        <v/>
      </c>
      <c r="J12" s="301">
        <f>IFERROR(+I12/H12,"")</f>
        <v/>
      </c>
      <c r="K12" s="302">
        <f>IF(D12="","",_xlfn.XLOOKUP($C12,BASE01[COD],BASE01[Columna32],"")+_xlfn.XLOOKUP($C12,SEMANA2[COD],SEMANA2[Columna32],"")+_xlfn.XLOOKUP($C12,SEMANA29[COD],SEMANA29[Columna32],""))</f>
        <v/>
      </c>
      <c r="L12" s="302">
        <f>IF(D12="","",_xlfn.XLOOKUP($C12,BASE01[COD],BASE01[Columna34],"")+_xlfn.XLOOKUP($C12,SEMANA2[COD],SEMANA2[Columna34],"")+_xlfn.XLOOKUP($C12,SEMANA29[COD],SEMANA29[Columna34],""))</f>
        <v/>
      </c>
      <c r="M12" s="303">
        <f>IFERROR(+L12/K12,"")</f>
        <v/>
      </c>
      <c r="N12" s="304">
        <f>IF(D12="","",_xlfn.XLOOKUP($C12,BASE01[COD],BASE01[Columna36],"")+_xlfn.XLOOKUP($C12,SEMANA2[COD],SEMANA2[Columna36],"")+_xlfn.XLOOKUP($C12,SEMANA29[COD],SEMANA29[Columna36],""))</f>
        <v/>
      </c>
      <c r="O12" s="304">
        <f>IF(D12="","",_xlfn.XLOOKUP($C12,BASE01[COD],BASE01[Columna37],"")+_xlfn.XLOOKUP($C12,SEMANA2[COD],SEMANA2[Columna37],"")+_xlfn.XLOOKUP($C12,SEMANA29[COD],SEMANA29[Columna37],""))</f>
        <v/>
      </c>
      <c r="P12" s="305">
        <f>IFERROR(+O12/N12,0)</f>
        <v/>
      </c>
      <c r="Q12" s="306">
        <f>_xlfn.XLOOKUP(C12,SEMANA29[COD],SEMANA29[Columna33],"")</f>
        <v/>
      </c>
      <c r="R12" s="3" t="n"/>
      <c r="U12" s="393" t="inlineStr">
        <is>
          <t>COD 22</t>
        </is>
      </c>
      <c r="V12" s="393">
        <f>U12</f>
        <v/>
      </c>
    </row>
    <row r="13" ht="23.1" customFormat="1" customHeight="1" s="393">
      <c r="A13" s="295" t="n"/>
      <c r="B13" s="296">
        <f>+B12+1</f>
        <v/>
      </c>
      <c r="C13" s="611" t="inlineStr">
        <is>
          <t>COD 01</t>
        </is>
      </c>
      <c r="D13" s="469">
        <f>_xlfn.XLOOKUP(C13,CODIGOS_Y_PAGOS[CODIGO],CODIGOS_Y_PAGOS[NOMBRE PARTICIPANTE],"")</f>
        <v/>
      </c>
      <c r="E13" s="298">
        <f>IF(D13="","",_xlfn.XLOOKUP($C13,BASE01[COD],BASE01[Columna14],"")+_xlfn.XLOOKUP($C13,SEMANA2[COD],SEMANA2[Columna14],"")+_xlfn.XLOOKUP($C13,SEMANA29[COD],SEMANA29[Columna14],""))</f>
        <v/>
      </c>
      <c r="F13" s="298">
        <f>IF(D13="","",_xlfn.XLOOKUP($C13,BASE01[COD],BASE01[Columna19],"")+_xlfn.XLOOKUP($C13,SEMANA2[COD],SEMANA2[Columna19],"")+_xlfn.XLOOKUP($C13,SEMANA29[COD],SEMANA29[Columna19],""))</f>
        <v/>
      </c>
      <c r="G13" s="299">
        <f>IFERROR(+F13/E13,"")</f>
        <v/>
      </c>
      <c r="H13" s="300">
        <f>IF(D13="","",_xlfn.XLOOKUP($C13,BASE01[COD],BASE01[Columna29],"")+_xlfn.XLOOKUP($C13,SEMANA2[COD],SEMANA2[Columna29],"")+_xlfn.XLOOKUP($C13,SEMANA29[COD],SEMANA29[Columna29],""))</f>
        <v/>
      </c>
      <c r="I13" s="300">
        <f>IF(D13="","",_xlfn.XLOOKUP($C13,BASE01[COD],BASE01[Columna30],"")+_xlfn.XLOOKUP($C13,SEMANA2[COD],SEMANA2[Columna30],"")+_xlfn.XLOOKUP($C13,SEMANA29[COD],SEMANA29[Columna30],""))</f>
        <v/>
      </c>
      <c r="J13" s="301">
        <f>IFERROR(+I13/H13,"")</f>
        <v/>
      </c>
      <c r="K13" s="302">
        <f>IF(D13="","",_xlfn.XLOOKUP($C13,BASE01[COD],BASE01[Columna32],"")+_xlfn.XLOOKUP($C13,SEMANA2[COD],SEMANA2[Columna32],"")+_xlfn.XLOOKUP($C13,SEMANA29[COD],SEMANA29[Columna32],""))</f>
        <v/>
      </c>
      <c r="L13" s="302">
        <f>IF(D13="","",_xlfn.XLOOKUP($C13,BASE01[COD],BASE01[Columna34],"")+_xlfn.XLOOKUP($C13,SEMANA2[COD],SEMANA2[Columna34],"")+_xlfn.XLOOKUP($C13,SEMANA29[COD],SEMANA29[Columna34],""))</f>
        <v/>
      </c>
      <c r="M13" s="303">
        <f>IFERROR(+L13/K13,"")</f>
        <v/>
      </c>
      <c r="N13" s="304">
        <f>IF(D13="","",_xlfn.XLOOKUP($C13,BASE01[COD],BASE01[Columna36],"")+_xlfn.XLOOKUP($C13,SEMANA2[COD],SEMANA2[Columna36],"")+_xlfn.XLOOKUP($C13,SEMANA29[COD],SEMANA29[Columna36],""))</f>
        <v/>
      </c>
      <c r="O13" s="304">
        <f>IF(D13="","",_xlfn.XLOOKUP($C13,BASE01[COD],BASE01[Columna37],"")+_xlfn.XLOOKUP($C13,SEMANA2[COD],SEMANA2[Columna37],"")+_xlfn.XLOOKUP($C13,SEMANA29[COD],SEMANA29[Columna37],""))</f>
        <v/>
      </c>
      <c r="P13" s="305">
        <f>IFERROR(+O13/N13,0)</f>
        <v/>
      </c>
      <c r="Q13" s="306">
        <f>_xlfn.XLOOKUP(C13,SEMANA29[COD],SEMANA29[Columna33],"")</f>
        <v/>
      </c>
      <c r="R13" s="3" t="n"/>
      <c r="U13" s="393" t="inlineStr">
        <is>
          <t>COD 01</t>
        </is>
      </c>
      <c r="V13" s="393">
        <f>U13</f>
        <v/>
      </c>
    </row>
    <row r="14" ht="23.1" customFormat="1" customHeight="1" s="393">
      <c r="A14" s="295" t="n"/>
      <c r="B14" s="296">
        <f>+B13+1</f>
        <v/>
      </c>
      <c r="C14" s="611" t="inlineStr">
        <is>
          <t>COD 11</t>
        </is>
      </c>
      <c r="D14" s="469">
        <f>_xlfn.XLOOKUP(C14,CODIGOS_Y_PAGOS[CODIGO],CODIGOS_Y_PAGOS[NOMBRE PARTICIPANTE],"")</f>
        <v/>
      </c>
      <c r="E14" s="298">
        <f>IF(D14="","",_xlfn.XLOOKUP($C14,BASE01[COD],BASE01[Columna14],"")+_xlfn.XLOOKUP($C14,SEMANA2[COD],SEMANA2[Columna14],"")+_xlfn.XLOOKUP($C14,SEMANA29[COD],SEMANA29[Columna14],""))</f>
        <v/>
      </c>
      <c r="F14" s="298">
        <f>IF(D14="","",_xlfn.XLOOKUP($C14,BASE01[COD],BASE01[Columna19],"")+_xlfn.XLOOKUP($C14,SEMANA2[COD],SEMANA2[Columna19],"")+_xlfn.XLOOKUP($C14,SEMANA29[COD],SEMANA29[Columna19],""))</f>
        <v/>
      </c>
      <c r="G14" s="299">
        <f>IFERROR(+F14/E14,"")</f>
        <v/>
      </c>
      <c r="H14" s="300">
        <f>IF(D14="","",_xlfn.XLOOKUP($C14,BASE01[COD],BASE01[Columna29],"")+_xlfn.XLOOKUP($C14,SEMANA2[COD],SEMANA2[Columna29],"")+_xlfn.XLOOKUP($C14,SEMANA29[COD],SEMANA29[Columna29],""))</f>
        <v/>
      </c>
      <c r="I14" s="300">
        <f>IF(D14="","",_xlfn.XLOOKUP($C14,BASE01[COD],BASE01[Columna30],"")+_xlfn.XLOOKUP($C14,SEMANA2[COD],SEMANA2[Columna30],"")+_xlfn.XLOOKUP($C14,SEMANA29[COD],SEMANA29[Columna30],""))</f>
        <v/>
      </c>
      <c r="J14" s="301">
        <f>IFERROR(+I14/H14,"")</f>
        <v/>
      </c>
      <c r="K14" s="302">
        <f>IF(D14="","",_xlfn.XLOOKUP($C14,BASE01[COD],BASE01[Columna32],"")+_xlfn.XLOOKUP($C14,SEMANA2[COD],SEMANA2[Columna32],"")+_xlfn.XLOOKUP($C14,SEMANA29[COD],SEMANA29[Columna32],""))</f>
        <v/>
      </c>
      <c r="L14" s="302">
        <f>IF(D14="","",_xlfn.XLOOKUP($C14,BASE01[COD],BASE01[Columna34],"")+_xlfn.XLOOKUP($C14,SEMANA2[COD],SEMANA2[Columna34],"")+_xlfn.XLOOKUP($C14,SEMANA29[COD],SEMANA29[Columna34],""))</f>
        <v/>
      </c>
      <c r="M14" s="303">
        <f>IFERROR(+L14/K14,"")</f>
        <v/>
      </c>
      <c r="N14" s="304">
        <f>IF(D14="","",_xlfn.XLOOKUP($C14,BASE01[COD],BASE01[Columna36],"")+_xlfn.XLOOKUP($C14,SEMANA2[COD],SEMANA2[Columna36],"")+_xlfn.XLOOKUP($C14,SEMANA29[COD],SEMANA29[Columna36],""))</f>
        <v/>
      </c>
      <c r="O14" s="304">
        <f>IF(D14="","",_xlfn.XLOOKUP($C14,BASE01[COD],BASE01[Columna37],"")+_xlfn.XLOOKUP($C14,SEMANA2[COD],SEMANA2[Columna37],"")+_xlfn.XLOOKUP($C14,SEMANA29[COD],SEMANA29[Columna37],""))</f>
        <v/>
      </c>
      <c r="P14" s="305">
        <f>IFERROR(+O14/N14,0)</f>
        <v/>
      </c>
      <c r="Q14" s="306">
        <f>_xlfn.XLOOKUP(C14,SEMANA29[COD],SEMANA29[Columna33],"")</f>
        <v/>
      </c>
      <c r="R14" s="3" t="n"/>
      <c r="U14" s="393" t="inlineStr">
        <is>
          <t>COD 11</t>
        </is>
      </c>
      <c r="V14" s="393">
        <f>U14</f>
        <v/>
      </c>
    </row>
    <row r="15" ht="23.1" customFormat="1" customHeight="1" s="393">
      <c r="A15" s="295" t="n"/>
      <c r="B15" s="296">
        <f>+B14+1</f>
        <v/>
      </c>
      <c r="C15" s="611" t="inlineStr">
        <is>
          <t>COD 23</t>
        </is>
      </c>
      <c r="D15" s="469">
        <f>_xlfn.XLOOKUP(C15,CODIGOS_Y_PAGOS[CODIGO],CODIGOS_Y_PAGOS[NOMBRE PARTICIPANTE],"")</f>
        <v/>
      </c>
      <c r="E15" s="298">
        <f>IF(D15="","",_xlfn.XLOOKUP($C15,BASE01[COD],BASE01[Columna14],"")+_xlfn.XLOOKUP($C15,SEMANA2[COD],SEMANA2[Columna14],"")+_xlfn.XLOOKUP($C15,SEMANA29[COD],SEMANA29[Columna14],""))</f>
        <v/>
      </c>
      <c r="F15" s="298">
        <f>IF(D15="","",_xlfn.XLOOKUP($C15,BASE01[COD],BASE01[Columna19],"")+_xlfn.XLOOKUP($C15,SEMANA2[COD],SEMANA2[Columna19],"")+_xlfn.XLOOKUP($C15,SEMANA29[COD],SEMANA29[Columna19],""))</f>
        <v/>
      </c>
      <c r="G15" s="299">
        <f>IFERROR(+F15/E15,"")</f>
        <v/>
      </c>
      <c r="H15" s="300">
        <f>IF(D15="","",_xlfn.XLOOKUP($C15,BASE01[COD],BASE01[Columna29],"")+_xlfn.XLOOKUP($C15,SEMANA2[COD],SEMANA2[Columna29],"")+_xlfn.XLOOKUP($C15,SEMANA29[COD],SEMANA29[Columna29],""))</f>
        <v/>
      </c>
      <c r="I15" s="300">
        <f>IF(D15="","",_xlfn.XLOOKUP($C15,BASE01[COD],BASE01[Columna30],"")+_xlfn.XLOOKUP($C15,SEMANA2[COD],SEMANA2[Columna30],"")+_xlfn.XLOOKUP($C15,SEMANA29[COD],SEMANA29[Columna30],""))</f>
        <v/>
      </c>
      <c r="J15" s="301">
        <f>IFERROR(+I15/H15,"")</f>
        <v/>
      </c>
      <c r="K15" s="302">
        <f>IF(D15="","",_xlfn.XLOOKUP($C15,BASE01[COD],BASE01[Columna32],"")+_xlfn.XLOOKUP($C15,SEMANA2[COD],SEMANA2[Columna32],"")+_xlfn.XLOOKUP($C15,SEMANA29[COD],SEMANA29[Columna32],""))</f>
        <v/>
      </c>
      <c r="L15" s="302">
        <f>IF(D15="","",_xlfn.XLOOKUP($C15,BASE01[COD],BASE01[Columna34],"")+_xlfn.XLOOKUP($C15,SEMANA2[COD],SEMANA2[Columna34],"")+_xlfn.XLOOKUP($C15,SEMANA29[COD],SEMANA29[Columna34],""))</f>
        <v/>
      </c>
      <c r="M15" s="303">
        <f>IFERROR(+L15/K15,"")</f>
        <v/>
      </c>
      <c r="N15" s="304">
        <f>IF(D15="","",_xlfn.XLOOKUP($C15,BASE01[COD],BASE01[Columna36],"")+_xlfn.XLOOKUP($C15,SEMANA2[COD],SEMANA2[Columna36],"")+_xlfn.XLOOKUP($C15,SEMANA29[COD],SEMANA29[Columna36],""))</f>
        <v/>
      </c>
      <c r="O15" s="304">
        <f>IF(D15="","",_xlfn.XLOOKUP($C15,BASE01[COD],BASE01[Columna37],"")+_xlfn.XLOOKUP($C15,SEMANA2[COD],SEMANA2[Columna37],"")+_xlfn.XLOOKUP($C15,SEMANA29[COD],SEMANA29[Columna37],""))</f>
        <v/>
      </c>
      <c r="P15" s="305">
        <f>IFERROR(+O15/N15,0)</f>
        <v/>
      </c>
      <c r="Q15" s="306">
        <f>_xlfn.XLOOKUP(C15,SEMANA29[COD],SEMANA29[Columna33],"")</f>
        <v/>
      </c>
      <c r="R15" s="3" t="n"/>
      <c r="U15" s="393" t="inlineStr">
        <is>
          <t>COD 23</t>
        </is>
      </c>
      <c r="V15" s="393">
        <f>U15</f>
        <v/>
      </c>
    </row>
    <row r="16" ht="23.1" customFormat="1" customHeight="1" s="393">
      <c r="A16" s="295" t="n"/>
      <c r="B16" s="296">
        <f>+B15+1</f>
        <v/>
      </c>
      <c r="C16" s="611" t="inlineStr">
        <is>
          <t>COD 08</t>
        </is>
      </c>
      <c r="D16" s="469">
        <f>_xlfn.XLOOKUP(C16,CODIGOS_Y_PAGOS[CODIGO],CODIGOS_Y_PAGOS[NOMBRE PARTICIPANTE],"")</f>
        <v/>
      </c>
      <c r="E16" s="298">
        <f>IF(D16="","",_xlfn.XLOOKUP($C16,BASE01[COD],BASE01[Columna14],"")+_xlfn.XLOOKUP($C16,SEMANA2[COD],SEMANA2[Columna14],"")+_xlfn.XLOOKUP($C16,SEMANA29[COD],SEMANA29[Columna14],""))</f>
        <v/>
      </c>
      <c r="F16" s="298">
        <f>IF(D16="","",_xlfn.XLOOKUP($C16,BASE01[COD],BASE01[Columna19],"")+_xlfn.XLOOKUP($C16,SEMANA2[COD],SEMANA2[Columna19],"")+_xlfn.XLOOKUP($C16,SEMANA29[COD],SEMANA29[Columna19],""))</f>
        <v/>
      </c>
      <c r="G16" s="299">
        <f>IFERROR(+F16/E16,"")</f>
        <v/>
      </c>
      <c r="H16" s="300">
        <f>IF(D16="","",_xlfn.XLOOKUP($C16,BASE01[COD],BASE01[Columna29],"")+_xlfn.XLOOKUP($C16,SEMANA2[COD],SEMANA2[Columna29],"")+_xlfn.XLOOKUP($C16,SEMANA29[COD],SEMANA29[Columna29],""))</f>
        <v/>
      </c>
      <c r="I16" s="300">
        <f>IF(D16="","",_xlfn.XLOOKUP($C16,BASE01[COD],BASE01[Columna30],"")+_xlfn.XLOOKUP($C16,SEMANA2[COD],SEMANA2[Columna30],"")+_xlfn.XLOOKUP($C16,SEMANA29[COD],SEMANA29[Columna30],""))</f>
        <v/>
      </c>
      <c r="J16" s="301">
        <f>IFERROR(+I16/H16,"")</f>
        <v/>
      </c>
      <c r="K16" s="302">
        <f>IF(D16="","",_xlfn.XLOOKUP($C16,BASE01[COD],BASE01[Columna32],"")+_xlfn.XLOOKUP($C16,SEMANA2[COD],SEMANA2[Columna32],"")+_xlfn.XLOOKUP($C16,SEMANA29[COD],SEMANA29[Columna32],""))</f>
        <v/>
      </c>
      <c r="L16" s="302">
        <f>IF(D16="","",_xlfn.XLOOKUP($C16,BASE01[COD],BASE01[Columna34],"")+_xlfn.XLOOKUP($C16,SEMANA2[COD],SEMANA2[Columna34],"")+_xlfn.XLOOKUP($C16,SEMANA29[COD],SEMANA29[Columna34],""))</f>
        <v/>
      </c>
      <c r="M16" s="303">
        <f>IFERROR(+L16/K16,"")</f>
        <v/>
      </c>
      <c r="N16" s="304">
        <f>IF(D16="","",_xlfn.XLOOKUP($C16,BASE01[COD],BASE01[Columna36],"")+_xlfn.XLOOKUP($C16,SEMANA2[COD],SEMANA2[Columna36],"")+_xlfn.XLOOKUP($C16,SEMANA29[COD],SEMANA29[Columna36],""))</f>
        <v/>
      </c>
      <c r="O16" s="304">
        <f>IF(D16="","",_xlfn.XLOOKUP($C16,BASE01[COD],BASE01[Columna37],"")+_xlfn.XLOOKUP($C16,SEMANA2[COD],SEMANA2[Columna37],"")+_xlfn.XLOOKUP($C16,SEMANA29[COD],SEMANA29[Columna37],""))</f>
        <v/>
      </c>
      <c r="P16" s="305">
        <f>IFERROR(+O16/N16,0)</f>
        <v/>
      </c>
      <c r="Q16" s="306">
        <f>_xlfn.XLOOKUP(C16,SEMANA29[COD],SEMANA29[Columna33],"")</f>
        <v/>
      </c>
      <c r="R16" s="3" t="n"/>
      <c r="U16" s="393" t="inlineStr">
        <is>
          <t>COD 08</t>
        </is>
      </c>
      <c r="V16" s="393">
        <f>U16</f>
        <v/>
      </c>
    </row>
    <row r="17" ht="23.1" customFormat="1" customHeight="1" s="393">
      <c r="A17" s="295" t="n"/>
      <c r="B17" s="296">
        <f>+B16+1</f>
        <v/>
      </c>
      <c r="C17" s="611" t="inlineStr">
        <is>
          <t>COD 03</t>
        </is>
      </c>
      <c r="D17" s="469">
        <f>_xlfn.XLOOKUP(C17,CODIGOS_Y_PAGOS[CODIGO],CODIGOS_Y_PAGOS[NOMBRE PARTICIPANTE],"")</f>
        <v/>
      </c>
      <c r="E17" s="298">
        <f>IF(D17="","",_xlfn.XLOOKUP($C17,BASE01[COD],BASE01[Columna14],"")+_xlfn.XLOOKUP($C17,SEMANA2[COD],SEMANA2[Columna14],"")+_xlfn.XLOOKUP($C17,SEMANA29[COD],SEMANA29[Columna14],""))</f>
        <v/>
      </c>
      <c r="F17" s="298">
        <f>IF(D17="","",_xlfn.XLOOKUP($C17,BASE01[COD],BASE01[Columna19],"")+_xlfn.XLOOKUP($C17,SEMANA2[COD],SEMANA2[Columna19],"")+_xlfn.XLOOKUP($C17,SEMANA29[COD],SEMANA29[Columna19],""))</f>
        <v/>
      </c>
      <c r="G17" s="299">
        <f>IFERROR(+F17/E17,"")</f>
        <v/>
      </c>
      <c r="H17" s="300">
        <f>IF(D17="","",_xlfn.XLOOKUP($C17,BASE01[COD],BASE01[Columna29],"")+_xlfn.XLOOKUP($C17,SEMANA2[COD],SEMANA2[Columna29],"")+_xlfn.XLOOKUP($C17,SEMANA29[COD],SEMANA29[Columna29],""))</f>
        <v/>
      </c>
      <c r="I17" s="300">
        <f>IF(D17="","",_xlfn.XLOOKUP($C17,BASE01[COD],BASE01[Columna30],"")+_xlfn.XLOOKUP($C17,SEMANA2[COD],SEMANA2[Columna30],"")+_xlfn.XLOOKUP($C17,SEMANA29[COD],SEMANA29[Columna30],""))</f>
        <v/>
      </c>
      <c r="J17" s="301">
        <f>IFERROR(+I17/H17,"")</f>
        <v/>
      </c>
      <c r="K17" s="302">
        <f>IF(D17="","",_xlfn.XLOOKUP($C17,BASE01[COD],BASE01[Columna32],"")+_xlfn.XLOOKUP($C17,SEMANA2[COD],SEMANA2[Columna32],"")+_xlfn.XLOOKUP($C17,SEMANA29[COD],SEMANA29[Columna32],""))</f>
        <v/>
      </c>
      <c r="L17" s="302">
        <f>IF(D17="","",_xlfn.XLOOKUP($C17,BASE01[COD],BASE01[Columna34],"")+_xlfn.XLOOKUP($C17,SEMANA2[COD],SEMANA2[Columna34],"")+_xlfn.XLOOKUP($C17,SEMANA29[COD],SEMANA29[Columna34],""))</f>
        <v/>
      </c>
      <c r="M17" s="303">
        <f>IFERROR(+L17/K17,"")</f>
        <v/>
      </c>
      <c r="N17" s="304">
        <f>IF(D17="","",_xlfn.XLOOKUP($C17,BASE01[COD],BASE01[Columna36],"")+_xlfn.XLOOKUP($C17,SEMANA2[COD],SEMANA2[Columna36],"")+_xlfn.XLOOKUP($C17,SEMANA29[COD],SEMANA29[Columna36],""))</f>
        <v/>
      </c>
      <c r="O17" s="304">
        <f>IF(D17="","",_xlfn.XLOOKUP($C17,BASE01[COD],BASE01[Columna37],"")+_xlfn.XLOOKUP($C17,SEMANA2[COD],SEMANA2[Columna37],"")+_xlfn.XLOOKUP($C17,SEMANA29[COD],SEMANA29[Columna37],""))</f>
        <v/>
      </c>
      <c r="P17" s="305">
        <f>IFERROR(+O17/N17,0)</f>
        <v/>
      </c>
      <c r="Q17" s="306">
        <f>_xlfn.XLOOKUP(C17,SEMANA29[COD],SEMANA29[Columna33],"")</f>
        <v/>
      </c>
      <c r="R17" s="3" t="n"/>
      <c r="U17" s="393" t="inlineStr">
        <is>
          <t>COD 03</t>
        </is>
      </c>
      <c r="V17" s="393">
        <f>U17</f>
        <v/>
      </c>
    </row>
    <row r="18" ht="23.1" customFormat="1" customHeight="1" s="393">
      <c r="A18" s="295" t="n"/>
      <c r="B18" s="296">
        <f>+B17+1</f>
        <v/>
      </c>
      <c r="C18" s="611" t="inlineStr">
        <is>
          <t>COD 16</t>
        </is>
      </c>
      <c r="D18" s="469">
        <f>_xlfn.XLOOKUP(C18,CODIGOS_Y_PAGOS[CODIGO],CODIGOS_Y_PAGOS[NOMBRE PARTICIPANTE],"")</f>
        <v/>
      </c>
      <c r="E18" s="298">
        <f>IF(D18="","",_xlfn.XLOOKUP($C18,BASE01[COD],BASE01[Columna14],"")+_xlfn.XLOOKUP($C18,SEMANA2[COD],SEMANA2[Columna14],"")+_xlfn.XLOOKUP($C18,SEMANA29[COD],SEMANA29[Columna14],""))</f>
        <v/>
      </c>
      <c r="F18" s="298">
        <f>IF(D18="","",_xlfn.XLOOKUP($C18,BASE01[COD],BASE01[Columna19],"")+_xlfn.XLOOKUP($C18,SEMANA2[COD],SEMANA2[Columna19],"")+_xlfn.XLOOKUP($C18,SEMANA29[COD],SEMANA29[Columna19],""))</f>
        <v/>
      </c>
      <c r="G18" s="299">
        <f>IFERROR(+F18/E18,"")</f>
        <v/>
      </c>
      <c r="H18" s="300">
        <f>IF(D18="","",_xlfn.XLOOKUP($C18,BASE01[COD],BASE01[Columna29],"")+_xlfn.XLOOKUP($C18,SEMANA2[COD],SEMANA2[Columna29],"")+_xlfn.XLOOKUP($C18,SEMANA29[COD],SEMANA29[Columna29],""))</f>
        <v/>
      </c>
      <c r="I18" s="300">
        <f>IF(D18="","",_xlfn.XLOOKUP($C18,BASE01[COD],BASE01[Columna30],"")+_xlfn.XLOOKUP($C18,SEMANA2[COD],SEMANA2[Columna30],"")+_xlfn.XLOOKUP($C18,SEMANA29[COD],SEMANA29[Columna30],""))</f>
        <v/>
      </c>
      <c r="J18" s="301">
        <f>IFERROR(+I18/H18,"")</f>
        <v/>
      </c>
      <c r="K18" s="302">
        <f>IF(D18="","",_xlfn.XLOOKUP($C18,BASE01[COD],BASE01[Columna32],"")+_xlfn.XLOOKUP($C18,SEMANA2[COD],SEMANA2[Columna32],"")+_xlfn.XLOOKUP($C18,SEMANA29[COD],SEMANA29[Columna32],""))</f>
        <v/>
      </c>
      <c r="L18" s="302">
        <f>IF(D18="","",_xlfn.XLOOKUP($C18,BASE01[COD],BASE01[Columna34],"")+_xlfn.XLOOKUP($C18,SEMANA2[COD],SEMANA2[Columna34],"")+_xlfn.XLOOKUP($C18,SEMANA29[COD],SEMANA29[Columna34],""))</f>
        <v/>
      </c>
      <c r="M18" s="303">
        <f>IFERROR(+L18/K18,"")</f>
        <v/>
      </c>
      <c r="N18" s="304">
        <f>IF(D18="","",_xlfn.XLOOKUP($C18,BASE01[COD],BASE01[Columna36],"")+_xlfn.XLOOKUP($C18,SEMANA2[COD],SEMANA2[Columna36],"")+_xlfn.XLOOKUP($C18,SEMANA29[COD],SEMANA29[Columna36],""))</f>
        <v/>
      </c>
      <c r="O18" s="304">
        <f>IF(D18="","",_xlfn.XLOOKUP($C18,BASE01[COD],BASE01[Columna37],"")+_xlfn.XLOOKUP($C18,SEMANA2[COD],SEMANA2[Columna37],"")+_xlfn.XLOOKUP($C18,SEMANA29[COD],SEMANA29[Columna37],""))</f>
        <v/>
      </c>
      <c r="P18" s="305">
        <f>IFERROR(+O18/N18,0)</f>
        <v/>
      </c>
      <c r="Q18" s="306">
        <f>_xlfn.XLOOKUP(C18,SEMANA29[COD],SEMANA29[Columna33],"")</f>
        <v/>
      </c>
      <c r="R18" s="3" t="n"/>
      <c r="U18" s="393" t="inlineStr">
        <is>
          <t>COD 16</t>
        </is>
      </c>
      <c r="V18" s="393">
        <f>U18</f>
        <v/>
      </c>
    </row>
    <row r="19" ht="23.1" customFormat="1" customHeight="1" s="393">
      <c r="A19" s="295" t="n"/>
      <c r="B19" s="296">
        <f>+B18+1</f>
        <v/>
      </c>
      <c r="C19" s="611" t="inlineStr">
        <is>
          <t>COD 15</t>
        </is>
      </c>
      <c r="D19" s="469">
        <f>_xlfn.XLOOKUP(C19,CODIGOS_Y_PAGOS[CODIGO],CODIGOS_Y_PAGOS[NOMBRE PARTICIPANTE],"")</f>
        <v/>
      </c>
      <c r="E19" s="298">
        <f>IF(D19="","",_xlfn.XLOOKUP($C19,BASE01[COD],BASE01[Columna14],"")+_xlfn.XLOOKUP($C19,SEMANA2[COD],SEMANA2[Columna14],"")+_xlfn.XLOOKUP($C19,SEMANA29[COD],SEMANA29[Columna14],""))</f>
        <v/>
      </c>
      <c r="F19" s="298">
        <f>IF(D19="","",_xlfn.XLOOKUP($C19,BASE01[COD],BASE01[Columna19],"")+_xlfn.XLOOKUP($C19,SEMANA2[COD],SEMANA2[Columna19],"")+_xlfn.XLOOKUP($C19,SEMANA29[COD],SEMANA29[Columna19],""))</f>
        <v/>
      </c>
      <c r="G19" s="299">
        <f>IFERROR(+F19/E19,"")</f>
        <v/>
      </c>
      <c r="H19" s="300">
        <f>IF(D19="","",_xlfn.XLOOKUP($C19,BASE01[COD],BASE01[Columna29],"")+_xlfn.XLOOKUP($C19,SEMANA2[COD],SEMANA2[Columna29],"")+_xlfn.XLOOKUP($C19,SEMANA29[COD],SEMANA29[Columna29],""))</f>
        <v/>
      </c>
      <c r="I19" s="300">
        <f>IF(D19="","",_xlfn.XLOOKUP($C19,BASE01[COD],BASE01[Columna30],"")+_xlfn.XLOOKUP($C19,SEMANA2[COD],SEMANA2[Columna30],"")+_xlfn.XLOOKUP($C19,SEMANA29[COD],SEMANA29[Columna30],""))</f>
        <v/>
      </c>
      <c r="J19" s="301">
        <f>IFERROR(+I19/H19,"")</f>
        <v/>
      </c>
      <c r="K19" s="302">
        <f>IF(D19="","",_xlfn.XLOOKUP($C19,BASE01[COD],BASE01[Columna32],"")+_xlfn.XLOOKUP($C19,SEMANA2[COD],SEMANA2[Columna32],"")+_xlfn.XLOOKUP($C19,SEMANA29[COD],SEMANA29[Columna32],""))</f>
        <v/>
      </c>
      <c r="L19" s="302">
        <f>IF(D19="","",_xlfn.XLOOKUP($C19,BASE01[COD],BASE01[Columna34],"")+_xlfn.XLOOKUP($C19,SEMANA2[COD],SEMANA2[Columna34],"")+_xlfn.XLOOKUP($C19,SEMANA29[COD],SEMANA29[Columna34],""))</f>
        <v/>
      </c>
      <c r="M19" s="303">
        <f>IFERROR(+L19/K19,"")</f>
        <v/>
      </c>
      <c r="N19" s="304">
        <f>IF(D19="","",_xlfn.XLOOKUP($C19,BASE01[COD],BASE01[Columna36],"")+_xlfn.XLOOKUP($C19,SEMANA2[COD],SEMANA2[Columna36],"")+_xlfn.XLOOKUP($C19,SEMANA29[COD],SEMANA29[Columna36],""))</f>
        <v/>
      </c>
      <c r="O19" s="304">
        <f>IF(D19="","",_xlfn.XLOOKUP($C19,BASE01[COD],BASE01[Columna37],"")+_xlfn.XLOOKUP($C19,SEMANA2[COD],SEMANA2[Columna37],"")+_xlfn.XLOOKUP($C19,SEMANA29[COD],SEMANA29[Columna37],""))</f>
        <v/>
      </c>
      <c r="P19" s="305">
        <f>IFERROR(+O19/N19,0)</f>
        <v/>
      </c>
      <c r="Q19" s="306">
        <f>_xlfn.XLOOKUP(C19,SEMANA29[COD],SEMANA29[Columna33],"")</f>
        <v/>
      </c>
      <c r="R19" s="3" t="n"/>
      <c r="U19" s="393" t="inlineStr">
        <is>
          <t>COD 15</t>
        </is>
      </c>
      <c r="V19" s="393">
        <f>U19</f>
        <v/>
      </c>
    </row>
    <row r="20" ht="23.1" customFormat="1" customHeight="1" s="393">
      <c r="A20" s="295" t="n"/>
      <c r="B20" s="296">
        <f>+B19+1</f>
        <v/>
      </c>
      <c r="C20" s="611" t="inlineStr">
        <is>
          <t>COD 28</t>
        </is>
      </c>
      <c r="D20" s="469">
        <f>_xlfn.XLOOKUP(C20,CODIGOS_Y_PAGOS[CODIGO],CODIGOS_Y_PAGOS[NOMBRE PARTICIPANTE],"")</f>
        <v/>
      </c>
      <c r="E20" s="298">
        <f>IF(D20="","",_xlfn.XLOOKUP($C20,BASE01[COD],BASE01[Columna14],"")+_xlfn.XLOOKUP($C20,SEMANA2[COD],SEMANA2[Columna14],"")+_xlfn.XLOOKUP($C20,SEMANA29[COD],SEMANA29[Columna14],""))</f>
        <v/>
      </c>
      <c r="F20" s="298">
        <f>IF(D20="","",_xlfn.XLOOKUP($C20,BASE01[COD],BASE01[Columna19],"")+_xlfn.XLOOKUP($C20,SEMANA2[COD],SEMANA2[Columna19],"")+_xlfn.XLOOKUP($C20,SEMANA29[COD],SEMANA29[Columna19],""))</f>
        <v/>
      </c>
      <c r="G20" s="299">
        <f>IFERROR(+F20/E20,"")</f>
        <v/>
      </c>
      <c r="H20" s="300">
        <f>IF(D20="","",_xlfn.XLOOKUP($C20,BASE01[COD],BASE01[Columna29],"")+_xlfn.XLOOKUP($C20,SEMANA2[COD],SEMANA2[Columna29],"")+_xlfn.XLOOKUP($C20,SEMANA29[COD],SEMANA29[Columna29],""))</f>
        <v/>
      </c>
      <c r="I20" s="300">
        <f>IF(D20="","",_xlfn.XLOOKUP($C20,BASE01[COD],BASE01[Columna30],"")+_xlfn.XLOOKUP($C20,SEMANA2[COD],SEMANA2[Columna30],"")+_xlfn.XLOOKUP($C20,SEMANA29[COD],SEMANA29[Columna30],""))</f>
        <v/>
      </c>
      <c r="J20" s="301">
        <f>IFERROR(+I20/H20,"")</f>
        <v/>
      </c>
      <c r="K20" s="302">
        <f>IF(D20="","",_xlfn.XLOOKUP($C20,BASE01[COD],BASE01[Columna32],"")+_xlfn.XLOOKUP($C20,SEMANA2[COD],SEMANA2[Columna32],"")+_xlfn.XLOOKUP($C20,SEMANA29[COD],SEMANA29[Columna32],""))</f>
        <v/>
      </c>
      <c r="L20" s="302">
        <f>IF(D20="","",_xlfn.XLOOKUP($C20,BASE01[COD],BASE01[Columna34],"")+_xlfn.XLOOKUP($C20,SEMANA2[COD],SEMANA2[Columna34],"")+_xlfn.XLOOKUP($C20,SEMANA29[COD],SEMANA29[Columna34],""))</f>
        <v/>
      </c>
      <c r="M20" s="303">
        <f>IFERROR(+L20/K20,"")</f>
        <v/>
      </c>
      <c r="N20" s="304">
        <f>IF(D20="","",_xlfn.XLOOKUP($C20,BASE01[COD],BASE01[Columna36],"")+_xlfn.XLOOKUP($C20,SEMANA2[COD],SEMANA2[Columna36],"")+_xlfn.XLOOKUP($C20,SEMANA29[COD],SEMANA29[Columna36],""))</f>
        <v/>
      </c>
      <c r="O20" s="304">
        <f>IF(D20="","",_xlfn.XLOOKUP($C20,BASE01[COD],BASE01[Columna37],"")+_xlfn.XLOOKUP($C20,SEMANA2[COD],SEMANA2[Columna37],"")+_xlfn.XLOOKUP($C20,SEMANA29[COD],SEMANA29[Columna37],""))</f>
        <v/>
      </c>
      <c r="P20" s="305">
        <f>IFERROR(+O20/N20,0)</f>
        <v/>
      </c>
      <c r="Q20" s="306">
        <f>_xlfn.XLOOKUP(C20,SEMANA29[COD],SEMANA29[Columna33],"")</f>
        <v/>
      </c>
      <c r="R20" s="3" t="n"/>
      <c r="U20" s="393" t="inlineStr">
        <is>
          <t>COD 28</t>
        </is>
      </c>
      <c r="V20" s="393">
        <f>U20</f>
        <v/>
      </c>
    </row>
    <row r="21" ht="23.1" customFormat="1" customHeight="1" s="393">
      <c r="A21" s="295" t="n"/>
      <c r="B21" s="296">
        <f>+B20+1</f>
        <v/>
      </c>
      <c r="C21" s="611" t="inlineStr">
        <is>
          <t>COD 29</t>
        </is>
      </c>
      <c r="D21" s="469">
        <f>_xlfn.XLOOKUP(C21,CODIGOS_Y_PAGOS[CODIGO],CODIGOS_Y_PAGOS[NOMBRE PARTICIPANTE],"")</f>
        <v/>
      </c>
      <c r="E21" s="298">
        <f>IF(D21="","",_xlfn.XLOOKUP($C21,BASE01[COD],BASE01[Columna14],"")+_xlfn.XLOOKUP($C21,SEMANA2[COD],SEMANA2[Columna14],"")+_xlfn.XLOOKUP($C21,SEMANA29[COD],SEMANA29[Columna14],""))</f>
        <v/>
      </c>
      <c r="F21" s="298">
        <f>IF(D21="","",_xlfn.XLOOKUP($C21,BASE01[COD],BASE01[Columna19],"")+_xlfn.XLOOKUP($C21,SEMANA2[COD],SEMANA2[Columna19],"")+_xlfn.XLOOKUP($C21,SEMANA29[COD],SEMANA29[Columna19],""))</f>
        <v/>
      </c>
      <c r="G21" s="299">
        <f>IFERROR(+F21/E21,"")</f>
        <v/>
      </c>
      <c r="H21" s="300">
        <f>IF(D21="","",_xlfn.XLOOKUP($C21,BASE01[COD],BASE01[Columna29],"")+_xlfn.XLOOKUP($C21,SEMANA2[COD],SEMANA2[Columna29],"")+_xlfn.XLOOKUP($C21,SEMANA29[COD],SEMANA29[Columna29],""))</f>
        <v/>
      </c>
      <c r="I21" s="300">
        <f>IF(D21="","",_xlfn.XLOOKUP($C21,BASE01[COD],BASE01[Columna30],"")+_xlfn.XLOOKUP($C21,SEMANA2[COD],SEMANA2[Columna30],"")+_xlfn.XLOOKUP($C21,SEMANA29[COD],SEMANA29[Columna30],""))</f>
        <v/>
      </c>
      <c r="J21" s="301">
        <f>IFERROR(+I21/H21,"")</f>
        <v/>
      </c>
      <c r="K21" s="302">
        <f>IF(D21="","",_xlfn.XLOOKUP($C21,BASE01[COD],BASE01[Columna32],"")+_xlfn.XLOOKUP($C21,SEMANA2[COD],SEMANA2[Columna32],"")+_xlfn.XLOOKUP($C21,SEMANA29[COD],SEMANA29[Columna32],""))</f>
        <v/>
      </c>
      <c r="L21" s="302">
        <f>IF(D21="","",_xlfn.XLOOKUP($C21,BASE01[COD],BASE01[Columna34],"")+_xlfn.XLOOKUP($C21,SEMANA2[COD],SEMANA2[Columna34],"")+_xlfn.XLOOKUP($C21,SEMANA29[COD],SEMANA29[Columna34],""))</f>
        <v/>
      </c>
      <c r="M21" s="303">
        <f>IFERROR(+L21/K21,"")</f>
        <v/>
      </c>
      <c r="N21" s="304">
        <f>IF(D21="","",_xlfn.XLOOKUP($C21,BASE01[COD],BASE01[Columna36],"")+_xlfn.XLOOKUP($C21,SEMANA2[COD],SEMANA2[Columna36],"")+_xlfn.XLOOKUP($C21,SEMANA29[COD],SEMANA29[Columna36],""))</f>
        <v/>
      </c>
      <c r="O21" s="304">
        <f>IF(D21="","",_xlfn.XLOOKUP($C21,BASE01[COD],BASE01[Columna37],"")+_xlfn.XLOOKUP($C21,SEMANA2[COD],SEMANA2[Columna37],"")+_xlfn.XLOOKUP($C21,SEMANA29[COD],SEMANA29[Columna37],""))</f>
        <v/>
      </c>
      <c r="P21" s="305">
        <f>IFERROR(+O21/N21,0)</f>
        <v/>
      </c>
      <c r="Q21" s="306">
        <f>_xlfn.XLOOKUP(C21,SEMANA29[COD],SEMANA29[Columna33],"")</f>
        <v/>
      </c>
      <c r="R21" s="3" t="n"/>
      <c r="U21" s="393" t="inlineStr">
        <is>
          <t>COD 29</t>
        </is>
      </c>
      <c r="V21" s="393">
        <f>U21</f>
        <v/>
      </c>
    </row>
    <row r="22" ht="23.1" customFormat="1" customHeight="1" s="393">
      <c r="A22" s="295" t="n"/>
      <c r="B22" s="296">
        <f>+B21+1</f>
        <v/>
      </c>
      <c r="C22" s="611" t="inlineStr">
        <is>
          <t>COD 34</t>
        </is>
      </c>
      <c r="D22" s="469">
        <f>_xlfn.XLOOKUP(C22,CODIGOS_Y_PAGOS[CODIGO],CODIGOS_Y_PAGOS[NOMBRE PARTICIPANTE],"")</f>
        <v/>
      </c>
      <c r="E22" s="298">
        <f>IF(D22="","",_xlfn.XLOOKUP($C22,BASE01[COD],BASE01[Columna14],"")+_xlfn.XLOOKUP($C22,SEMANA2[COD],SEMANA2[Columna14],"")+_xlfn.XLOOKUP($C22,SEMANA29[COD],SEMANA29[Columna14],""))</f>
        <v/>
      </c>
      <c r="F22" s="298">
        <f>IF(D22="","",_xlfn.XLOOKUP($C22,BASE01[COD],BASE01[Columna19],"")+_xlfn.XLOOKUP($C22,SEMANA2[COD],SEMANA2[Columna19],"")+_xlfn.XLOOKUP($C22,SEMANA29[COD],SEMANA29[Columna19],""))</f>
        <v/>
      </c>
      <c r="G22" s="299">
        <f>IFERROR(+F22/E22,"")</f>
        <v/>
      </c>
      <c r="H22" s="300">
        <f>IF(D22="","",_xlfn.XLOOKUP($C22,BASE01[COD],BASE01[Columna29],"")+_xlfn.XLOOKUP($C22,SEMANA2[COD],SEMANA2[Columna29],"")+_xlfn.XLOOKUP($C22,SEMANA29[COD],SEMANA29[Columna29],""))</f>
        <v/>
      </c>
      <c r="I22" s="300">
        <f>IF(D22="","",_xlfn.XLOOKUP($C22,BASE01[COD],BASE01[Columna30],"")+_xlfn.XLOOKUP($C22,SEMANA2[COD],SEMANA2[Columna30],"")+_xlfn.XLOOKUP($C22,SEMANA29[COD],SEMANA29[Columna30],""))</f>
        <v/>
      </c>
      <c r="J22" s="301">
        <f>IFERROR(+I22/H22,"")</f>
        <v/>
      </c>
      <c r="K22" s="302">
        <f>IF(D22="","",_xlfn.XLOOKUP($C22,BASE01[COD],BASE01[Columna32],"")+_xlfn.XLOOKUP($C22,SEMANA2[COD],SEMANA2[Columna32],"")+_xlfn.XLOOKUP($C22,SEMANA29[COD],SEMANA29[Columna32],""))</f>
        <v/>
      </c>
      <c r="L22" s="302">
        <f>IF(D22="","",_xlfn.XLOOKUP($C22,BASE01[COD],BASE01[Columna34],"")+_xlfn.XLOOKUP($C22,SEMANA2[COD],SEMANA2[Columna34],"")+_xlfn.XLOOKUP($C22,SEMANA29[COD],SEMANA29[Columna34],""))</f>
        <v/>
      </c>
      <c r="M22" s="303">
        <f>IFERROR(+L22/K22,"")</f>
        <v/>
      </c>
      <c r="N22" s="304">
        <f>IF(D22="","",_xlfn.XLOOKUP($C22,BASE01[COD],BASE01[Columna36],"")+_xlfn.XLOOKUP($C22,SEMANA2[COD],SEMANA2[Columna36],"")+_xlfn.XLOOKUP($C22,SEMANA29[COD],SEMANA29[Columna36],""))</f>
        <v/>
      </c>
      <c r="O22" s="304">
        <f>IF(D22="","",_xlfn.XLOOKUP($C22,BASE01[COD],BASE01[Columna37],"")+_xlfn.XLOOKUP($C22,SEMANA2[COD],SEMANA2[Columna37],"")+_xlfn.XLOOKUP($C22,SEMANA29[COD],SEMANA29[Columna37],""))</f>
        <v/>
      </c>
      <c r="P22" s="305">
        <f>IFERROR(+O22/N22,0)</f>
        <v/>
      </c>
      <c r="Q22" s="306">
        <f>_xlfn.XLOOKUP(C22,SEMANA29[COD],SEMANA29[Columna33],"")</f>
        <v/>
      </c>
      <c r="R22" s="3" t="n"/>
      <c r="U22" s="393" t="inlineStr">
        <is>
          <t>COD 34</t>
        </is>
      </c>
      <c r="V22" s="393">
        <f>U22</f>
        <v/>
      </c>
    </row>
    <row r="23" ht="23.1" customFormat="1" customHeight="1" s="393">
      <c r="A23" s="295" t="n"/>
      <c r="B23" s="296">
        <f>+B22+1</f>
        <v/>
      </c>
      <c r="C23" s="611" t="inlineStr">
        <is>
          <t>COD 19</t>
        </is>
      </c>
      <c r="D23" s="469">
        <f>_xlfn.XLOOKUP(C23,CODIGOS_Y_PAGOS[CODIGO],CODIGOS_Y_PAGOS[NOMBRE PARTICIPANTE],"")</f>
        <v/>
      </c>
      <c r="E23" s="298">
        <f>IF(D23="","",_xlfn.XLOOKUP($C23,BASE01[COD],BASE01[Columna14],"")+_xlfn.XLOOKUP($C23,SEMANA2[COD],SEMANA2[Columna14],"")+_xlfn.XLOOKUP($C23,SEMANA29[COD],SEMANA29[Columna14],""))</f>
        <v/>
      </c>
      <c r="F23" s="298">
        <f>IF(D23="","",_xlfn.XLOOKUP($C23,BASE01[COD],BASE01[Columna19],"")+_xlfn.XLOOKUP($C23,SEMANA2[COD],SEMANA2[Columna19],"")+_xlfn.XLOOKUP($C23,SEMANA29[COD],SEMANA29[Columna19],""))</f>
        <v/>
      </c>
      <c r="G23" s="299">
        <f>IFERROR(+F23/E23,"")</f>
        <v/>
      </c>
      <c r="H23" s="300">
        <f>IF(D23="","",_xlfn.XLOOKUP($C23,BASE01[COD],BASE01[Columna29],"")+_xlfn.XLOOKUP($C23,SEMANA2[COD],SEMANA2[Columna29],"")+_xlfn.XLOOKUP($C23,SEMANA29[COD],SEMANA29[Columna29],""))</f>
        <v/>
      </c>
      <c r="I23" s="300">
        <f>IF(D23="","",_xlfn.XLOOKUP($C23,BASE01[COD],BASE01[Columna30],"")+_xlfn.XLOOKUP($C23,SEMANA2[COD],SEMANA2[Columna30],"")+_xlfn.XLOOKUP($C23,SEMANA29[COD],SEMANA29[Columna30],""))</f>
        <v/>
      </c>
      <c r="J23" s="301">
        <f>IFERROR(+I23/H23,"")</f>
        <v/>
      </c>
      <c r="K23" s="302">
        <f>IF(D23="","",_xlfn.XLOOKUP($C23,BASE01[COD],BASE01[Columna32],"")+_xlfn.XLOOKUP($C23,SEMANA2[COD],SEMANA2[Columna32],"")+_xlfn.XLOOKUP($C23,SEMANA29[COD],SEMANA29[Columna32],""))</f>
        <v/>
      </c>
      <c r="L23" s="302">
        <f>IF(D23="","",_xlfn.XLOOKUP($C23,BASE01[COD],BASE01[Columna34],"")+_xlfn.XLOOKUP($C23,SEMANA2[COD],SEMANA2[Columna34],"")+_xlfn.XLOOKUP($C23,SEMANA29[COD],SEMANA29[Columna34],""))</f>
        <v/>
      </c>
      <c r="M23" s="303">
        <f>IFERROR(+L23/K23,"")</f>
        <v/>
      </c>
      <c r="N23" s="304">
        <f>IF(D23="","",_xlfn.XLOOKUP($C23,BASE01[COD],BASE01[Columna36],"")+_xlfn.XLOOKUP($C23,SEMANA2[COD],SEMANA2[Columna36],"")+_xlfn.XLOOKUP($C23,SEMANA29[COD],SEMANA29[Columna36],""))</f>
        <v/>
      </c>
      <c r="O23" s="304">
        <f>IF(D23="","",_xlfn.XLOOKUP($C23,BASE01[COD],BASE01[Columna37],"")+_xlfn.XLOOKUP($C23,SEMANA2[COD],SEMANA2[Columna37],"")+_xlfn.XLOOKUP($C23,SEMANA29[COD],SEMANA29[Columna37],""))</f>
        <v/>
      </c>
      <c r="P23" s="305">
        <f>IFERROR(+O23/N23,0)</f>
        <v/>
      </c>
      <c r="Q23" s="306">
        <f>_xlfn.XLOOKUP(C23,SEMANA29[COD],SEMANA29[Columna33],"")</f>
        <v/>
      </c>
      <c r="R23" s="3" t="n"/>
      <c r="U23" s="393" t="inlineStr">
        <is>
          <t>COD 19</t>
        </is>
      </c>
      <c r="V23" s="393">
        <f>U23</f>
        <v/>
      </c>
    </row>
    <row r="24" ht="23.1" customFormat="1" customHeight="1" s="393">
      <c r="A24" s="295" t="n"/>
      <c r="B24" s="296">
        <f>+B23+1</f>
        <v/>
      </c>
      <c r="C24" s="611" t="inlineStr">
        <is>
          <t>COD 32</t>
        </is>
      </c>
      <c r="D24" s="469">
        <f>_xlfn.XLOOKUP(C24,CODIGOS_Y_PAGOS[CODIGO],CODIGOS_Y_PAGOS[NOMBRE PARTICIPANTE],"")</f>
        <v/>
      </c>
      <c r="E24" s="298">
        <f>IF(D24="","",_xlfn.XLOOKUP($C24,BASE01[COD],BASE01[Columna14],"")+_xlfn.XLOOKUP($C24,SEMANA2[COD],SEMANA2[Columna14],"")+_xlfn.XLOOKUP($C24,SEMANA29[COD],SEMANA29[Columna14],""))</f>
        <v/>
      </c>
      <c r="F24" s="298">
        <f>IF(D24="","",_xlfn.XLOOKUP($C24,BASE01[COD],BASE01[Columna19],"")+_xlfn.XLOOKUP($C24,SEMANA2[COD],SEMANA2[Columna19],"")+_xlfn.XLOOKUP($C24,SEMANA29[COD],SEMANA29[Columna19],""))</f>
        <v/>
      </c>
      <c r="G24" s="299">
        <f>IFERROR(+F24/E24,"")</f>
        <v/>
      </c>
      <c r="H24" s="300">
        <f>IF(D24="","",_xlfn.XLOOKUP($C24,BASE01[COD],BASE01[Columna29],"")+_xlfn.XLOOKUP($C24,SEMANA2[COD],SEMANA2[Columna29],"")+_xlfn.XLOOKUP($C24,SEMANA29[COD],SEMANA29[Columna29],""))</f>
        <v/>
      </c>
      <c r="I24" s="300">
        <f>IF(D24="","",_xlfn.XLOOKUP($C24,BASE01[COD],BASE01[Columna30],"")+_xlfn.XLOOKUP($C24,SEMANA2[COD],SEMANA2[Columna30],"")+_xlfn.XLOOKUP($C24,SEMANA29[COD],SEMANA29[Columna30],""))</f>
        <v/>
      </c>
      <c r="J24" s="301">
        <f>IFERROR(+I24/H24,"")</f>
        <v/>
      </c>
      <c r="K24" s="302">
        <f>IF(D24="","",_xlfn.XLOOKUP($C24,BASE01[COD],BASE01[Columna32],"")+_xlfn.XLOOKUP($C24,SEMANA2[COD],SEMANA2[Columna32],"")+_xlfn.XLOOKUP($C24,SEMANA29[COD],SEMANA29[Columna32],""))</f>
        <v/>
      </c>
      <c r="L24" s="302">
        <f>IF(D24="","",_xlfn.XLOOKUP($C24,BASE01[COD],BASE01[Columna34],"")+_xlfn.XLOOKUP($C24,SEMANA2[COD],SEMANA2[Columna34],"")+_xlfn.XLOOKUP($C24,SEMANA29[COD],SEMANA29[Columna34],""))</f>
        <v/>
      </c>
      <c r="M24" s="303">
        <f>IFERROR(+L24/K24,"")</f>
        <v/>
      </c>
      <c r="N24" s="304">
        <f>IF(D24="","",_xlfn.XLOOKUP($C24,BASE01[COD],BASE01[Columna36],"")+_xlfn.XLOOKUP($C24,SEMANA2[COD],SEMANA2[Columna36],"")+_xlfn.XLOOKUP($C24,SEMANA29[COD],SEMANA29[Columna36],""))</f>
        <v/>
      </c>
      <c r="O24" s="304">
        <f>IF(D24="","",_xlfn.XLOOKUP($C24,BASE01[COD],BASE01[Columna37],"")+_xlfn.XLOOKUP($C24,SEMANA2[COD],SEMANA2[Columna37],"")+_xlfn.XLOOKUP($C24,SEMANA29[COD],SEMANA29[Columna37],""))</f>
        <v/>
      </c>
      <c r="P24" s="305">
        <f>IFERROR(+O24/N24,0)</f>
        <v/>
      </c>
      <c r="Q24" s="306">
        <f>_xlfn.XLOOKUP(C24,SEMANA29[COD],SEMANA29[Columna33],"")</f>
        <v/>
      </c>
      <c r="R24" s="3" t="n"/>
      <c r="U24" s="393" t="inlineStr">
        <is>
          <t>COD 32</t>
        </is>
      </c>
      <c r="V24" s="393">
        <f>U24</f>
        <v/>
      </c>
    </row>
    <row r="25" ht="23.1" customFormat="1" customHeight="1" s="393">
      <c r="A25" s="295" t="n"/>
      <c r="B25" s="307">
        <f>+B24+1</f>
        <v/>
      </c>
      <c r="C25" s="611" t="inlineStr">
        <is>
          <t>COD 04</t>
        </is>
      </c>
      <c r="D25" s="469">
        <f>_xlfn.XLOOKUP(C25,CODIGOS_Y_PAGOS[CODIGO],CODIGOS_Y_PAGOS[NOMBRE PARTICIPANTE],"")</f>
        <v/>
      </c>
      <c r="E25" s="298">
        <f>IF(D25="","",_xlfn.XLOOKUP($C25,BASE01[COD],BASE01[Columna14],"")+_xlfn.XLOOKUP($C25,SEMANA2[COD],SEMANA2[Columna14],"")+_xlfn.XLOOKUP($C25,SEMANA29[COD],SEMANA29[Columna14],""))</f>
        <v/>
      </c>
      <c r="F25" s="298">
        <f>IF(D25="","",_xlfn.XLOOKUP($C25,BASE01[COD],BASE01[Columna19],"")+_xlfn.XLOOKUP($C25,SEMANA2[COD],SEMANA2[Columna19],"")+_xlfn.XLOOKUP($C25,SEMANA29[COD],SEMANA29[Columna19],""))</f>
        <v/>
      </c>
      <c r="G25" s="299">
        <f>IFERROR(+F25/E25,"")</f>
        <v/>
      </c>
      <c r="H25" s="300">
        <f>IF(D25="","",_xlfn.XLOOKUP($C25,BASE01[COD],BASE01[Columna29],"")+_xlfn.XLOOKUP($C25,SEMANA2[COD],SEMANA2[Columna29],"")+_xlfn.XLOOKUP($C25,SEMANA29[COD],SEMANA29[Columna29],""))</f>
        <v/>
      </c>
      <c r="I25" s="300">
        <f>IF(D25="","",_xlfn.XLOOKUP($C25,BASE01[COD],BASE01[Columna30],"")+_xlfn.XLOOKUP($C25,SEMANA2[COD],SEMANA2[Columna30],"")+_xlfn.XLOOKUP($C25,SEMANA29[COD],SEMANA29[Columna30],""))</f>
        <v/>
      </c>
      <c r="J25" s="301">
        <f>IFERROR(+I25/H25,"")</f>
        <v/>
      </c>
      <c r="K25" s="302">
        <f>IF(D25="","",_xlfn.XLOOKUP($C25,BASE01[COD],BASE01[Columna32],"")+_xlfn.XLOOKUP($C25,SEMANA2[COD],SEMANA2[Columna32],"")+_xlfn.XLOOKUP($C25,SEMANA29[COD],SEMANA29[Columna32],""))</f>
        <v/>
      </c>
      <c r="L25" s="302">
        <f>IF(D25="","",_xlfn.XLOOKUP($C25,BASE01[COD],BASE01[Columna34],"")+_xlfn.XLOOKUP($C25,SEMANA2[COD],SEMANA2[Columna34],"")+_xlfn.XLOOKUP($C25,SEMANA29[COD],SEMANA29[Columna34],""))</f>
        <v/>
      </c>
      <c r="M25" s="303">
        <f>IFERROR(+L25/K25,"")</f>
        <v/>
      </c>
      <c r="N25" s="304">
        <f>IF(D25="","",_xlfn.XLOOKUP($C25,BASE01[COD],BASE01[Columna36],"")+_xlfn.XLOOKUP($C25,SEMANA2[COD],SEMANA2[Columna36],"")+_xlfn.XLOOKUP($C25,SEMANA29[COD],SEMANA29[Columna36],""))</f>
        <v/>
      </c>
      <c r="O25" s="304">
        <f>IF(D25="","",_xlfn.XLOOKUP($C25,BASE01[COD],BASE01[Columna37],"")+_xlfn.XLOOKUP($C25,SEMANA2[COD],SEMANA2[Columna37],"")+_xlfn.XLOOKUP($C25,SEMANA29[COD],SEMANA29[Columna37],""))</f>
        <v/>
      </c>
      <c r="P25" s="305">
        <f>IFERROR(+O25/N25,0)</f>
        <v/>
      </c>
      <c r="Q25" s="306">
        <f>_xlfn.XLOOKUP(C25,SEMANA29[COD],SEMANA29[Columna33],"")</f>
        <v/>
      </c>
      <c r="R25" s="3" t="n"/>
      <c r="U25" s="393" t="inlineStr">
        <is>
          <t>COD 04</t>
        </is>
      </c>
      <c r="V25" s="393">
        <f>U25</f>
        <v/>
      </c>
    </row>
    <row r="26" ht="23.1" customFormat="1" customHeight="1" s="393">
      <c r="A26" s="295" t="n"/>
      <c r="B26" s="308">
        <f>+B25+1</f>
        <v/>
      </c>
      <c r="C26" s="611" t="inlineStr">
        <is>
          <t>COD 06</t>
        </is>
      </c>
      <c r="D26" s="469">
        <f>_xlfn.XLOOKUP(C26,CODIGOS_Y_PAGOS[CODIGO],CODIGOS_Y_PAGOS[NOMBRE PARTICIPANTE],"")</f>
        <v/>
      </c>
      <c r="E26" s="298">
        <f>IF(D26="","",_xlfn.XLOOKUP($C26,BASE01[COD],BASE01[Columna14],"")+_xlfn.XLOOKUP($C26,SEMANA2[COD],SEMANA2[Columna14],"")+_xlfn.XLOOKUP($C26,SEMANA29[COD],SEMANA29[Columna14],""))</f>
        <v/>
      </c>
      <c r="F26" s="298">
        <f>IF(D26="","",_xlfn.XLOOKUP($C26,BASE01[COD],BASE01[Columna19],"")+_xlfn.XLOOKUP($C26,SEMANA2[COD],SEMANA2[Columna19],"")+_xlfn.XLOOKUP($C26,SEMANA29[COD],SEMANA29[Columna19],""))</f>
        <v/>
      </c>
      <c r="G26" s="299">
        <f>IFERROR(+F26/E26,"")</f>
        <v/>
      </c>
      <c r="H26" s="300">
        <f>IF(D26="","",_xlfn.XLOOKUP($C26,BASE01[COD],BASE01[Columna29],"")+_xlfn.XLOOKUP($C26,SEMANA2[COD],SEMANA2[Columna29],"")+_xlfn.XLOOKUP($C26,SEMANA29[COD],SEMANA29[Columna29],""))</f>
        <v/>
      </c>
      <c r="I26" s="300">
        <f>IF(D26="","",_xlfn.XLOOKUP($C26,BASE01[COD],BASE01[Columna30],"")+_xlfn.XLOOKUP($C26,SEMANA2[COD],SEMANA2[Columna30],"")+_xlfn.XLOOKUP($C26,SEMANA29[COD],SEMANA29[Columna30],""))</f>
        <v/>
      </c>
      <c r="J26" s="301">
        <f>IFERROR(+I26/H26,"")</f>
        <v/>
      </c>
      <c r="K26" s="302">
        <f>IF(D26="","",_xlfn.XLOOKUP($C26,BASE01[COD],BASE01[Columna32],"")+_xlfn.XLOOKUP($C26,SEMANA2[COD],SEMANA2[Columna32],"")+_xlfn.XLOOKUP($C26,SEMANA29[COD],SEMANA29[Columna32],""))</f>
        <v/>
      </c>
      <c r="L26" s="302">
        <f>IF(D26="","",_xlfn.XLOOKUP($C26,BASE01[COD],BASE01[Columna34],"")+_xlfn.XLOOKUP($C26,SEMANA2[COD],SEMANA2[Columna34],"")+_xlfn.XLOOKUP($C26,SEMANA29[COD],SEMANA29[Columna34],""))</f>
        <v/>
      </c>
      <c r="M26" s="303">
        <f>IFERROR(+L26/K26,"")</f>
        <v/>
      </c>
      <c r="N26" s="304">
        <f>IF(D26="","",_xlfn.XLOOKUP($C26,BASE01[COD],BASE01[Columna36],"")+_xlfn.XLOOKUP($C26,SEMANA2[COD],SEMANA2[Columna36],"")+_xlfn.XLOOKUP($C26,SEMANA29[COD],SEMANA29[Columna36],""))</f>
        <v/>
      </c>
      <c r="O26" s="304">
        <f>IF(D26="","",_xlfn.XLOOKUP($C26,BASE01[COD],BASE01[Columna37],"")+_xlfn.XLOOKUP($C26,SEMANA2[COD],SEMANA2[Columna37],"")+_xlfn.XLOOKUP($C26,SEMANA29[COD],SEMANA29[Columna37],""))</f>
        <v/>
      </c>
      <c r="P26" s="305">
        <f>IFERROR(+O26/N26,0)</f>
        <v/>
      </c>
      <c r="Q26" s="306">
        <f>_xlfn.XLOOKUP(C26,SEMANA29[COD],SEMANA29[Columna33],"")</f>
        <v/>
      </c>
      <c r="R26" s="3" t="n"/>
      <c r="U26" s="393" t="inlineStr">
        <is>
          <t>COD 06</t>
        </is>
      </c>
      <c r="V26" s="393">
        <f>U26</f>
        <v/>
      </c>
    </row>
    <row r="27" ht="23.1" customFormat="1" customHeight="1" s="393">
      <c r="A27" s="295" t="n"/>
      <c r="B27" s="307">
        <f>+B26+1</f>
        <v/>
      </c>
      <c r="C27" s="611" t="inlineStr">
        <is>
          <t>COD 36</t>
        </is>
      </c>
      <c r="D27" s="469">
        <f>_xlfn.XLOOKUP(C27,CODIGOS_Y_PAGOS[CODIGO],CODIGOS_Y_PAGOS[NOMBRE PARTICIPANTE],"")</f>
        <v/>
      </c>
      <c r="E27" s="298">
        <f>IF(D27="","",_xlfn.XLOOKUP($C27,BASE01[COD],BASE01[Columna14],"")+_xlfn.XLOOKUP($C27,SEMANA2[COD],SEMANA2[Columna14],"")+_xlfn.XLOOKUP($C27,SEMANA29[COD],SEMANA29[Columna14],""))</f>
        <v/>
      </c>
      <c r="F27" s="298">
        <f>IF(D27="","",_xlfn.XLOOKUP($C27,BASE01[COD],BASE01[Columna19],"")+_xlfn.XLOOKUP($C27,SEMANA2[COD],SEMANA2[Columna19],"")+_xlfn.XLOOKUP($C27,SEMANA29[COD],SEMANA29[Columna19],""))</f>
        <v/>
      </c>
      <c r="G27" s="299">
        <f>IFERROR(+F27/E27,"")</f>
        <v/>
      </c>
      <c r="H27" s="300">
        <f>IF(D27="","",_xlfn.XLOOKUP($C27,BASE01[COD],BASE01[Columna29],"")+_xlfn.XLOOKUP($C27,SEMANA2[COD],SEMANA2[Columna29],"")+_xlfn.XLOOKUP($C27,SEMANA29[COD],SEMANA29[Columna29],""))</f>
        <v/>
      </c>
      <c r="I27" s="300">
        <f>IF(D27="","",_xlfn.XLOOKUP($C27,BASE01[COD],BASE01[Columna30],"")+_xlfn.XLOOKUP($C27,SEMANA2[COD],SEMANA2[Columna30],"")+_xlfn.XLOOKUP($C27,SEMANA29[COD],SEMANA29[Columna30],""))</f>
        <v/>
      </c>
      <c r="J27" s="301">
        <f>IFERROR(+I27/H27,"")</f>
        <v/>
      </c>
      <c r="K27" s="302">
        <f>IF(D27="","",_xlfn.XLOOKUP($C27,BASE01[COD],BASE01[Columna32],"")+_xlfn.XLOOKUP($C27,SEMANA2[COD],SEMANA2[Columna32],"")+_xlfn.XLOOKUP($C27,SEMANA29[COD],SEMANA29[Columna32],""))</f>
        <v/>
      </c>
      <c r="L27" s="302">
        <f>IF(D27="","",_xlfn.XLOOKUP($C27,BASE01[COD],BASE01[Columna34],"")+_xlfn.XLOOKUP($C27,SEMANA2[COD],SEMANA2[Columna34],"")+_xlfn.XLOOKUP($C27,SEMANA29[COD],SEMANA29[Columna34],""))</f>
        <v/>
      </c>
      <c r="M27" s="303">
        <f>IFERROR(+L27/K27,"")</f>
        <v/>
      </c>
      <c r="N27" s="304">
        <f>IF(D27="","",_xlfn.XLOOKUP($C27,BASE01[COD],BASE01[Columna36],"")+_xlfn.XLOOKUP($C27,SEMANA2[COD],SEMANA2[Columna36],"")+_xlfn.XLOOKUP($C27,SEMANA29[COD],SEMANA29[Columna36],""))</f>
        <v/>
      </c>
      <c r="O27" s="304">
        <f>IF(D27="","",_xlfn.XLOOKUP($C27,BASE01[COD],BASE01[Columna37],"")+_xlfn.XLOOKUP($C27,SEMANA2[COD],SEMANA2[Columna37],"")+_xlfn.XLOOKUP($C27,SEMANA29[COD],SEMANA29[Columna37],""))</f>
        <v/>
      </c>
      <c r="P27" s="305">
        <f>IFERROR(+O27/N27,0)</f>
        <v/>
      </c>
      <c r="Q27" s="306">
        <f>_xlfn.XLOOKUP(C27,SEMANA29[COD],SEMANA29[Columna33],"")</f>
        <v/>
      </c>
      <c r="R27" s="3" t="n"/>
      <c r="U27" s="393" t="inlineStr">
        <is>
          <t>COD 36</t>
        </is>
      </c>
      <c r="V27" s="393">
        <f>U27</f>
        <v/>
      </c>
    </row>
    <row r="28" ht="23.1" customFormat="1" customHeight="1" s="393">
      <c r="A28" s="295" t="n"/>
      <c r="B28" s="307">
        <f>+B27+1</f>
        <v/>
      </c>
      <c r="C28" s="611" t="inlineStr">
        <is>
          <t>COD 37</t>
        </is>
      </c>
      <c r="D28" s="469">
        <f>_xlfn.XLOOKUP(C28,CODIGOS_Y_PAGOS[CODIGO],CODIGOS_Y_PAGOS[NOMBRE PARTICIPANTE],"")</f>
        <v/>
      </c>
      <c r="E28" s="298">
        <f>IF(D28="","",_xlfn.XLOOKUP($C28,BASE01[COD],BASE01[Columna14],"")+_xlfn.XLOOKUP($C28,SEMANA2[COD],SEMANA2[Columna14],"")+_xlfn.XLOOKUP($C28,SEMANA29[COD],SEMANA29[Columna14],""))</f>
        <v/>
      </c>
      <c r="F28" s="298">
        <f>IF(D28="","",_xlfn.XLOOKUP($C28,BASE01[COD],BASE01[Columna19],"")+_xlfn.XLOOKUP($C28,SEMANA2[COD],SEMANA2[Columna19],"")+_xlfn.XLOOKUP($C28,SEMANA29[COD],SEMANA29[Columna19],""))</f>
        <v/>
      </c>
      <c r="G28" s="299">
        <f>IFERROR(+F28/E28,"")</f>
        <v/>
      </c>
      <c r="H28" s="300">
        <f>IF(D28="","",_xlfn.XLOOKUP($C28,BASE01[COD],BASE01[Columna29],"")+_xlfn.XLOOKUP($C28,SEMANA2[COD],SEMANA2[Columna29],"")+_xlfn.XLOOKUP($C28,SEMANA29[COD],SEMANA29[Columna29],""))</f>
        <v/>
      </c>
      <c r="I28" s="300">
        <f>IF(D28="","",_xlfn.XLOOKUP($C28,BASE01[COD],BASE01[Columna30],"")+_xlfn.XLOOKUP($C28,SEMANA2[COD],SEMANA2[Columna30],"")+_xlfn.XLOOKUP($C28,SEMANA29[COD],SEMANA29[Columna30],""))</f>
        <v/>
      </c>
      <c r="J28" s="301">
        <f>IFERROR(+I28/H28,"")</f>
        <v/>
      </c>
      <c r="K28" s="302">
        <f>IF(D28="","",_xlfn.XLOOKUP($C28,BASE01[COD],BASE01[Columna32],"")+_xlfn.XLOOKUP($C28,SEMANA2[COD],SEMANA2[Columna32],"")+_xlfn.XLOOKUP($C28,SEMANA29[COD],SEMANA29[Columna32],""))</f>
        <v/>
      </c>
      <c r="L28" s="302">
        <f>IF(D28="","",_xlfn.XLOOKUP($C28,BASE01[COD],BASE01[Columna34],"")+_xlfn.XLOOKUP($C28,SEMANA2[COD],SEMANA2[Columna34],"")+_xlfn.XLOOKUP($C28,SEMANA29[COD],SEMANA29[Columna34],""))</f>
        <v/>
      </c>
      <c r="M28" s="303">
        <f>IFERROR(+L28/K28,"")</f>
        <v/>
      </c>
      <c r="N28" s="304">
        <f>IF(D28="","",_xlfn.XLOOKUP($C28,BASE01[COD],BASE01[Columna36],"")+_xlfn.XLOOKUP($C28,SEMANA2[COD],SEMANA2[Columna36],"")+_xlfn.XLOOKUP($C28,SEMANA29[COD],SEMANA29[Columna36],""))</f>
        <v/>
      </c>
      <c r="O28" s="304">
        <f>IF(D28="","",_xlfn.XLOOKUP($C28,BASE01[COD],BASE01[Columna37],"")+_xlfn.XLOOKUP($C28,SEMANA2[COD],SEMANA2[Columna37],"")+_xlfn.XLOOKUP($C28,SEMANA29[COD],SEMANA29[Columna37],""))</f>
        <v/>
      </c>
      <c r="P28" s="305">
        <f>IFERROR(+O28/N28,0)</f>
        <v/>
      </c>
      <c r="Q28" s="306">
        <f>_xlfn.XLOOKUP(C28,SEMANA29[COD],SEMANA29[Columna33],"")</f>
        <v/>
      </c>
      <c r="R28" s="3" t="n"/>
      <c r="U28" s="393" t="inlineStr">
        <is>
          <t>COD 37</t>
        </is>
      </c>
      <c r="V28" s="393">
        <f>U28</f>
        <v/>
      </c>
    </row>
    <row r="29" ht="23.1" customFormat="1" customHeight="1" s="393">
      <c r="A29" s="295" t="n"/>
      <c r="B29" s="307">
        <f>+B28+1</f>
        <v/>
      </c>
      <c r="C29" s="611" t="inlineStr">
        <is>
          <t>COD 33</t>
        </is>
      </c>
      <c r="D29" s="469">
        <f>_xlfn.XLOOKUP(C29,CODIGOS_Y_PAGOS[CODIGO],CODIGOS_Y_PAGOS[NOMBRE PARTICIPANTE],"")</f>
        <v/>
      </c>
      <c r="E29" s="298">
        <f>IF(D29="","",_xlfn.XLOOKUP($C29,BASE01[COD],BASE01[Columna14],"")+_xlfn.XLOOKUP($C29,SEMANA2[COD],SEMANA2[Columna14],"")+_xlfn.XLOOKUP($C29,SEMANA29[COD],SEMANA29[Columna14],""))</f>
        <v/>
      </c>
      <c r="F29" s="298">
        <f>IF(D29="","",_xlfn.XLOOKUP($C29,BASE01[COD],BASE01[Columna19],"")+_xlfn.XLOOKUP($C29,SEMANA2[COD],SEMANA2[Columna19],"")+_xlfn.XLOOKUP($C29,SEMANA29[COD],SEMANA29[Columna19],""))</f>
        <v/>
      </c>
      <c r="G29" s="299">
        <f>IFERROR(+F29/E29,"")</f>
        <v/>
      </c>
      <c r="H29" s="300">
        <f>IF(D29="","",_xlfn.XLOOKUP($C29,BASE01[COD],BASE01[Columna29],"")+_xlfn.XLOOKUP($C29,SEMANA2[COD],SEMANA2[Columna29],"")+_xlfn.XLOOKUP($C29,SEMANA29[COD],SEMANA29[Columna29],""))</f>
        <v/>
      </c>
      <c r="I29" s="300">
        <f>IF(D29="","",_xlfn.XLOOKUP($C29,BASE01[COD],BASE01[Columna30],"")+_xlfn.XLOOKUP($C29,SEMANA2[COD],SEMANA2[Columna30],"")+_xlfn.XLOOKUP($C29,SEMANA29[COD],SEMANA29[Columna30],""))</f>
        <v/>
      </c>
      <c r="J29" s="301">
        <f>IFERROR(+I29/H29,"")</f>
        <v/>
      </c>
      <c r="K29" s="302">
        <f>IF(D29="","",_xlfn.XLOOKUP($C29,BASE01[COD],BASE01[Columna32],"")+_xlfn.XLOOKUP($C29,SEMANA2[COD],SEMANA2[Columna32],"")+_xlfn.XLOOKUP($C29,SEMANA29[COD],SEMANA29[Columna32],""))</f>
        <v/>
      </c>
      <c r="L29" s="302">
        <f>IF(D29="","",_xlfn.XLOOKUP($C29,BASE01[COD],BASE01[Columna34],"")+_xlfn.XLOOKUP($C29,SEMANA2[COD],SEMANA2[Columna34],"")+_xlfn.XLOOKUP($C29,SEMANA29[COD],SEMANA29[Columna34],""))</f>
        <v/>
      </c>
      <c r="M29" s="303">
        <f>IFERROR(+L29/K29,"")</f>
        <v/>
      </c>
      <c r="N29" s="304">
        <f>IF(D29="","",_xlfn.XLOOKUP($C29,BASE01[COD],BASE01[Columna36],"")+_xlfn.XLOOKUP($C29,SEMANA2[COD],SEMANA2[Columna36],"")+_xlfn.XLOOKUP($C29,SEMANA29[COD],SEMANA29[Columna36],""))</f>
        <v/>
      </c>
      <c r="O29" s="304">
        <f>IF(D29="","",_xlfn.XLOOKUP($C29,BASE01[COD],BASE01[Columna37],"")+_xlfn.XLOOKUP($C29,SEMANA2[COD],SEMANA2[Columna37],"")+_xlfn.XLOOKUP($C29,SEMANA29[COD],SEMANA29[Columna37],""))</f>
        <v/>
      </c>
      <c r="P29" s="305">
        <f>IFERROR(+O29/N29,0)</f>
        <v/>
      </c>
      <c r="Q29" s="306">
        <f>_xlfn.XLOOKUP(C29,SEMANA29[COD],SEMANA29[Columna33],"")</f>
        <v/>
      </c>
      <c r="R29" s="3" t="n"/>
      <c r="U29" s="393" t="inlineStr">
        <is>
          <t>COD 33</t>
        </is>
      </c>
      <c r="V29" s="393">
        <f>U29</f>
        <v/>
      </c>
    </row>
    <row r="30" ht="23.1" customFormat="1" customHeight="1" s="393">
      <c r="A30" s="295" t="n"/>
      <c r="B30" s="307">
        <f>+B29+1</f>
        <v/>
      </c>
      <c r="C30" s="611" t="inlineStr">
        <is>
          <t>COD 07</t>
        </is>
      </c>
      <c r="D30" s="469">
        <f>_xlfn.XLOOKUP(C30,CODIGOS_Y_PAGOS[CODIGO],CODIGOS_Y_PAGOS[NOMBRE PARTICIPANTE],"")</f>
        <v/>
      </c>
      <c r="E30" s="298">
        <f>IF(D30="","",_xlfn.XLOOKUP($C30,BASE01[COD],BASE01[Columna14],"")+_xlfn.XLOOKUP($C30,SEMANA2[COD],SEMANA2[Columna14],"")+_xlfn.XLOOKUP($C30,SEMANA29[COD],SEMANA29[Columna14],""))</f>
        <v/>
      </c>
      <c r="F30" s="298">
        <f>IF(D30="","",_xlfn.XLOOKUP($C30,BASE01[COD],BASE01[Columna19],"")+_xlfn.XLOOKUP($C30,SEMANA2[COD],SEMANA2[Columna19],"")+_xlfn.XLOOKUP($C30,SEMANA29[COD],SEMANA29[Columna19],""))</f>
        <v/>
      </c>
      <c r="G30" s="299">
        <f>IFERROR(+F30/E30,"")</f>
        <v/>
      </c>
      <c r="H30" s="300">
        <f>IF(D30="","",_xlfn.XLOOKUP($C30,BASE01[COD],BASE01[Columna29],"")+_xlfn.XLOOKUP($C30,SEMANA2[COD],SEMANA2[Columna29],"")+_xlfn.XLOOKUP($C30,SEMANA29[COD],SEMANA29[Columna29],""))</f>
        <v/>
      </c>
      <c r="I30" s="300">
        <f>IF(D30="","",_xlfn.XLOOKUP($C30,BASE01[COD],BASE01[Columna30],"")+_xlfn.XLOOKUP($C30,SEMANA2[COD],SEMANA2[Columna30],"")+_xlfn.XLOOKUP($C30,SEMANA29[COD],SEMANA29[Columna30],""))</f>
        <v/>
      </c>
      <c r="J30" s="301">
        <f>IFERROR(+I30/H30,"")</f>
        <v/>
      </c>
      <c r="K30" s="302">
        <f>IF(D30="","",_xlfn.XLOOKUP($C30,BASE01[COD],BASE01[Columna32],"")+_xlfn.XLOOKUP($C30,SEMANA2[COD],SEMANA2[Columna32],"")+_xlfn.XLOOKUP($C30,SEMANA29[COD],SEMANA29[Columna32],""))</f>
        <v/>
      </c>
      <c r="L30" s="302">
        <f>IF(D30="","",_xlfn.XLOOKUP($C30,BASE01[COD],BASE01[Columna34],"")+_xlfn.XLOOKUP($C30,SEMANA2[COD],SEMANA2[Columna34],"")+_xlfn.XLOOKUP($C30,SEMANA29[COD],SEMANA29[Columna34],""))</f>
        <v/>
      </c>
      <c r="M30" s="303">
        <f>IFERROR(+L30/K30,"")</f>
        <v/>
      </c>
      <c r="N30" s="304">
        <f>IF(D30="","",_xlfn.XLOOKUP($C30,BASE01[COD],BASE01[Columna36],"")+_xlfn.XLOOKUP($C30,SEMANA2[COD],SEMANA2[Columna36],"")+_xlfn.XLOOKUP($C30,SEMANA29[COD],SEMANA29[Columna36],""))</f>
        <v/>
      </c>
      <c r="O30" s="304">
        <f>IF(D30="","",_xlfn.XLOOKUP($C30,BASE01[COD],BASE01[Columna37],"")+_xlfn.XLOOKUP($C30,SEMANA2[COD],SEMANA2[Columna37],"")+_xlfn.XLOOKUP($C30,SEMANA29[COD],SEMANA29[Columna37],""))</f>
        <v/>
      </c>
      <c r="P30" s="305">
        <f>IFERROR(+O30/N30,0)</f>
        <v/>
      </c>
      <c r="Q30" s="306">
        <f>_xlfn.XLOOKUP(C30,SEMANA29[COD],SEMANA29[Columna33],"")</f>
        <v/>
      </c>
      <c r="R30" s="3" t="n"/>
      <c r="U30" s="393" t="inlineStr">
        <is>
          <t>COD 07</t>
        </is>
      </c>
      <c r="V30" s="393">
        <f>U30</f>
        <v/>
      </c>
    </row>
    <row r="31" ht="23.1" customFormat="1" customHeight="1" s="393">
      <c r="A31" s="295" t="n"/>
      <c r="B31" s="307">
        <f>+B30+1</f>
        <v/>
      </c>
      <c r="C31" s="611" t="inlineStr">
        <is>
          <t>COD 31</t>
        </is>
      </c>
      <c r="D31" s="469">
        <f>_xlfn.XLOOKUP(C31,CODIGOS_Y_PAGOS[CODIGO],CODIGOS_Y_PAGOS[NOMBRE PARTICIPANTE],"")</f>
        <v/>
      </c>
      <c r="E31" s="298">
        <f>IF(D31="","",_xlfn.XLOOKUP($C31,BASE01[COD],BASE01[Columna14],"")+_xlfn.XLOOKUP($C31,SEMANA2[COD],SEMANA2[Columna14],"")+_xlfn.XLOOKUP($C31,SEMANA29[COD],SEMANA29[Columna14],""))</f>
        <v/>
      </c>
      <c r="F31" s="298">
        <f>IF(D31="","",_xlfn.XLOOKUP($C31,BASE01[COD],BASE01[Columna19],"")+_xlfn.XLOOKUP($C31,SEMANA2[COD],SEMANA2[Columna19],"")+_xlfn.XLOOKUP($C31,SEMANA29[COD],SEMANA29[Columna19],""))</f>
        <v/>
      </c>
      <c r="G31" s="299">
        <f>IFERROR(+F31/E31,"")</f>
        <v/>
      </c>
      <c r="H31" s="300">
        <f>IF(D31="","",_xlfn.XLOOKUP($C31,BASE01[COD],BASE01[Columna29],"")+_xlfn.XLOOKUP($C31,SEMANA2[COD],SEMANA2[Columna29],"")+_xlfn.XLOOKUP($C31,SEMANA29[COD],SEMANA29[Columna29],""))</f>
        <v/>
      </c>
      <c r="I31" s="300">
        <f>IF(D31="","",_xlfn.XLOOKUP($C31,BASE01[COD],BASE01[Columna30],"")+_xlfn.XLOOKUP($C31,SEMANA2[COD],SEMANA2[Columna30],"")+_xlfn.XLOOKUP($C31,SEMANA29[COD],SEMANA29[Columna30],""))</f>
        <v/>
      </c>
      <c r="J31" s="301">
        <f>IFERROR(+I31/H31,"")</f>
        <v/>
      </c>
      <c r="K31" s="302">
        <f>IF(D31="","",_xlfn.XLOOKUP($C31,BASE01[COD],BASE01[Columna32],"")+_xlfn.XLOOKUP($C31,SEMANA2[COD],SEMANA2[Columna32],"")+_xlfn.XLOOKUP($C31,SEMANA29[COD],SEMANA29[Columna32],""))</f>
        <v/>
      </c>
      <c r="L31" s="302">
        <f>IF(D31="","",_xlfn.XLOOKUP($C31,BASE01[COD],BASE01[Columna34],"")+_xlfn.XLOOKUP($C31,SEMANA2[COD],SEMANA2[Columna34],"")+_xlfn.XLOOKUP($C31,SEMANA29[COD],SEMANA29[Columna34],""))</f>
        <v/>
      </c>
      <c r="M31" s="303">
        <f>IFERROR(+L31/K31,"")</f>
        <v/>
      </c>
      <c r="N31" s="304">
        <f>IF(D31="","",_xlfn.XLOOKUP($C31,BASE01[COD],BASE01[Columna36],"")+_xlfn.XLOOKUP($C31,SEMANA2[COD],SEMANA2[Columna36],"")+_xlfn.XLOOKUP($C31,SEMANA29[COD],SEMANA29[Columna36],""))</f>
        <v/>
      </c>
      <c r="O31" s="304">
        <f>IF(D31="","",_xlfn.XLOOKUP($C31,BASE01[COD],BASE01[Columna37],"")+_xlfn.XLOOKUP($C31,SEMANA2[COD],SEMANA2[Columna37],"")+_xlfn.XLOOKUP($C31,SEMANA29[COD],SEMANA29[Columna37],""))</f>
        <v/>
      </c>
      <c r="P31" s="305">
        <f>IFERROR(+O31/N31,0)</f>
        <v/>
      </c>
      <c r="Q31" s="306">
        <f>_xlfn.XLOOKUP(C31,SEMANA29[COD],SEMANA29[Columna33],"")</f>
        <v/>
      </c>
      <c r="R31" s="3" t="n"/>
      <c r="U31" s="393" t="inlineStr">
        <is>
          <t>COD 31</t>
        </is>
      </c>
      <c r="V31" s="393">
        <f>U31</f>
        <v/>
      </c>
    </row>
    <row r="32" ht="23.1" customFormat="1" customHeight="1" s="393">
      <c r="A32" s="295" t="n"/>
      <c r="B32" s="307">
        <f>+B31+1</f>
        <v/>
      </c>
      <c r="C32" s="611" t="inlineStr">
        <is>
          <t>COD 35</t>
        </is>
      </c>
      <c r="D32" s="469">
        <f>_xlfn.XLOOKUP(C32,CODIGOS_Y_PAGOS[CODIGO],CODIGOS_Y_PAGOS[NOMBRE PARTICIPANTE],"")</f>
        <v/>
      </c>
      <c r="E32" s="298">
        <f>IF(D32="","",_xlfn.XLOOKUP($C32,BASE01[COD],BASE01[Columna14],"")+_xlfn.XLOOKUP($C32,SEMANA2[COD],SEMANA2[Columna14],"")+_xlfn.XLOOKUP($C32,SEMANA29[COD],SEMANA29[Columna14],""))</f>
        <v/>
      </c>
      <c r="F32" s="298">
        <f>IF(D32="","",_xlfn.XLOOKUP($C32,BASE01[COD],BASE01[Columna19],"")+_xlfn.XLOOKUP($C32,SEMANA2[COD],SEMANA2[Columna19],"")+_xlfn.XLOOKUP($C32,SEMANA29[COD],SEMANA29[Columna19],""))</f>
        <v/>
      </c>
      <c r="G32" s="299">
        <f>IFERROR(+F32/E32,"")</f>
        <v/>
      </c>
      <c r="H32" s="300">
        <f>IF(D32="","",_xlfn.XLOOKUP($C32,BASE01[COD],BASE01[Columna29],"")+_xlfn.XLOOKUP($C32,SEMANA2[COD],SEMANA2[Columna29],"")+_xlfn.XLOOKUP($C32,SEMANA29[COD],SEMANA29[Columna29],""))</f>
        <v/>
      </c>
      <c r="I32" s="300">
        <f>IF(D32="","",_xlfn.XLOOKUP($C32,BASE01[COD],BASE01[Columna30],"")+_xlfn.XLOOKUP($C32,SEMANA2[COD],SEMANA2[Columna30],"")+_xlfn.XLOOKUP($C32,SEMANA29[COD],SEMANA29[Columna30],""))</f>
        <v/>
      </c>
      <c r="J32" s="301">
        <f>IFERROR(+I32/H32,"")</f>
        <v/>
      </c>
      <c r="K32" s="302">
        <f>IF(D32="","",_xlfn.XLOOKUP($C32,BASE01[COD],BASE01[Columna32],"")+_xlfn.XLOOKUP($C32,SEMANA2[COD],SEMANA2[Columna32],"")+_xlfn.XLOOKUP($C32,SEMANA29[COD],SEMANA29[Columna32],""))</f>
        <v/>
      </c>
      <c r="L32" s="302">
        <f>IF(D32="","",_xlfn.XLOOKUP($C32,BASE01[COD],BASE01[Columna34],"")+_xlfn.XLOOKUP($C32,SEMANA2[COD],SEMANA2[Columna34],"")+_xlfn.XLOOKUP($C32,SEMANA29[COD],SEMANA29[Columna34],""))</f>
        <v/>
      </c>
      <c r="M32" s="303">
        <f>IFERROR(+L32/K32,"")</f>
        <v/>
      </c>
      <c r="N32" s="304">
        <f>IF(D32="","",_xlfn.XLOOKUP($C32,BASE01[COD],BASE01[Columna36],"")+_xlfn.XLOOKUP($C32,SEMANA2[COD],SEMANA2[Columna36],"")+_xlfn.XLOOKUP($C32,SEMANA29[COD],SEMANA29[Columna36],""))</f>
        <v/>
      </c>
      <c r="O32" s="304">
        <f>IF(D32="","",_xlfn.XLOOKUP($C32,BASE01[COD],BASE01[Columna37],"")+_xlfn.XLOOKUP($C32,SEMANA2[COD],SEMANA2[Columna37],"")+_xlfn.XLOOKUP($C32,SEMANA29[COD],SEMANA29[Columna37],""))</f>
        <v/>
      </c>
      <c r="P32" s="305">
        <f>IFERROR(+O32/N32,0)</f>
        <v/>
      </c>
      <c r="Q32" s="306">
        <f>_xlfn.XLOOKUP(C32,SEMANA29[COD],SEMANA29[Columna33],"")</f>
        <v/>
      </c>
      <c r="R32" s="3" t="n"/>
      <c r="U32" s="393" t="inlineStr">
        <is>
          <t>COD 35</t>
        </is>
      </c>
      <c r="V32" s="393">
        <f>U32</f>
        <v/>
      </c>
    </row>
    <row r="33" ht="23.1" customFormat="1" customHeight="1" s="393">
      <c r="A33" s="295" t="n"/>
      <c r="B33" s="307">
        <f>+B32+1</f>
        <v/>
      </c>
      <c r="C33" s="611" t="inlineStr">
        <is>
          <t>COD 13</t>
        </is>
      </c>
      <c r="D33" s="469">
        <f>_xlfn.XLOOKUP(C33,CODIGOS_Y_PAGOS[CODIGO],CODIGOS_Y_PAGOS[NOMBRE PARTICIPANTE],"")</f>
        <v/>
      </c>
      <c r="E33" s="298">
        <f>IF(D33="","",_xlfn.XLOOKUP($C33,BASE01[COD],BASE01[Columna14],"")+_xlfn.XLOOKUP($C33,SEMANA2[COD],SEMANA2[Columna14],"")+_xlfn.XLOOKUP($C33,SEMANA29[COD],SEMANA29[Columna14],""))</f>
        <v/>
      </c>
      <c r="F33" s="298">
        <f>IF(D33="","",_xlfn.XLOOKUP($C33,BASE01[COD],BASE01[Columna19],"")+_xlfn.XLOOKUP($C33,SEMANA2[COD],SEMANA2[Columna19],"")+_xlfn.XLOOKUP($C33,SEMANA29[COD],SEMANA29[Columna19],""))</f>
        <v/>
      </c>
      <c r="G33" s="299">
        <f>IFERROR(+F33/E33,"")</f>
        <v/>
      </c>
      <c r="H33" s="300">
        <f>IF(D33="","",_xlfn.XLOOKUP($C33,BASE01[COD],BASE01[Columna29],"")+_xlfn.XLOOKUP($C33,SEMANA2[COD],SEMANA2[Columna29],"")+_xlfn.XLOOKUP($C33,SEMANA29[COD],SEMANA29[Columna29],""))</f>
        <v/>
      </c>
      <c r="I33" s="300">
        <f>IF(D33="","",_xlfn.XLOOKUP($C33,BASE01[COD],BASE01[Columna30],"")+_xlfn.XLOOKUP($C33,SEMANA2[COD],SEMANA2[Columna30],"")+_xlfn.XLOOKUP($C33,SEMANA29[COD],SEMANA29[Columna30],""))</f>
        <v/>
      </c>
      <c r="J33" s="301">
        <f>IFERROR(+I33/H33,"")</f>
        <v/>
      </c>
      <c r="K33" s="302">
        <f>IF(D33="","",_xlfn.XLOOKUP($C33,BASE01[COD],BASE01[Columna32],"")+_xlfn.XLOOKUP($C33,SEMANA2[COD],SEMANA2[Columna32],"")+_xlfn.XLOOKUP($C33,SEMANA29[COD],SEMANA29[Columna32],""))</f>
        <v/>
      </c>
      <c r="L33" s="302">
        <f>IF(D33="","",_xlfn.XLOOKUP($C33,BASE01[COD],BASE01[Columna34],"")+_xlfn.XLOOKUP($C33,SEMANA2[COD],SEMANA2[Columna34],"")+_xlfn.XLOOKUP($C33,SEMANA29[COD],SEMANA29[Columna34],""))</f>
        <v/>
      </c>
      <c r="M33" s="303">
        <f>IFERROR(+L33/K33,"")</f>
        <v/>
      </c>
      <c r="N33" s="304">
        <f>IF(D33="","",_xlfn.XLOOKUP($C33,BASE01[COD],BASE01[Columna36],"")+_xlfn.XLOOKUP($C33,SEMANA2[COD],SEMANA2[Columna36],"")+_xlfn.XLOOKUP($C33,SEMANA29[COD],SEMANA29[Columna36],""))</f>
        <v/>
      </c>
      <c r="O33" s="304">
        <f>IF(D33="","",_xlfn.XLOOKUP($C33,BASE01[COD],BASE01[Columna37],"")+_xlfn.XLOOKUP($C33,SEMANA2[COD],SEMANA2[Columna37],"")+_xlfn.XLOOKUP($C33,SEMANA29[COD],SEMANA29[Columna37],""))</f>
        <v/>
      </c>
      <c r="P33" s="305">
        <f>IFERROR(+O33/N33,0)</f>
        <v/>
      </c>
      <c r="Q33" s="306">
        <f>_xlfn.XLOOKUP(C33,SEMANA29[COD],SEMANA29[Columna33],"")</f>
        <v/>
      </c>
      <c r="R33" s="3" t="n"/>
      <c r="U33" s="393" t="inlineStr">
        <is>
          <t>COD 13</t>
        </is>
      </c>
      <c r="V33" s="393">
        <f>U33</f>
        <v/>
      </c>
    </row>
    <row r="34" ht="23.1" customFormat="1" customHeight="1" s="393">
      <c r="A34" s="295" t="n"/>
      <c r="B34" s="307">
        <f>+B33+1</f>
        <v/>
      </c>
      <c r="C34" s="611" t="inlineStr">
        <is>
          <t>COD 14</t>
        </is>
      </c>
      <c r="D34" s="469">
        <f>_xlfn.XLOOKUP(C34,CODIGOS_Y_PAGOS[CODIGO],CODIGOS_Y_PAGOS[NOMBRE PARTICIPANTE],"")</f>
        <v/>
      </c>
      <c r="E34" s="298">
        <f>IF(D34="","",_xlfn.XLOOKUP($C34,BASE01[COD],BASE01[Columna14],"")+_xlfn.XLOOKUP($C34,SEMANA2[COD],SEMANA2[Columna14],"")+_xlfn.XLOOKUP($C34,SEMANA29[COD],SEMANA29[Columna14],""))</f>
        <v/>
      </c>
      <c r="F34" s="298">
        <f>IF(D34="","",_xlfn.XLOOKUP($C34,BASE01[COD],BASE01[Columna19],"")+_xlfn.XLOOKUP($C34,SEMANA2[COD],SEMANA2[Columna19],"")+_xlfn.XLOOKUP($C34,SEMANA29[COD],SEMANA29[Columna19],""))</f>
        <v/>
      </c>
      <c r="G34" s="299">
        <f>IFERROR(+F34/E34,"")</f>
        <v/>
      </c>
      <c r="H34" s="300">
        <f>IF(D34="","",_xlfn.XLOOKUP($C34,BASE01[COD],BASE01[Columna29],"")+_xlfn.XLOOKUP($C34,SEMANA2[COD],SEMANA2[Columna29],"")+_xlfn.XLOOKUP($C34,SEMANA29[COD],SEMANA29[Columna29],""))</f>
        <v/>
      </c>
      <c r="I34" s="300">
        <f>IF(D34="","",_xlfn.XLOOKUP($C34,BASE01[COD],BASE01[Columna30],"")+_xlfn.XLOOKUP($C34,SEMANA2[COD],SEMANA2[Columna30],"")+_xlfn.XLOOKUP($C34,SEMANA29[COD],SEMANA29[Columna30],""))</f>
        <v/>
      </c>
      <c r="J34" s="301">
        <f>IFERROR(+I34/H34,"")</f>
        <v/>
      </c>
      <c r="K34" s="302">
        <f>IF(D34="","",_xlfn.XLOOKUP($C34,BASE01[COD],BASE01[Columna32],"")+_xlfn.XLOOKUP($C34,SEMANA2[COD],SEMANA2[Columna32],"")+_xlfn.XLOOKUP($C34,SEMANA29[COD],SEMANA29[Columna32],""))</f>
        <v/>
      </c>
      <c r="L34" s="302">
        <f>IF(D34="","",_xlfn.XLOOKUP($C34,BASE01[COD],BASE01[Columna34],"")+_xlfn.XLOOKUP($C34,SEMANA2[COD],SEMANA2[Columna34],"")+_xlfn.XLOOKUP($C34,SEMANA29[COD],SEMANA29[Columna34],""))</f>
        <v/>
      </c>
      <c r="M34" s="303">
        <f>IFERROR(+L34/K34,"")</f>
        <v/>
      </c>
      <c r="N34" s="304">
        <f>IF(D34="","",_xlfn.XLOOKUP($C34,BASE01[COD],BASE01[Columna36],"")+_xlfn.XLOOKUP($C34,SEMANA2[COD],SEMANA2[Columna36],"")+_xlfn.XLOOKUP($C34,SEMANA29[COD],SEMANA29[Columna36],""))</f>
        <v/>
      </c>
      <c r="O34" s="304">
        <f>IF(D34="","",_xlfn.XLOOKUP($C34,BASE01[COD],BASE01[Columna37],"")+_xlfn.XLOOKUP($C34,SEMANA2[COD],SEMANA2[Columna37],"")+_xlfn.XLOOKUP($C34,SEMANA29[COD],SEMANA29[Columna37],""))</f>
        <v/>
      </c>
      <c r="P34" s="305">
        <f>IFERROR(+O34/N34,0)</f>
        <v/>
      </c>
      <c r="Q34" s="306">
        <f>_xlfn.XLOOKUP(C34,SEMANA29[COD],SEMANA29[Columna33],"")</f>
        <v/>
      </c>
      <c r="R34" s="3" t="n"/>
      <c r="U34" s="393" t="inlineStr">
        <is>
          <t>COD 14</t>
        </is>
      </c>
      <c r="V34" s="393">
        <f>U34</f>
        <v/>
      </c>
    </row>
    <row r="35" ht="23.1" customFormat="1" customHeight="1" s="393">
      <c r="A35" s="295" t="n"/>
      <c r="B35" s="307">
        <f>+B34+1</f>
        <v/>
      </c>
      <c r="C35" s="611" t="inlineStr">
        <is>
          <t>COD 17</t>
        </is>
      </c>
      <c r="D35" s="469">
        <f>_xlfn.XLOOKUP(C35,CODIGOS_Y_PAGOS[CODIGO],CODIGOS_Y_PAGOS[NOMBRE PARTICIPANTE],"")</f>
        <v/>
      </c>
      <c r="E35" s="298">
        <f>IF(D35="","",_xlfn.XLOOKUP($C35,BASE01[COD],BASE01[Columna14],"")+_xlfn.XLOOKUP($C35,SEMANA2[COD],SEMANA2[Columna14],"")+_xlfn.XLOOKUP($C35,SEMANA29[COD],SEMANA29[Columna14],""))</f>
        <v/>
      </c>
      <c r="F35" s="298">
        <f>IF(D35="","",_xlfn.XLOOKUP($C35,BASE01[COD],BASE01[Columna19],"")+_xlfn.XLOOKUP($C35,SEMANA2[COD],SEMANA2[Columna19],"")+_xlfn.XLOOKUP($C35,SEMANA29[COD],SEMANA29[Columna19],""))</f>
        <v/>
      </c>
      <c r="G35" s="299">
        <f>IFERROR(+F35/E35,"")</f>
        <v/>
      </c>
      <c r="H35" s="300">
        <f>IF(D35="","",_xlfn.XLOOKUP($C35,BASE01[COD],BASE01[Columna29],"")+_xlfn.XLOOKUP($C35,SEMANA2[COD],SEMANA2[Columna29],"")+_xlfn.XLOOKUP($C35,SEMANA29[COD],SEMANA29[Columna29],""))</f>
        <v/>
      </c>
      <c r="I35" s="300">
        <f>IF(D35="","",_xlfn.XLOOKUP($C35,BASE01[COD],BASE01[Columna30],"")+_xlfn.XLOOKUP($C35,SEMANA2[COD],SEMANA2[Columna30],"")+_xlfn.XLOOKUP($C35,SEMANA29[COD],SEMANA29[Columna30],""))</f>
        <v/>
      </c>
      <c r="J35" s="301">
        <f>IFERROR(+I35/H35,"")</f>
        <v/>
      </c>
      <c r="K35" s="302">
        <f>IF(D35="","",_xlfn.XLOOKUP($C35,BASE01[COD],BASE01[Columna32],"")+_xlfn.XLOOKUP($C35,SEMANA2[COD],SEMANA2[Columna32],"")+_xlfn.XLOOKUP($C35,SEMANA29[COD],SEMANA29[Columna32],""))</f>
        <v/>
      </c>
      <c r="L35" s="302">
        <f>IF(D35="","",_xlfn.XLOOKUP($C35,BASE01[COD],BASE01[Columna34],"")+_xlfn.XLOOKUP($C35,SEMANA2[COD],SEMANA2[Columna34],"")+_xlfn.XLOOKUP($C35,SEMANA29[COD],SEMANA29[Columna34],""))</f>
        <v/>
      </c>
      <c r="M35" s="303">
        <f>IFERROR(+L35/K35,"")</f>
        <v/>
      </c>
      <c r="N35" s="304">
        <f>IF(D35="","",_xlfn.XLOOKUP($C35,BASE01[COD],BASE01[Columna36],"")+_xlfn.XLOOKUP($C35,SEMANA2[COD],SEMANA2[Columna36],"")+_xlfn.XLOOKUP($C35,SEMANA29[COD],SEMANA29[Columna36],""))</f>
        <v/>
      </c>
      <c r="O35" s="304">
        <f>IF(D35="","",_xlfn.XLOOKUP($C35,BASE01[COD],BASE01[Columna37],"")+_xlfn.XLOOKUP($C35,SEMANA2[COD],SEMANA2[Columna37],"")+_xlfn.XLOOKUP($C35,SEMANA29[COD],SEMANA29[Columna37],""))</f>
        <v/>
      </c>
      <c r="P35" s="305">
        <f>IFERROR(+O35/N35,0)</f>
        <v/>
      </c>
      <c r="Q35" s="306">
        <f>_xlfn.XLOOKUP(C35,SEMANA29[COD],SEMANA29[Columna33],"")</f>
        <v/>
      </c>
      <c r="R35" s="3" t="n"/>
      <c r="U35" s="393" t="inlineStr">
        <is>
          <t>COD 17</t>
        </is>
      </c>
      <c r="V35" s="393">
        <f>U35</f>
        <v/>
      </c>
    </row>
    <row r="36" ht="23.1" customFormat="1" customHeight="1" s="393">
      <c r="A36" s="295" t="n"/>
      <c r="B36" s="307">
        <f>+B35+1</f>
        <v/>
      </c>
      <c r="C36" s="611" t="inlineStr">
        <is>
          <t>COD 18</t>
        </is>
      </c>
      <c r="D36" s="469">
        <f>_xlfn.XLOOKUP(C36,CODIGOS_Y_PAGOS[CODIGO],CODIGOS_Y_PAGOS[NOMBRE PARTICIPANTE],"")</f>
        <v/>
      </c>
      <c r="E36" s="298">
        <f>IF(D36="","",_xlfn.XLOOKUP($C36,BASE01[COD],BASE01[Columna14],"")+_xlfn.XLOOKUP($C36,SEMANA2[COD],SEMANA2[Columna14],"")+_xlfn.XLOOKUP($C36,SEMANA29[COD],SEMANA29[Columna14],""))</f>
        <v/>
      </c>
      <c r="F36" s="298">
        <f>IF(D36="","",_xlfn.XLOOKUP($C36,BASE01[COD],BASE01[Columna19],"")+_xlfn.XLOOKUP($C36,SEMANA2[COD],SEMANA2[Columna19],"")+_xlfn.XLOOKUP($C36,SEMANA29[COD],SEMANA29[Columna19],""))</f>
        <v/>
      </c>
      <c r="G36" s="299">
        <f>IFERROR(+F36/E36,"")</f>
        <v/>
      </c>
      <c r="H36" s="300">
        <f>IF(D36="","",_xlfn.XLOOKUP($C36,BASE01[COD],BASE01[Columna29],"")+_xlfn.XLOOKUP($C36,SEMANA2[COD],SEMANA2[Columna29],"")+_xlfn.XLOOKUP($C36,SEMANA29[COD],SEMANA29[Columna29],""))</f>
        <v/>
      </c>
      <c r="I36" s="300">
        <f>IF(D36="","",_xlfn.XLOOKUP($C36,BASE01[COD],BASE01[Columna30],"")+_xlfn.XLOOKUP($C36,SEMANA2[COD],SEMANA2[Columna30],"")+_xlfn.XLOOKUP($C36,SEMANA29[COD],SEMANA29[Columna30],""))</f>
        <v/>
      </c>
      <c r="J36" s="301">
        <f>IFERROR(+I36/H36,"")</f>
        <v/>
      </c>
      <c r="K36" s="302">
        <f>IF(D36="","",_xlfn.XLOOKUP($C36,BASE01[COD],BASE01[Columna32],"")+_xlfn.XLOOKUP($C36,SEMANA2[COD],SEMANA2[Columna32],"")+_xlfn.XLOOKUP($C36,SEMANA29[COD],SEMANA29[Columna32],""))</f>
        <v/>
      </c>
      <c r="L36" s="302">
        <f>IF(D36="","",_xlfn.XLOOKUP($C36,BASE01[COD],BASE01[Columna34],"")+_xlfn.XLOOKUP($C36,SEMANA2[COD],SEMANA2[Columna34],"")+_xlfn.XLOOKUP($C36,SEMANA29[COD],SEMANA29[Columna34],""))</f>
        <v/>
      </c>
      <c r="M36" s="303">
        <f>IFERROR(+L36/K36,"")</f>
        <v/>
      </c>
      <c r="N36" s="304">
        <f>IF(D36="","",_xlfn.XLOOKUP($C36,BASE01[COD],BASE01[Columna36],"")+_xlfn.XLOOKUP($C36,SEMANA2[COD],SEMANA2[Columna36],"")+_xlfn.XLOOKUP($C36,SEMANA29[COD],SEMANA29[Columna36],""))</f>
        <v/>
      </c>
      <c r="O36" s="304">
        <f>IF(D36="","",_xlfn.XLOOKUP($C36,BASE01[COD],BASE01[Columna37],"")+_xlfn.XLOOKUP($C36,SEMANA2[COD],SEMANA2[Columna37],"")+_xlfn.XLOOKUP($C36,SEMANA29[COD],SEMANA29[Columna37],""))</f>
        <v/>
      </c>
      <c r="P36" s="305">
        <f>IFERROR(+O36/N36,0)</f>
        <v/>
      </c>
      <c r="Q36" s="306">
        <f>_xlfn.XLOOKUP(C36,SEMANA29[COD],SEMANA29[Columna33],"")</f>
        <v/>
      </c>
      <c r="R36" s="3" t="n"/>
      <c r="U36" s="393" t="inlineStr">
        <is>
          <t>COD 18</t>
        </is>
      </c>
      <c r="V36" s="393">
        <f>U36</f>
        <v/>
      </c>
    </row>
    <row r="37" ht="23.1" customFormat="1" customHeight="1" s="393">
      <c r="A37" s="295" t="n"/>
      <c r="B37" s="307">
        <f>+B36+1</f>
        <v/>
      </c>
      <c r="C37" s="611" t="inlineStr">
        <is>
          <t>COD 20</t>
        </is>
      </c>
      <c r="D37" s="469">
        <f>_xlfn.XLOOKUP(C37,CODIGOS_Y_PAGOS[CODIGO],CODIGOS_Y_PAGOS[NOMBRE PARTICIPANTE],"")</f>
        <v/>
      </c>
      <c r="E37" s="298">
        <f>IF(D37="","",_xlfn.XLOOKUP($C37,BASE01[COD],BASE01[Columna14],"")+_xlfn.XLOOKUP($C37,SEMANA2[COD],SEMANA2[Columna14],"")+_xlfn.XLOOKUP($C37,SEMANA29[COD],SEMANA29[Columna14],""))</f>
        <v/>
      </c>
      <c r="F37" s="298">
        <f>IF(D37="","",_xlfn.XLOOKUP($C37,BASE01[COD],BASE01[Columna19],"")+_xlfn.XLOOKUP($C37,SEMANA2[COD],SEMANA2[Columna19],"")+_xlfn.XLOOKUP($C37,SEMANA29[COD],SEMANA29[Columna19],""))</f>
        <v/>
      </c>
      <c r="G37" s="299">
        <f>IFERROR(+F37/E37,"")</f>
        <v/>
      </c>
      <c r="H37" s="300">
        <f>IF(D37="","",_xlfn.XLOOKUP($C37,BASE01[COD],BASE01[Columna29],"")+_xlfn.XLOOKUP($C37,SEMANA2[COD],SEMANA2[Columna29],"")+_xlfn.XLOOKUP($C37,SEMANA29[COD],SEMANA29[Columna29],""))</f>
        <v/>
      </c>
      <c r="I37" s="300">
        <f>IF(D37="","",_xlfn.XLOOKUP($C37,BASE01[COD],BASE01[Columna30],"")+_xlfn.XLOOKUP($C37,SEMANA2[COD],SEMANA2[Columna30],"")+_xlfn.XLOOKUP($C37,SEMANA29[COD],SEMANA29[Columna30],""))</f>
        <v/>
      </c>
      <c r="J37" s="301">
        <f>IFERROR(+I37/H37,"")</f>
        <v/>
      </c>
      <c r="K37" s="302">
        <f>IF(D37="","",_xlfn.XLOOKUP($C37,BASE01[COD],BASE01[Columna32],"")+_xlfn.XLOOKUP($C37,SEMANA2[COD],SEMANA2[Columna32],"")+_xlfn.XLOOKUP($C37,SEMANA29[COD],SEMANA29[Columna32],""))</f>
        <v/>
      </c>
      <c r="L37" s="302">
        <f>IF(D37="","",_xlfn.XLOOKUP($C37,BASE01[COD],BASE01[Columna34],"")+_xlfn.XLOOKUP($C37,SEMANA2[COD],SEMANA2[Columna34],"")+_xlfn.XLOOKUP($C37,SEMANA29[COD],SEMANA29[Columna34],""))</f>
        <v/>
      </c>
      <c r="M37" s="303">
        <f>IFERROR(+L37/K37,"")</f>
        <v/>
      </c>
      <c r="N37" s="304">
        <f>IF(D37="","",_xlfn.XLOOKUP($C37,BASE01[COD],BASE01[Columna36],"")+_xlfn.XLOOKUP($C37,SEMANA2[COD],SEMANA2[Columna36],"")+_xlfn.XLOOKUP($C37,SEMANA29[COD],SEMANA29[Columna36],""))</f>
        <v/>
      </c>
      <c r="O37" s="304">
        <f>IF(D37="","",_xlfn.XLOOKUP($C37,BASE01[COD],BASE01[Columna37],"")+_xlfn.XLOOKUP($C37,SEMANA2[COD],SEMANA2[Columna37],"")+_xlfn.XLOOKUP($C37,SEMANA29[COD],SEMANA29[Columna37],""))</f>
        <v/>
      </c>
      <c r="P37" s="305">
        <f>IFERROR(+O37/N37,0)</f>
        <v/>
      </c>
      <c r="Q37" s="306">
        <f>_xlfn.XLOOKUP(C37,SEMANA29[COD],SEMANA29[Columna33],"")</f>
        <v/>
      </c>
      <c r="R37" s="3" t="n"/>
      <c r="U37" s="393" t="inlineStr">
        <is>
          <t>COD 20</t>
        </is>
      </c>
      <c r="V37" s="393">
        <f>U37</f>
        <v/>
      </c>
    </row>
    <row r="38" ht="23.1" customFormat="1" customHeight="1" s="393">
      <c r="A38" s="295" t="n"/>
      <c r="B38" s="307">
        <f>+B37+1</f>
        <v/>
      </c>
      <c r="C38" s="611" t="inlineStr">
        <is>
          <t>COD 26</t>
        </is>
      </c>
      <c r="D38" s="469">
        <f>_xlfn.XLOOKUP(C38,CODIGOS_Y_PAGOS[CODIGO],CODIGOS_Y_PAGOS[NOMBRE PARTICIPANTE],"")</f>
        <v/>
      </c>
      <c r="E38" s="298">
        <f>IF(D38="","",_xlfn.XLOOKUP($C38,BASE01[COD],BASE01[Columna14],"")+_xlfn.XLOOKUP($C38,SEMANA2[COD],SEMANA2[Columna14],"")+_xlfn.XLOOKUP($C38,SEMANA29[COD],SEMANA29[Columna14],""))</f>
        <v/>
      </c>
      <c r="F38" s="298">
        <f>IF(D38="","",_xlfn.XLOOKUP($C38,BASE01[COD],BASE01[Columna19],"")+_xlfn.XLOOKUP($C38,SEMANA2[COD],SEMANA2[Columna19],"")+_xlfn.XLOOKUP($C38,SEMANA29[COD],SEMANA29[Columna19],""))</f>
        <v/>
      </c>
      <c r="G38" s="299">
        <f>IFERROR(+F38/E38,"")</f>
        <v/>
      </c>
      <c r="H38" s="300">
        <f>IF(D38="","",_xlfn.XLOOKUP($C38,BASE01[COD],BASE01[Columna29],"")+_xlfn.XLOOKUP($C38,SEMANA2[COD],SEMANA2[Columna29],"")+_xlfn.XLOOKUP($C38,SEMANA29[COD],SEMANA29[Columna29],""))</f>
        <v/>
      </c>
      <c r="I38" s="300">
        <f>IF(D38="","",_xlfn.XLOOKUP($C38,BASE01[COD],BASE01[Columna30],"")+_xlfn.XLOOKUP($C38,SEMANA2[COD],SEMANA2[Columna30],"")+_xlfn.XLOOKUP($C38,SEMANA29[COD],SEMANA29[Columna30],""))</f>
        <v/>
      </c>
      <c r="J38" s="301">
        <f>IFERROR(+I38/H38,"")</f>
        <v/>
      </c>
      <c r="K38" s="302">
        <f>IF(D38="","",_xlfn.XLOOKUP($C38,BASE01[COD],BASE01[Columna32],"")+_xlfn.XLOOKUP($C38,SEMANA2[COD],SEMANA2[Columna32],"")+_xlfn.XLOOKUP($C38,SEMANA29[COD],SEMANA29[Columna32],""))</f>
        <v/>
      </c>
      <c r="L38" s="302">
        <f>IF(D38="","",_xlfn.XLOOKUP($C38,BASE01[COD],BASE01[Columna34],"")+_xlfn.XLOOKUP($C38,SEMANA2[COD],SEMANA2[Columna34],"")+_xlfn.XLOOKUP($C38,SEMANA29[COD],SEMANA29[Columna34],""))</f>
        <v/>
      </c>
      <c r="M38" s="303">
        <f>IFERROR(+L38/K38,"")</f>
        <v/>
      </c>
      <c r="N38" s="304">
        <f>IF(D38="","",_xlfn.XLOOKUP($C38,BASE01[COD],BASE01[Columna36],"")+_xlfn.XLOOKUP($C38,SEMANA2[COD],SEMANA2[Columna36],"")+_xlfn.XLOOKUP($C38,SEMANA29[COD],SEMANA29[Columna36],""))</f>
        <v/>
      </c>
      <c r="O38" s="304">
        <f>IF(D38="","",_xlfn.XLOOKUP($C38,BASE01[COD],BASE01[Columna37],"")+_xlfn.XLOOKUP($C38,SEMANA2[COD],SEMANA2[Columna37],"")+_xlfn.XLOOKUP($C38,SEMANA29[COD],SEMANA29[Columna37],""))</f>
        <v/>
      </c>
      <c r="P38" s="305">
        <f>IFERROR(+O38/N38,0)</f>
        <v/>
      </c>
      <c r="Q38" s="306">
        <f>_xlfn.XLOOKUP(C38,SEMANA29[COD],SEMANA29[Columna33],"")</f>
        <v/>
      </c>
      <c r="R38" s="3" t="n"/>
      <c r="U38" s="393" t="inlineStr">
        <is>
          <t>COD 26</t>
        </is>
      </c>
      <c r="V38" s="393">
        <f>U38</f>
        <v/>
      </c>
    </row>
    <row r="39" ht="23.1" customFormat="1" customHeight="1" s="393">
      <c r="A39" s="295" t="n"/>
      <c r="B39" s="307">
        <f>+B38+1</f>
        <v/>
      </c>
      <c r="C39" s="611" t="inlineStr">
        <is>
          <t>COD 12</t>
        </is>
      </c>
      <c r="D39" s="469">
        <f>_xlfn.XLOOKUP(C39,CODIGOS_Y_PAGOS[CODIGO],CODIGOS_Y_PAGOS[NOMBRE PARTICIPANTE],"")</f>
        <v/>
      </c>
      <c r="E39" s="298">
        <f>IF(D39="","",_xlfn.XLOOKUP($C39,BASE01[COD],BASE01[Columna14],"")+_xlfn.XLOOKUP($C39,SEMANA2[COD],SEMANA2[Columna14],"")+_xlfn.XLOOKUP($C39,SEMANA29[COD],SEMANA29[Columna14],""))</f>
        <v/>
      </c>
      <c r="F39" s="298">
        <f>IF(D39="","",_xlfn.XLOOKUP($C39,BASE01[COD],BASE01[Columna19],"")+_xlfn.XLOOKUP($C39,SEMANA2[COD],SEMANA2[Columna19],"")+_xlfn.XLOOKUP($C39,SEMANA29[COD],SEMANA29[Columna19],""))</f>
        <v/>
      </c>
      <c r="G39" s="299">
        <f>IFERROR(+F39/E39,"")</f>
        <v/>
      </c>
      <c r="H39" s="300">
        <f>IF(D39="","",_xlfn.XLOOKUP($C39,BASE01[COD],BASE01[Columna29],"")+_xlfn.XLOOKUP($C39,SEMANA2[COD],SEMANA2[Columna29],"")+_xlfn.XLOOKUP($C39,SEMANA29[COD],SEMANA29[Columna29],""))</f>
        <v/>
      </c>
      <c r="I39" s="300">
        <f>IF(D39="","",_xlfn.XLOOKUP($C39,BASE01[COD],BASE01[Columna30],"")+_xlfn.XLOOKUP($C39,SEMANA2[COD],SEMANA2[Columna30],"")+_xlfn.XLOOKUP($C39,SEMANA29[COD],SEMANA29[Columna30],""))</f>
        <v/>
      </c>
      <c r="J39" s="301">
        <f>IFERROR(+I39/H39,"")</f>
        <v/>
      </c>
      <c r="K39" s="302">
        <f>IF(D39="","",_xlfn.XLOOKUP($C39,BASE01[COD],BASE01[Columna32],"")+_xlfn.XLOOKUP($C39,SEMANA2[COD],SEMANA2[Columna32],"")+_xlfn.XLOOKUP($C39,SEMANA29[COD],SEMANA29[Columna32],""))</f>
        <v/>
      </c>
      <c r="L39" s="302">
        <f>IF(D39="","",_xlfn.XLOOKUP($C39,BASE01[COD],BASE01[Columna34],"")+_xlfn.XLOOKUP($C39,SEMANA2[COD],SEMANA2[Columna34],"")+_xlfn.XLOOKUP($C39,SEMANA29[COD],SEMANA29[Columna34],""))</f>
        <v/>
      </c>
      <c r="M39" s="303">
        <f>IFERROR(+L39/K39,"")</f>
        <v/>
      </c>
      <c r="N39" s="304">
        <f>IF(D39="","",_xlfn.XLOOKUP($C39,BASE01[COD],BASE01[Columna36],"")+_xlfn.XLOOKUP($C39,SEMANA2[COD],SEMANA2[Columna36],"")+_xlfn.XLOOKUP($C39,SEMANA29[COD],SEMANA29[Columna36],""))</f>
        <v/>
      </c>
      <c r="O39" s="304">
        <f>IF(D39="","",_xlfn.XLOOKUP($C39,BASE01[COD],BASE01[Columna37],"")+_xlfn.XLOOKUP($C39,SEMANA2[COD],SEMANA2[Columna37],"")+_xlfn.XLOOKUP($C39,SEMANA29[COD],SEMANA29[Columna37],""))</f>
        <v/>
      </c>
      <c r="P39" s="305">
        <f>IFERROR(+O39/N39,0)</f>
        <v/>
      </c>
      <c r="Q39" s="306">
        <f>_xlfn.XLOOKUP(C39,SEMANA29[COD],SEMANA29[Columna33],"")</f>
        <v/>
      </c>
      <c r="R39" s="3" t="n"/>
      <c r="U39" s="393" t="inlineStr">
        <is>
          <t>COD 12</t>
        </is>
      </c>
      <c r="V39" s="393">
        <f>U39</f>
        <v/>
      </c>
    </row>
    <row r="40" ht="23.1" customFormat="1" customHeight="1" s="393">
      <c r="A40" s="295" t="n"/>
      <c r="B40" s="307">
        <f>+B39+1</f>
        <v/>
      </c>
      <c r="C40" s="611" t="inlineStr">
        <is>
          <t>COD 38</t>
        </is>
      </c>
      <c r="D40" s="469">
        <f>_xlfn.XLOOKUP(C40,CODIGOS_Y_PAGOS[CODIGO],CODIGOS_Y_PAGOS[NOMBRE PARTICIPANTE],"")</f>
        <v/>
      </c>
      <c r="E40" s="298">
        <f>IF(D40="","",_xlfn.XLOOKUP($C40,BASE01[COD],BASE01[Columna14],"")+_xlfn.XLOOKUP($C40,SEMANA2[COD],SEMANA2[Columna14],"")+_xlfn.XLOOKUP($C40,SEMANA29[COD],SEMANA29[Columna14],""))</f>
        <v/>
      </c>
      <c r="F40" s="298">
        <f>IF(D40="","",_xlfn.XLOOKUP($C40,BASE01[COD],BASE01[Columna19],"")+_xlfn.XLOOKUP($C40,SEMANA2[COD],SEMANA2[Columna19],"")+_xlfn.XLOOKUP($C40,SEMANA29[COD],SEMANA29[Columna19],""))</f>
        <v/>
      </c>
      <c r="G40" s="299">
        <f>IFERROR(+F40/E40,"")</f>
        <v/>
      </c>
      <c r="H40" s="300">
        <f>IF(D40="","",_xlfn.XLOOKUP($C40,BASE01[COD],BASE01[Columna29],"")+_xlfn.XLOOKUP($C40,SEMANA2[COD],SEMANA2[Columna29],"")+_xlfn.XLOOKUP($C40,SEMANA29[COD],SEMANA29[Columna29],""))</f>
        <v/>
      </c>
      <c r="I40" s="300">
        <f>IF(D40="","",_xlfn.XLOOKUP($C40,BASE01[COD],BASE01[Columna30],"")+_xlfn.XLOOKUP($C40,SEMANA2[COD],SEMANA2[Columna30],"")+_xlfn.XLOOKUP($C40,SEMANA29[COD],SEMANA29[Columna30],""))</f>
        <v/>
      </c>
      <c r="J40" s="301">
        <f>IFERROR(+I40/H40,"")</f>
        <v/>
      </c>
      <c r="K40" s="302">
        <f>IF(D40="","",_xlfn.XLOOKUP($C40,BASE01[COD],BASE01[Columna32],"")+_xlfn.XLOOKUP($C40,SEMANA2[COD],SEMANA2[Columna32],"")+_xlfn.XLOOKUP($C40,SEMANA29[COD],SEMANA29[Columna32],""))</f>
        <v/>
      </c>
      <c r="L40" s="302">
        <f>IF(D40="","",_xlfn.XLOOKUP($C40,BASE01[COD],BASE01[Columna34],"")+_xlfn.XLOOKUP($C40,SEMANA2[COD],SEMANA2[Columna34],"")+_xlfn.XLOOKUP($C40,SEMANA29[COD],SEMANA29[Columna34],""))</f>
        <v/>
      </c>
      <c r="M40" s="303">
        <f>IFERROR(+L40/K40,"")</f>
        <v/>
      </c>
      <c r="N40" s="304">
        <f>IF(D40="","",_xlfn.XLOOKUP($C40,BASE01[COD],BASE01[Columna36],"")+_xlfn.XLOOKUP($C40,SEMANA2[COD],SEMANA2[Columna36],"")+_xlfn.XLOOKUP($C40,SEMANA29[COD],SEMANA29[Columna36],""))</f>
        <v/>
      </c>
      <c r="O40" s="304">
        <f>IF(D40="","",_xlfn.XLOOKUP($C40,BASE01[COD],BASE01[Columna37],"")+_xlfn.XLOOKUP($C40,SEMANA2[COD],SEMANA2[Columna37],"")+_xlfn.XLOOKUP($C40,SEMANA29[COD],SEMANA29[Columna37],""))</f>
        <v/>
      </c>
      <c r="P40" s="305">
        <f>IFERROR(+O40/N40,0)</f>
        <v/>
      </c>
      <c r="Q40" s="306">
        <f>_xlfn.XLOOKUP(C40,SEMANA29[COD],SEMANA29[Columna33],"")</f>
        <v/>
      </c>
      <c r="R40" s="3" t="n"/>
      <c r="U40" s="393" t="inlineStr">
        <is>
          <t>COD 38</t>
        </is>
      </c>
      <c r="V40" s="393">
        <f>U40</f>
        <v/>
      </c>
    </row>
    <row r="41" ht="23.1" customFormat="1" customHeight="1" s="393">
      <c r="A41" s="295" t="n"/>
      <c r="B41" s="307">
        <f>+B40+1</f>
        <v/>
      </c>
      <c r="C41" s="611" t="inlineStr">
        <is>
          <t>COD 24</t>
        </is>
      </c>
      <c r="D41" s="469">
        <f>_xlfn.XLOOKUP(C41,CODIGOS_Y_PAGOS[CODIGO],CODIGOS_Y_PAGOS[NOMBRE PARTICIPANTE],"")</f>
        <v/>
      </c>
      <c r="E41" s="298">
        <f>IF(D41="","",_xlfn.XLOOKUP($C41,BASE01[COD],BASE01[Columna14],"")+_xlfn.XLOOKUP($C41,SEMANA2[COD],SEMANA2[Columna14],"")+_xlfn.XLOOKUP($C41,SEMANA29[COD],SEMANA29[Columna14],""))</f>
        <v/>
      </c>
      <c r="F41" s="298">
        <f>IF(D41="","",_xlfn.XLOOKUP($C41,BASE01[COD],BASE01[Columna19],"")+_xlfn.XLOOKUP($C41,SEMANA2[COD],SEMANA2[Columna19],"")+_xlfn.XLOOKUP($C41,SEMANA29[COD],SEMANA29[Columna19],""))</f>
        <v/>
      </c>
      <c r="G41" s="299">
        <f>IFERROR(+F41/E41,"")</f>
        <v/>
      </c>
      <c r="H41" s="300">
        <f>IF(D41="","",_xlfn.XLOOKUP($C41,BASE01[COD],BASE01[Columna29],"")+_xlfn.XLOOKUP($C41,SEMANA2[COD],SEMANA2[Columna29],"")+_xlfn.XLOOKUP($C41,SEMANA29[COD],SEMANA29[Columna29],""))</f>
        <v/>
      </c>
      <c r="I41" s="300">
        <f>IF(D41="","",_xlfn.XLOOKUP($C41,BASE01[COD],BASE01[Columna30],"")+_xlfn.XLOOKUP($C41,SEMANA2[COD],SEMANA2[Columna30],"")+_xlfn.XLOOKUP($C41,SEMANA29[COD],SEMANA29[Columna30],""))</f>
        <v/>
      </c>
      <c r="J41" s="301">
        <f>IFERROR(+I41/H41,"")</f>
        <v/>
      </c>
      <c r="K41" s="302">
        <f>IF(D41="","",_xlfn.XLOOKUP($C41,BASE01[COD],BASE01[Columna32],"")+_xlfn.XLOOKUP($C41,SEMANA2[COD],SEMANA2[Columna32],"")+_xlfn.XLOOKUP($C41,SEMANA29[COD],SEMANA29[Columna32],""))</f>
        <v/>
      </c>
      <c r="L41" s="302">
        <f>IF(D41="","",_xlfn.XLOOKUP($C41,BASE01[COD],BASE01[Columna34],"")+_xlfn.XLOOKUP($C41,SEMANA2[COD],SEMANA2[Columna34],"")+_xlfn.XLOOKUP($C41,SEMANA29[COD],SEMANA29[Columna34],""))</f>
        <v/>
      </c>
      <c r="M41" s="303">
        <f>IFERROR(+L41/K41,"")</f>
        <v/>
      </c>
      <c r="N41" s="304">
        <f>IF(D41="","",_xlfn.XLOOKUP($C41,BASE01[COD],BASE01[Columna36],"")+_xlfn.XLOOKUP($C41,SEMANA2[COD],SEMANA2[Columna36],"")+_xlfn.XLOOKUP($C41,SEMANA29[COD],SEMANA29[Columna36],""))</f>
        <v/>
      </c>
      <c r="O41" s="304">
        <f>IF(D41="","",_xlfn.XLOOKUP($C41,BASE01[COD],BASE01[Columna37],"")+_xlfn.XLOOKUP($C41,SEMANA2[COD],SEMANA2[Columna37],"")+_xlfn.XLOOKUP($C41,SEMANA29[COD],SEMANA29[Columna37],""))</f>
        <v/>
      </c>
      <c r="P41" s="305">
        <f>IFERROR(+O41/N41,0)</f>
        <v/>
      </c>
      <c r="Q41" s="306">
        <f>_xlfn.XLOOKUP(C41,SEMANA29[COD],SEMANA29[Columna33],"")</f>
        <v/>
      </c>
      <c r="R41" s="3" t="n"/>
      <c r="U41" s="393" t="inlineStr">
        <is>
          <t>COD 24</t>
        </is>
      </c>
      <c r="V41" s="393">
        <f>U41</f>
        <v/>
      </c>
    </row>
    <row r="42" ht="23.1" customFormat="1" customHeight="1" s="393">
      <c r="A42" s="295" t="n"/>
      <c r="B42" s="307">
        <f>+B41+1</f>
        <v/>
      </c>
      <c r="C42" s="611" t="inlineStr">
        <is>
          <t>COD 30</t>
        </is>
      </c>
      <c r="D42" s="469">
        <f>_xlfn.XLOOKUP(C42,CODIGOS_Y_PAGOS[CODIGO],CODIGOS_Y_PAGOS[NOMBRE PARTICIPANTE],"")</f>
        <v/>
      </c>
      <c r="E42" s="298">
        <f>IF(D42="","",_xlfn.XLOOKUP($C42,BASE01[COD],BASE01[Columna14],"")+_xlfn.XLOOKUP($C42,SEMANA2[COD],SEMANA2[Columna14],"")+_xlfn.XLOOKUP($C42,SEMANA29[COD],SEMANA29[Columna14],""))</f>
        <v/>
      </c>
      <c r="F42" s="298">
        <f>IF(D42="","",_xlfn.XLOOKUP($C42,BASE01[COD],BASE01[Columna19],"")+_xlfn.XLOOKUP($C42,SEMANA2[COD],SEMANA2[Columna19],"")+_xlfn.XLOOKUP($C42,SEMANA29[COD],SEMANA29[Columna19],""))</f>
        <v/>
      </c>
      <c r="G42" s="299">
        <f>IFERROR(+F42/E42,"")</f>
        <v/>
      </c>
      <c r="H42" s="300">
        <f>IF(D42="","",_xlfn.XLOOKUP($C42,BASE01[COD],BASE01[Columna29],"")+_xlfn.XLOOKUP($C42,SEMANA2[COD],SEMANA2[Columna29],"")+_xlfn.XLOOKUP($C42,SEMANA29[COD],SEMANA29[Columna29],""))</f>
        <v/>
      </c>
      <c r="I42" s="300">
        <f>IF(D42="","",_xlfn.XLOOKUP($C42,BASE01[COD],BASE01[Columna30],"")+_xlfn.XLOOKUP($C42,SEMANA2[COD],SEMANA2[Columna30],"")+_xlfn.XLOOKUP($C42,SEMANA29[COD],SEMANA29[Columna30],""))</f>
        <v/>
      </c>
      <c r="J42" s="301">
        <f>IFERROR(+I42/H42,"")</f>
        <v/>
      </c>
      <c r="K42" s="302">
        <f>IF(D42="","",_xlfn.XLOOKUP($C42,BASE01[COD],BASE01[Columna32],"")+_xlfn.XLOOKUP($C42,SEMANA2[COD],SEMANA2[Columna32],"")+_xlfn.XLOOKUP($C42,SEMANA29[COD],SEMANA29[Columna32],""))</f>
        <v/>
      </c>
      <c r="L42" s="302">
        <f>IF(D42="","",_xlfn.XLOOKUP($C42,BASE01[COD],BASE01[Columna34],"")+_xlfn.XLOOKUP($C42,SEMANA2[COD],SEMANA2[Columna34],"")+_xlfn.XLOOKUP($C42,SEMANA29[COD],SEMANA29[Columna34],""))</f>
        <v/>
      </c>
      <c r="M42" s="303">
        <f>IFERROR(+L42/K42,"")</f>
        <v/>
      </c>
      <c r="N42" s="304">
        <f>IF(D42="","",_xlfn.XLOOKUP($C42,BASE01[COD],BASE01[Columna36],"")+_xlfn.XLOOKUP($C42,SEMANA2[COD],SEMANA2[Columna36],"")+_xlfn.XLOOKUP($C42,SEMANA29[COD],SEMANA29[Columna36],""))</f>
        <v/>
      </c>
      <c r="O42" s="304">
        <f>IF(D42="","",_xlfn.XLOOKUP($C42,BASE01[COD],BASE01[Columna37],"")+_xlfn.XLOOKUP($C42,SEMANA2[COD],SEMANA2[Columna37],"")+_xlfn.XLOOKUP($C42,SEMANA29[COD],SEMANA29[Columna37],""))</f>
        <v/>
      </c>
      <c r="P42" s="305">
        <f>IFERROR(+O42/N42,0)</f>
        <v/>
      </c>
      <c r="Q42" s="306">
        <f>_xlfn.XLOOKUP(C42,SEMANA29[COD],SEMANA29[Columna33],"")</f>
        <v/>
      </c>
      <c r="R42" s="3" t="n"/>
      <c r="U42" s="393" t="inlineStr">
        <is>
          <t>COD 30</t>
        </is>
      </c>
      <c r="V42" s="393">
        <f>U42</f>
        <v/>
      </c>
    </row>
    <row r="43" ht="23.1" customFormat="1" customHeight="1" s="393">
      <c r="A43" s="295" t="n"/>
      <c r="B43" s="307">
        <f>+B42+1</f>
        <v/>
      </c>
      <c r="C43" s="611" t="inlineStr">
        <is>
          <t>COD 39</t>
        </is>
      </c>
      <c r="D43" s="469">
        <f>_xlfn.XLOOKUP(C43,CODIGOS_Y_PAGOS[CODIGO],CODIGOS_Y_PAGOS[NOMBRE PARTICIPANTE],"")</f>
        <v/>
      </c>
      <c r="E43" s="298">
        <f>IF(D43="","",_xlfn.XLOOKUP($C43,BASE01[COD],BASE01[Columna14],"")+_xlfn.XLOOKUP($C43,SEMANA2[COD],SEMANA2[Columna14],"")+_xlfn.XLOOKUP($C43,SEMANA29[COD],SEMANA29[Columna14],""))</f>
        <v/>
      </c>
      <c r="F43" s="298">
        <f>IF(D43="","",_xlfn.XLOOKUP($C43,BASE01[COD],BASE01[Columna19],"")+_xlfn.XLOOKUP($C43,SEMANA2[COD],SEMANA2[Columna19],"")+_xlfn.XLOOKUP($C43,SEMANA29[COD],SEMANA29[Columna19],""))</f>
        <v/>
      </c>
      <c r="G43" s="299">
        <f>IFERROR(+F43/E43,"")</f>
        <v/>
      </c>
      <c r="H43" s="300">
        <f>IF(D43="","",_xlfn.XLOOKUP($C43,BASE01[COD],BASE01[Columna29],"")+_xlfn.XLOOKUP($C43,SEMANA2[COD],SEMANA2[Columna29],"")+_xlfn.XLOOKUP($C43,SEMANA29[COD],SEMANA29[Columna29],""))</f>
        <v/>
      </c>
      <c r="I43" s="300">
        <f>IF(D43="","",_xlfn.XLOOKUP($C43,BASE01[COD],BASE01[Columna30],"")+_xlfn.XLOOKUP($C43,SEMANA2[COD],SEMANA2[Columna30],"")+_xlfn.XLOOKUP($C43,SEMANA29[COD],SEMANA29[Columna30],""))</f>
        <v/>
      </c>
      <c r="J43" s="301">
        <f>IFERROR(+I43/H43,"")</f>
        <v/>
      </c>
      <c r="K43" s="302">
        <f>IF(D43="","",_xlfn.XLOOKUP($C43,BASE01[COD],BASE01[Columna32],"")+_xlfn.XLOOKUP($C43,SEMANA2[COD],SEMANA2[Columna32],"")+_xlfn.XLOOKUP($C43,SEMANA29[COD],SEMANA29[Columna32],""))</f>
        <v/>
      </c>
      <c r="L43" s="302">
        <f>IF(D43="","",_xlfn.XLOOKUP($C43,BASE01[COD],BASE01[Columna34],"")+_xlfn.XLOOKUP($C43,SEMANA2[COD],SEMANA2[Columna34],"")+_xlfn.XLOOKUP($C43,SEMANA29[COD],SEMANA29[Columna34],""))</f>
        <v/>
      </c>
      <c r="M43" s="303">
        <f>IFERROR(+L43/K43,"")</f>
        <v/>
      </c>
      <c r="N43" s="304">
        <f>IF(D43="","",_xlfn.XLOOKUP($C43,BASE01[COD],BASE01[Columna36],"")+_xlfn.XLOOKUP($C43,SEMANA2[COD],SEMANA2[Columna36],"")+_xlfn.XLOOKUP($C43,SEMANA29[COD],SEMANA29[Columna36],""))</f>
        <v/>
      </c>
      <c r="O43" s="304">
        <f>IF(D43="","",_xlfn.XLOOKUP($C43,BASE01[COD],BASE01[Columna37],"")+_xlfn.XLOOKUP($C43,SEMANA2[COD],SEMANA2[Columna37],"")+_xlfn.XLOOKUP($C43,SEMANA29[COD],SEMANA29[Columna37],""))</f>
        <v/>
      </c>
      <c r="P43" s="305">
        <f>IFERROR(+O43/N43,0)</f>
        <v/>
      </c>
      <c r="Q43" s="306">
        <f>_xlfn.XLOOKUP(C43,SEMANA29[COD],SEMANA29[Columna33],"")</f>
        <v/>
      </c>
      <c r="R43" s="3" t="n"/>
      <c r="U43" s="393" t="inlineStr">
        <is>
          <t>COD 39</t>
        </is>
      </c>
      <c r="V43" s="393">
        <f>U43</f>
        <v/>
      </c>
    </row>
    <row r="44" outlineLevel="1" ht="23.1" customFormat="1" customHeight="1" s="393">
      <c r="A44" s="295" t="n"/>
      <c r="B44" s="307">
        <f>+B43+1</f>
        <v/>
      </c>
      <c r="C44" s="611" t="inlineStr">
        <is>
          <t>COD 40</t>
        </is>
      </c>
      <c r="D44" s="297">
        <f>_xlfn.XLOOKUP(C44,CODIGOS_Y_PAGOS[CODIGO],CODIGOS_Y_PAGOS[NOMBRE PARTICIPANTE],"")</f>
        <v/>
      </c>
      <c r="E44" s="298">
        <f>IF(D44="","",_xlfn.XLOOKUP($C44,BASE01[COD],BASE01[Columna14],"")+_xlfn.XLOOKUP($C44,SEMANA2[COD],SEMANA2[Columna14],"")+_xlfn.XLOOKUP($C44,SEMANA29[COD],SEMANA29[Columna14],""))</f>
        <v/>
      </c>
      <c r="F44" s="298">
        <f>IF(D44="","",_xlfn.XLOOKUP($C44,BASE01[COD],BASE01[Columna19],"")+_xlfn.XLOOKUP($C44,SEMANA2[COD],SEMANA2[Columna19],"")+_xlfn.XLOOKUP($C44,SEMANA29[COD],SEMANA29[Columna19],""))</f>
        <v/>
      </c>
      <c r="G44" s="299">
        <f>IFERROR(+F44/E44,"")</f>
        <v/>
      </c>
      <c r="H44" s="300">
        <f>IF(D44="","",_xlfn.XLOOKUP($C44,BASE01[COD],BASE01[Columna29],"")+_xlfn.XLOOKUP($C44,SEMANA2[COD],SEMANA2[Columna29],"")+_xlfn.XLOOKUP($C44,SEMANA29[COD],SEMANA29[Columna29],""))</f>
        <v/>
      </c>
      <c r="I44" s="300">
        <f>IF(D44="","",_xlfn.XLOOKUP($C44,BASE01[COD],BASE01[Columna30],"")+_xlfn.XLOOKUP($C44,SEMANA2[COD],SEMANA2[Columna30],"")+_xlfn.XLOOKUP($C44,SEMANA29[COD],SEMANA29[Columna30],""))</f>
        <v/>
      </c>
      <c r="J44" s="301">
        <f>IFERROR(+I44/H44,"")</f>
        <v/>
      </c>
      <c r="K44" s="302">
        <f>IF(D44="","",_xlfn.XLOOKUP($C44,BASE01[COD],BASE01[Columna32],"")+_xlfn.XLOOKUP($C44,SEMANA2[COD],SEMANA2[Columna32],"")+_xlfn.XLOOKUP($C44,SEMANA29[COD],SEMANA29[Columna32],""))</f>
        <v/>
      </c>
      <c r="L44" s="302">
        <f>IF(D44="","",_xlfn.XLOOKUP($C44,BASE01[COD],BASE01[Columna34],"")+_xlfn.XLOOKUP($C44,SEMANA2[COD],SEMANA2[Columna34],"")+_xlfn.XLOOKUP($C44,SEMANA29[COD],SEMANA29[Columna34],""))</f>
        <v/>
      </c>
      <c r="M44" s="303">
        <f>IFERROR(+L44/K44,"")</f>
        <v/>
      </c>
      <c r="N44" s="304">
        <f>IF(D44="","",_xlfn.XLOOKUP($C44,BASE01[COD],BASE01[Columna36],"")+_xlfn.XLOOKUP($C44,SEMANA2[COD],SEMANA2[Columna36],"")+_xlfn.XLOOKUP($C44,SEMANA29[COD],SEMANA29[Columna36],""))</f>
        <v/>
      </c>
      <c r="O44" s="304">
        <f>IF(D44="","",_xlfn.XLOOKUP($C44,BASE01[COD],BASE01[Columna37],"")+_xlfn.XLOOKUP($C44,SEMANA2[COD],SEMANA2[Columna37],"")+_xlfn.XLOOKUP($C44,SEMANA29[COD],SEMANA29[Columna37],""))</f>
        <v/>
      </c>
      <c r="P44" s="305">
        <f>IFERROR(+O44/N44,0)</f>
        <v/>
      </c>
      <c r="Q44" s="306">
        <f>_xlfn.XLOOKUP(C44,SEMANA29[COD],SEMANA29[Columna33],"")</f>
        <v/>
      </c>
      <c r="R44" s="3" t="n"/>
      <c r="U44" s="393" t="inlineStr">
        <is>
          <t>COD 40</t>
        </is>
      </c>
      <c r="V44" s="393">
        <f>U44</f>
        <v/>
      </c>
    </row>
    <row r="45" outlineLevel="1" ht="23.1" customFormat="1" customHeight="1" s="393">
      <c r="A45" s="295" t="n"/>
      <c r="B45" s="307">
        <f>+B44+1</f>
        <v/>
      </c>
      <c r="C45" s="611" t="inlineStr">
        <is>
          <t>COD 41</t>
        </is>
      </c>
      <c r="D45" s="297">
        <f>_xlfn.XLOOKUP(C45,CODIGOS_Y_PAGOS[CODIGO],CODIGOS_Y_PAGOS[NOMBRE PARTICIPANTE],"")</f>
        <v/>
      </c>
      <c r="E45" s="298">
        <f>IF(D45="","",_xlfn.XLOOKUP($C45,BASE01[COD],BASE01[Columna14],"")+_xlfn.XLOOKUP($C45,SEMANA2[COD],SEMANA2[Columna14],"")+_xlfn.XLOOKUP($C45,SEMANA29[COD],SEMANA29[Columna14],""))</f>
        <v/>
      </c>
      <c r="F45" s="298">
        <f>IF(D45="","",_xlfn.XLOOKUP($C45,BASE01[COD],BASE01[Columna19],"")+_xlfn.XLOOKUP($C45,SEMANA2[COD],SEMANA2[Columna19],"")+_xlfn.XLOOKUP($C45,SEMANA29[COD],SEMANA29[Columna19],""))</f>
        <v/>
      </c>
      <c r="G45" s="299">
        <f>IFERROR(+F45/E45,"")</f>
        <v/>
      </c>
      <c r="H45" s="300">
        <f>IF(D45="","",_xlfn.XLOOKUP($C45,BASE01[COD],BASE01[Columna29],"")+_xlfn.XLOOKUP($C45,SEMANA2[COD],SEMANA2[Columna29],"")+_xlfn.XLOOKUP($C45,SEMANA29[COD],SEMANA29[Columna29],""))</f>
        <v/>
      </c>
      <c r="I45" s="300">
        <f>IF(D45="","",_xlfn.XLOOKUP($C45,BASE01[COD],BASE01[Columna30],"")+_xlfn.XLOOKUP($C45,SEMANA2[COD],SEMANA2[Columna30],"")+_xlfn.XLOOKUP($C45,SEMANA29[COD],SEMANA29[Columna30],""))</f>
        <v/>
      </c>
      <c r="J45" s="301">
        <f>IFERROR(+I45/H45,"")</f>
        <v/>
      </c>
      <c r="K45" s="302">
        <f>IF(D45="","",_xlfn.XLOOKUP($C45,BASE01[COD],BASE01[Columna32],"")+_xlfn.XLOOKUP($C45,SEMANA2[COD],SEMANA2[Columna32],"")+_xlfn.XLOOKUP($C45,SEMANA29[COD],SEMANA29[Columna32],""))</f>
        <v/>
      </c>
      <c r="L45" s="302">
        <f>IF(D45="","",_xlfn.XLOOKUP($C45,BASE01[COD],BASE01[Columna34],"")+_xlfn.XLOOKUP($C45,SEMANA2[COD],SEMANA2[Columna34],"")+_xlfn.XLOOKUP($C45,SEMANA29[COD],SEMANA29[Columna34],""))</f>
        <v/>
      </c>
      <c r="M45" s="303">
        <f>IFERROR(+L45/K45,"")</f>
        <v/>
      </c>
      <c r="N45" s="304">
        <f>IF(D45="","",_xlfn.XLOOKUP($C45,BASE01[COD],BASE01[Columna36],"")+_xlfn.XLOOKUP($C45,SEMANA2[COD],SEMANA2[Columna36],"")+_xlfn.XLOOKUP($C45,SEMANA29[COD],SEMANA29[Columna36],""))</f>
        <v/>
      </c>
      <c r="O45" s="304">
        <f>IF(D45="","",_xlfn.XLOOKUP($C45,BASE01[COD],BASE01[Columna37],"")+_xlfn.XLOOKUP($C45,SEMANA2[COD],SEMANA2[Columna37],"")+_xlfn.XLOOKUP($C45,SEMANA29[COD],SEMANA29[Columna37],""))</f>
        <v/>
      </c>
      <c r="P45" s="305">
        <f>IFERROR(+O45/N45,0)</f>
        <v/>
      </c>
      <c r="Q45" s="306">
        <f>_xlfn.XLOOKUP(C45,SEMANA29[COD],SEMANA29[Columna33],"")</f>
        <v/>
      </c>
      <c r="R45" s="3" t="n"/>
      <c r="U45" s="393" t="inlineStr">
        <is>
          <t>COD 41</t>
        </is>
      </c>
      <c r="V45" s="393">
        <f>U45</f>
        <v/>
      </c>
    </row>
    <row r="46" outlineLevel="1" ht="23.1" customFormat="1" customHeight="1" s="393">
      <c r="A46" s="295" t="n"/>
      <c r="B46" s="307">
        <f>+B45+1</f>
        <v/>
      </c>
      <c r="C46" s="611" t="inlineStr">
        <is>
          <t>COD 42</t>
        </is>
      </c>
      <c r="D46" s="297">
        <f>_xlfn.XLOOKUP(C46,CODIGOS_Y_PAGOS[CODIGO],CODIGOS_Y_PAGOS[NOMBRE PARTICIPANTE],"")</f>
        <v/>
      </c>
      <c r="E46" s="298">
        <f>IF(D46="","",_xlfn.XLOOKUP($C46,BASE01[COD],BASE01[Columna14],"")+_xlfn.XLOOKUP($C46,SEMANA2[COD],SEMANA2[Columna14],"")+_xlfn.XLOOKUP($C46,SEMANA29[COD],SEMANA29[Columna14],""))</f>
        <v/>
      </c>
      <c r="F46" s="298">
        <f>IF(D46="","",_xlfn.XLOOKUP($C46,BASE01[COD],BASE01[Columna19],"")+_xlfn.XLOOKUP($C46,SEMANA2[COD],SEMANA2[Columna19],"")+_xlfn.XLOOKUP($C46,SEMANA29[COD],SEMANA29[Columna19],""))</f>
        <v/>
      </c>
      <c r="G46" s="299">
        <f>IFERROR(+F46/E46,"")</f>
        <v/>
      </c>
      <c r="H46" s="300">
        <f>IF(D46="","",_xlfn.XLOOKUP($C46,BASE01[COD],BASE01[Columna29],"")+_xlfn.XLOOKUP($C46,SEMANA2[COD],SEMANA2[Columna29],"")+_xlfn.XLOOKUP($C46,SEMANA29[COD],SEMANA29[Columna29],""))</f>
        <v/>
      </c>
      <c r="I46" s="300">
        <f>IF(D46="","",_xlfn.XLOOKUP($C46,BASE01[COD],BASE01[Columna30],"")+_xlfn.XLOOKUP($C46,SEMANA2[COD],SEMANA2[Columna30],"")+_xlfn.XLOOKUP($C46,SEMANA29[COD],SEMANA29[Columna30],""))</f>
        <v/>
      </c>
      <c r="J46" s="301">
        <f>IFERROR(+I46/H46,"")</f>
        <v/>
      </c>
      <c r="K46" s="302">
        <f>IF(D46="","",_xlfn.XLOOKUP($C46,BASE01[COD],BASE01[Columna32],"")+_xlfn.XLOOKUP($C46,SEMANA2[COD],SEMANA2[Columna32],"")+_xlfn.XLOOKUP($C46,SEMANA29[COD],SEMANA29[Columna32],""))</f>
        <v/>
      </c>
      <c r="L46" s="302">
        <f>IF(D46="","",_xlfn.XLOOKUP($C46,BASE01[COD],BASE01[Columna34],"")+_xlfn.XLOOKUP($C46,SEMANA2[COD],SEMANA2[Columna34],"")+_xlfn.XLOOKUP($C46,SEMANA29[COD],SEMANA29[Columna34],""))</f>
        <v/>
      </c>
      <c r="M46" s="303">
        <f>IFERROR(+L46/K46,"")</f>
        <v/>
      </c>
      <c r="N46" s="304">
        <f>IF(D46="","",_xlfn.XLOOKUP($C46,BASE01[COD],BASE01[Columna36],"")+_xlfn.XLOOKUP($C46,SEMANA2[COD],SEMANA2[Columna36],"")+_xlfn.XLOOKUP($C46,SEMANA29[COD],SEMANA29[Columna36],""))</f>
        <v/>
      </c>
      <c r="O46" s="304">
        <f>IF(D46="","",_xlfn.XLOOKUP($C46,BASE01[COD],BASE01[Columna37],"")+_xlfn.XLOOKUP($C46,SEMANA2[COD],SEMANA2[Columna37],"")+_xlfn.XLOOKUP($C46,SEMANA29[COD],SEMANA29[Columna37],""))</f>
        <v/>
      </c>
      <c r="P46" s="305">
        <f>IFERROR(+O46/N46,0)</f>
        <v/>
      </c>
      <c r="Q46" s="306">
        <f>_xlfn.XLOOKUP(C46,SEMANA29[COD],SEMANA29[Columna33],"")</f>
        <v/>
      </c>
      <c r="R46" s="3" t="n"/>
      <c r="U46" s="393" t="inlineStr">
        <is>
          <t>COD 42</t>
        </is>
      </c>
      <c r="V46" s="393">
        <f>U46</f>
        <v/>
      </c>
    </row>
    <row r="47" outlineLevel="1" ht="23.1" customFormat="1" customHeight="1" s="393">
      <c r="A47" s="295" t="n"/>
      <c r="B47" s="309">
        <f>+B46+1</f>
        <v/>
      </c>
      <c r="C47" s="611" t="inlineStr">
        <is>
          <t>COD 43</t>
        </is>
      </c>
      <c r="D47" s="297">
        <f>_xlfn.XLOOKUP(C47,CODIGOS_Y_PAGOS[CODIGO],CODIGOS_Y_PAGOS[NOMBRE PARTICIPANTE],"")</f>
        <v/>
      </c>
      <c r="E47" s="298">
        <f>IF(D47="","",_xlfn.XLOOKUP($C47,BASE01[COD],BASE01[Columna14],"")+_xlfn.XLOOKUP($C47,SEMANA2[COD],SEMANA2[Columna14],"")+_xlfn.XLOOKUP($C47,SEMANA29[COD],SEMANA29[Columna14],""))</f>
        <v/>
      </c>
      <c r="F47" s="298">
        <f>IF(D47="","",_xlfn.XLOOKUP($C47,BASE01[COD],BASE01[Columna19],"")+_xlfn.XLOOKUP($C47,SEMANA2[COD],SEMANA2[Columna19],"")+_xlfn.XLOOKUP($C47,SEMANA29[COD],SEMANA29[Columna19],""))</f>
        <v/>
      </c>
      <c r="G47" s="299">
        <f>IFERROR(+F47/E47,"")</f>
        <v/>
      </c>
      <c r="H47" s="300">
        <f>IF(D47="","",_xlfn.XLOOKUP($C47,BASE01[COD],BASE01[Columna29],"")+_xlfn.XLOOKUP($C47,SEMANA2[COD],SEMANA2[Columna29],"")+_xlfn.XLOOKUP($C47,SEMANA29[COD],SEMANA29[Columna29],""))</f>
        <v/>
      </c>
      <c r="I47" s="300">
        <f>IF(D47="","",_xlfn.XLOOKUP($C47,BASE01[COD],BASE01[Columna30],"")+_xlfn.XLOOKUP($C47,SEMANA2[COD],SEMANA2[Columna30],"")+_xlfn.XLOOKUP($C47,SEMANA29[COD],SEMANA29[Columna30],""))</f>
        <v/>
      </c>
      <c r="J47" s="301">
        <f>IFERROR(+I47/H47,"")</f>
        <v/>
      </c>
      <c r="K47" s="302">
        <f>IF(D47="","",_xlfn.XLOOKUP($C47,BASE01[COD],BASE01[Columna32],"")+_xlfn.XLOOKUP($C47,SEMANA2[COD],SEMANA2[Columna32],"")+_xlfn.XLOOKUP($C47,SEMANA29[COD],SEMANA29[Columna32],""))</f>
        <v/>
      </c>
      <c r="L47" s="302">
        <f>IF(D47="","",_xlfn.XLOOKUP($C47,BASE01[COD],BASE01[Columna34],"")+_xlfn.XLOOKUP($C47,SEMANA2[COD],SEMANA2[Columna34],"")+_xlfn.XLOOKUP($C47,SEMANA29[COD],SEMANA29[Columna34],""))</f>
        <v/>
      </c>
      <c r="M47" s="303">
        <f>IFERROR(+L47/K47,"")</f>
        <v/>
      </c>
      <c r="N47" s="304">
        <f>IF(D47="","",_xlfn.XLOOKUP($C47,BASE01[COD],BASE01[Columna36],"")+_xlfn.XLOOKUP($C47,SEMANA2[COD],SEMANA2[Columna36],"")+_xlfn.XLOOKUP($C47,SEMANA29[COD],SEMANA29[Columna36],""))</f>
        <v/>
      </c>
      <c r="O47" s="304">
        <f>IF(D47="","",_xlfn.XLOOKUP($C47,BASE01[COD],BASE01[Columna37],"")+_xlfn.XLOOKUP($C47,SEMANA2[COD],SEMANA2[Columna37],"")+_xlfn.XLOOKUP($C47,SEMANA29[COD],SEMANA29[Columna37],""))</f>
        <v/>
      </c>
      <c r="P47" s="305">
        <f>IFERROR(+O47/N47,0)</f>
        <v/>
      </c>
      <c r="Q47" s="306">
        <f>_xlfn.XLOOKUP(C47,SEMANA29[COD],SEMANA29[Columna33],"")</f>
        <v/>
      </c>
      <c r="R47" s="3" t="n"/>
      <c r="U47" s="393" t="inlineStr">
        <is>
          <t>COD 43</t>
        </is>
      </c>
      <c r="V47" s="393">
        <f>U47</f>
        <v/>
      </c>
    </row>
    <row r="48" outlineLevel="1" ht="23.1" customFormat="1" customHeight="1" s="393">
      <c r="A48" s="295" t="n"/>
      <c r="B48" s="309">
        <f>+B47+1</f>
        <v/>
      </c>
      <c r="C48" s="611" t="inlineStr">
        <is>
          <t>COD 44</t>
        </is>
      </c>
      <c r="D48" s="297">
        <f>_xlfn.XLOOKUP(C48,CODIGOS_Y_PAGOS[CODIGO],CODIGOS_Y_PAGOS[NOMBRE PARTICIPANTE],"")</f>
        <v/>
      </c>
      <c r="E48" s="298">
        <f>IF(D48="","",_xlfn.XLOOKUP($C48,BASE01[COD],BASE01[Columna14],"")+_xlfn.XLOOKUP($C48,SEMANA2[COD],SEMANA2[Columna14],"")+_xlfn.XLOOKUP($C48,SEMANA29[COD],SEMANA29[Columna14],""))</f>
        <v/>
      </c>
      <c r="F48" s="298">
        <f>IF(D48="","",_xlfn.XLOOKUP($C48,BASE01[COD],BASE01[Columna19],"")+_xlfn.XLOOKUP($C48,SEMANA2[COD],SEMANA2[Columna19],"")+_xlfn.XLOOKUP($C48,SEMANA29[COD],SEMANA29[Columna19],""))</f>
        <v/>
      </c>
      <c r="G48" s="299">
        <f>IFERROR(+F48/E48,"")</f>
        <v/>
      </c>
      <c r="H48" s="300">
        <f>IF(D48="","",_xlfn.XLOOKUP($C48,BASE01[COD],BASE01[Columna29],"")+_xlfn.XLOOKUP($C48,SEMANA2[COD],SEMANA2[Columna29],"")+_xlfn.XLOOKUP($C48,SEMANA29[COD],SEMANA29[Columna29],""))</f>
        <v/>
      </c>
      <c r="I48" s="300">
        <f>IF(D48="","",_xlfn.XLOOKUP($C48,BASE01[COD],BASE01[Columna30],"")+_xlfn.XLOOKUP($C48,SEMANA2[COD],SEMANA2[Columna30],"")+_xlfn.XLOOKUP($C48,SEMANA29[COD],SEMANA29[Columna30],""))</f>
        <v/>
      </c>
      <c r="J48" s="301">
        <f>IFERROR(+I48/H48,"")</f>
        <v/>
      </c>
      <c r="K48" s="302">
        <f>IF(D48="","",_xlfn.XLOOKUP($C48,BASE01[COD],BASE01[Columna32],"")+_xlfn.XLOOKUP($C48,SEMANA2[COD],SEMANA2[Columna32],"")+_xlfn.XLOOKUP($C48,SEMANA29[COD],SEMANA29[Columna32],""))</f>
        <v/>
      </c>
      <c r="L48" s="302">
        <f>IF(D48="","",_xlfn.XLOOKUP($C48,BASE01[COD],BASE01[Columna34],"")+_xlfn.XLOOKUP($C48,SEMANA2[COD],SEMANA2[Columna34],"")+_xlfn.XLOOKUP($C48,SEMANA29[COD],SEMANA29[Columna34],""))</f>
        <v/>
      </c>
      <c r="M48" s="303">
        <f>IFERROR(+L48/K48,"")</f>
        <v/>
      </c>
      <c r="N48" s="304">
        <f>IF(D48="","",_xlfn.XLOOKUP($C48,BASE01[COD],BASE01[Columna36],"")+_xlfn.XLOOKUP($C48,SEMANA2[COD],SEMANA2[Columna36],"")+_xlfn.XLOOKUP($C48,SEMANA29[COD],SEMANA29[Columna36],""))</f>
        <v/>
      </c>
      <c r="O48" s="304">
        <f>IF(D48="","",_xlfn.XLOOKUP($C48,BASE01[COD],BASE01[Columna37],"")+_xlfn.XLOOKUP($C48,SEMANA2[COD],SEMANA2[Columna37],"")+_xlfn.XLOOKUP($C48,SEMANA29[COD],SEMANA29[Columna37],""))</f>
        <v/>
      </c>
      <c r="P48" s="305">
        <f>IFERROR(+O48/N48,0)</f>
        <v/>
      </c>
      <c r="Q48" s="306">
        <f>_xlfn.XLOOKUP(C48,SEMANA29[COD],SEMANA29[Columna33],"")</f>
        <v/>
      </c>
      <c r="R48" s="3" t="n"/>
      <c r="U48" s="393" t="inlineStr">
        <is>
          <t>COD 44</t>
        </is>
      </c>
      <c r="V48" s="393">
        <f>U48</f>
        <v/>
      </c>
    </row>
    <row r="49" outlineLevel="1" ht="23.1" customFormat="1" customHeight="1" s="393">
      <c r="A49" s="295" t="n"/>
      <c r="B49" s="309">
        <f>+B48+1</f>
        <v/>
      </c>
      <c r="C49" s="611" t="inlineStr">
        <is>
          <t>COD 45</t>
        </is>
      </c>
      <c r="D49" s="297">
        <f>_xlfn.XLOOKUP(C49,CODIGOS_Y_PAGOS[CODIGO],CODIGOS_Y_PAGOS[NOMBRE PARTICIPANTE],"")</f>
        <v/>
      </c>
      <c r="E49" s="298">
        <f>IF(D49="","",_xlfn.XLOOKUP($C49,BASE01[COD],BASE01[Columna14],"")+_xlfn.XLOOKUP($C49,SEMANA2[COD],SEMANA2[Columna14],"")+_xlfn.XLOOKUP($C49,SEMANA29[COD],SEMANA29[Columna14],""))</f>
        <v/>
      </c>
      <c r="F49" s="298">
        <f>IF(D49="","",_xlfn.XLOOKUP($C49,BASE01[COD],BASE01[Columna19],"")+_xlfn.XLOOKUP($C49,SEMANA2[COD],SEMANA2[Columna19],"")+_xlfn.XLOOKUP($C49,SEMANA29[COD],SEMANA29[Columna19],""))</f>
        <v/>
      </c>
      <c r="G49" s="299">
        <f>IFERROR(+F49/E49,"")</f>
        <v/>
      </c>
      <c r="H49" s="300">
        <f>IF(D49="","",_xlfn.XLOOKUP($C49,BASE01[COD],BASE01[Columna29],"")+_xlfn.XLOOKUP($C49,SEMANA2[COD],SEMANA2[Columna29],"")+_xlfn.XLOOKUP($C49,SEMANA29[COD],SEMANA29[Columna29],""))</f>
        <v/>
      </c>
      <c r="I49" s="300">
        <f>IF(D49="","",_xlfn.XLOOKUP($C49,BASE01[COD],BASE01[Columna30],"")+_xlfn.XLOOKUP($C49,SEMANA2[COD],SEMANA2[Columna30],"")+_xlfn.XLOOKUP($C49,SEMANA29[COD],SEMANA29[Columna30],""))</f>
        <v/>
      </c>
      <c r="J49" s="301">
        <f>IFERROR(+I49/H49,"")</f>
        <v/>
      </c>
      <c r="K49" s="302">
        <f>IF(D49="","",_xlfn.XLOOKUP($C49,BASE01[COD],BASE01[Columna32],"")+_xlfn.XLOOKUP($C49,SEMANA2[COD],SEMANA2[Columna32],"")+_xlfn.XLOOKUP($C49,SEMANA29[COD],SEMANA29[Columna32],""))</f>
        <v/>
      </c>
      <c r="L49" s="302">
        <f>IF(D49="","",_xlfn.XLOOKUP($C49,BASE01[COD],BASE01[Columna34],"")+_xlfn.XLOOKUP($C49,SEMANA2[COD],SEMANA2[Columna34],"")+_xlfn.XLOOKUP($C49,SEMANA29[COD],SEMANA29[Columna34],""))</f>
        <v/>
      </c>
      <c r="M49" s="303">
        <f>IFERROR(+L49/K49,"")</f>
        <v/>
      </c>
      <c r="N49" s="304">
        <f>IF(D49="","",_xlfn.XLOOKUP($C49,BASE01[COD],BASE01[Columna36],"")+_xlfn.XLOOKUP($C49,SEMANA2[COD],SEMANA2[Columna36],"")+_xlfn.XLOOKUP($C49,SEMANA29[COD],SEMANA29[Columna36],""))</f>
        <v/>
      </c>
      <c r="O49" s="304">
        <f>IF(D49="","",_xlfn.XLOOKUP($C49,BASE01[COD],BASE01[Columna37],"")+_xlfn.XLOOKUP($C49,SEMANA2[COD],SEMANA2[Columna37],"")+_xlfn.XLOOKUP($C49,SEMANA29[COD],SEMANA29[Columna37],""))</f>
        <v/>
      </c>
      <c r="P49" s="305">
        <f>IFERROR(+O49/N49,0)</f>
        <v/>
      </c>
      <c r="Q49" s="306">
        <f>_xlfn.XLOOKUP(C49,SEMANA29[COD],SEMANA29[Columna33],"")</f>
        <v/>
      </c>
      <c r="R49" s="3" t="n"/>
      <c r="U49" s="393" t="inlineStr">
        <is>
          <t>COD 45</t>
        </is>
      </c>
      <c r="V49" s="393">
        <f>U49</f>
        <v/>
      </c>
    </row>
    <row r="50" outlineLevel="1" ht="23.1" customFormat="1" customHeight="1" s="393">
      <c r="A50" s="295" t="n"/>
      <c r="B50" s="309">
        <f>+B49+1</f>
        <v/>
      </c>
      <c r="C50" s="611" t="inlineStr">
        <is>
          <t>COD 46</t>
        </is>
      </c>
      <c r="D50" s="297">
        <f>_xlfn.XLOOKUP(C50,CODIGOS_Y_PAGOS[CODIGO],CODIGOS_Y_PAGOS[NOMBRE PARTICIPANTE],"")</f>
        <v/>
      </c>
      <c r="E50" s="298">
        <f>IF(D50="","",_xlfn.XLOOKUP($C50,BASE01[COD],BASE01[Columna14],"")+_xlfn.XLOOKUP($C50,SEMANA2[COD],SEMANA2[Columna14],"")+_xlfn.XLOOKUP($C50,SEMANA29[COD],SEMANA29[Columna14],""))</f>
        <v/>
      </c>
      <c r="F50" s="298">
        <f>IF(D50="","",_xlfn.XLOOKUP($C50,BASE01[COD],BASE01[Columna19],"")+_xlfn.XLOOKUP($C50,SEMANA2[COD],SEMANA2[Columna19],"")+_xlfn.XLOOKUP($C50,SEMANA29[COD],SEMANA29[Columna19],""))</f>
        <v/>
      </c>
      <c r="G50" s="299">
        <f>IFERROR(+F50/E50,"")</f>
        <v/>
      </c>
      <c r="H50" s="300">
        <f>IF(D50="","",_xlfn.XLOOKUP($C50,BASE01[COD],BASE01[Columna29],"")+_xlfn.XLOOKUP($C50,SEMANA2[COD],SEMANA2[Columna29],"")+_xlfn.XLOOKUP($C50,SEMANA29[COD],SEMANA29[Columna29],""))</f>
        <v/>
      </c>
      <c r="I50" s="300">
        <f>IF(D50="","",_xlfn.XLOOKUP($C50,BASE01[COD],BASE01[Columna30],"")+_xlfn.XLOOKUP($C50,SEMANA2[COD],SEMANA2[Columna30],"")+_xlfn.XLOOKUP($C50,SEMANA29[COD],SEMANA29[Columna30],""))</f>
        <v/>
      </c>
      <c r="J50" s="301">
        <f>IFERROR(+I50/H50,"")</f>
        <v/>
      </c>
      <c r="K50" s="302">
        <f>IF(D50="","",_xlfn.XLOOKUP($C50,BASE01[COD],BASE01[Columna32],"")+_xlfn.XLOOKUP($C50,SEMANA2[COD],SEMANA2[Columna32],"")+_xlfn.XLOOKUP($C50,SEMANA29[COD],SEMANA29[Columna32],""))</f>
        <v/>
      </c>
      <c r="L50" s="302">
        <f>IF(D50="","",_xlfn.XLOOKUP($C50,BASE01[COD],BASE01[Columna34],"")+_xlfn.XLOOKUP($C50,SEMANA2[COD],SEMANA2[Columna34],"")+_xlfn.XLOOKUP($C50,SEMANA29[COD],SEMANA29[Columna34],""))</f>
        <v/>
      </c>
      <c r="M50" s="303">
        <f>IFERROR(+L50/K50,"")</f>
        <v/>
      </c>
      <c r="N50" s="304">
        <f>IF(D50="","",_xlfn.XLOOKUP($C50,BASE01[COD],BASE01[Columna36],"")+_xlfn.XLOOKUP($C50,SEMANA2[COD],SEMANA2[Columna36],"")+_xlfn.XLOOKUP($C50,SEMANA29[COD],SEMANA29[Columna36],""))</f>
        <v/>
      </c>
      <c r="O50" s="304">
        <f>IF(D50="","",_xlfn.XLOOKUP($C50,BASE01[COD],BASE01[Columna37],"")+_xlfn.XLOOKUP($C50,SEMANA2[COD],SEMANA2[Columna37],"")+_xlfn.XLOOKUP($C50,SEMANA29[COD],SEMANA29[Columna37],""))</f>
        <v/>
      </c>
      <c r="P50" s="305">
        <f>IFERROR(+O50/N50,0)</f>
        <v/>
      </c>
      <c r="Q50" s="306">
        <f>_xlfn.XLOOKUP(C50,SEMANA29[COD],SEMANA29[Columna33],"")</f>
        <v/>
      </c>
      <c r="R50" s="3" t="n"/>
      <c r="U50" s="393" t="inlineStr">
        <is>
          <t>COD 46</t>
        </is>
      </c>
      <c r="V50" s="393">
        <f>U50</f>
        <v/>
      </c>
    </row>
    <row r="51" outlineLevel="1" ht="23.1" customFormat="1" customHeight="1" s="393">
      <c r="A51" s="295" t="n"/>
      <c r="B51" s="309">
        <f>+B50+1</f>
        <v/>
      </c>
      <c r="C51" s="611" t="inlineStr">
        <is>
          <t>COD 47</t>
        </is>
      </c>
      <c r="D51" s="297">
        <f>_xlfn.XLOOKUP(C51,CODIGOS_Y_PAGOS[CODIGO],CODIGOS_Y_PAGOS[NOMBRE PARTICIPANTE],"")</f>
        <v/>
      </c>
      <c r="E51" s="298">
        <f>IF(D51="","",_xlfn.XLOOKUP($C51,BASE01[COD],BASE01[Columna14],"")+_xlfn.XLOOKUP($C51,SEMANA2[COD],SEMANA2[Columna14],"")+_xlfn.XLOOKUP($C51,SEMANA29[COD],SEMANA29[Columna14],""))</f>
        <v/>
      </c>
      <c r="F51" s="298">
        <f>IF(D51="","",_xlfn.XLOOKUP($C51,BASE01[COD],BASE01[Columna19],"")+_xlfn.XLOOKUP($C51,SEMANA2[COD],SEMANA2[Columna19],"")+_xlfn.XLOOKUP($C51,SEMANA29[COD],SEMANA29[Columna19],""))</f>
        <v/>
      </c>
      <c r="G51" s="299">
        <f>IFERROR(+F51/E51,"")</f>
        <v/>
      </c>
      <c r="H51" s="300">
        <f>IF(D51="","",_xlfn.XLOOKUP($C51,BASE01[COD],BASE01[Columna29],"")+_xlfn.XLOOKUP($C51,SEMANA2[COD],SEMANA2[Columna29],"")+_xlfn.XLOOKUP($C51,SEMANA29[COD],SEMANA29[Columna29],""))</f>
        <v/>
      </c>
      <c r="I51" s="300">
        <f>IF(D51="","",_xlfn.XLOOKUP($C51,BASE01[COD],BASE01[Columna30],"")+_xlfn.XLOOKUP($C51,SEMANA2[COD],SEMANA2[Columna30],"")+_xlfn.XLOOKUP($C51,SEMANA29[COD],SEMANA29[Columna30],""))</f>
        <v/>
      </c>
      <c r="J51" s="301">
        <f>IFERROR(+I51/H51,"")</f>
        <v/>
      </c>
      <c r="K51" s="302">
        <f>IF(D51="","",_xlfn.XLOOKUP($C51,BASE01[COD],BASE01[Columna32],"")+_xlfn.XLOOKUP($C51,SEMANA2[COD],SEMANA2[Columna32],"")+_xlfn.XLOOKUP($C51,SEMANA29[COD],SEMANA29[Columna32],""))</f>
        <v/>
      </c>
      <c r="L51" s="302">
        <f>IF(D51="","",_xlfn.XLOOKUP($C51,BASE01[COD],BASE01[Columna34],"")+_xlfn.XLOOKUP($C51,SEMANA2[COD],SEMANA2[Columna34],"")+_xlfn.XLOOKUP($C51,SEMANA29[COD],SEMANA29[Columna34],""))</f>
        <v/>
      </c>
      <c r="M51" s="303">
        <f>IFERROR(+L51/K51,"")</f>
        <v/>
      </c>
      <c r="N51" s="304">
        <f>IF(D51="","",_xlfn.XLOOKUP($C51,BASE01[COD],BASE01[Columna36],"")+_xlfn.XLOOKUP($C51,SEMANA2[COD],SEMANA2[Columna36],"")+_xlfn.XLOOKUP($C51,SEMANA29[COD],SEMANA29[Columna36],""))</f>
        <v/>
      </c>
      <c r="O51" s="304">
        <f>IF(D51="","",_xlfn.XLOOKUP($C51,BASE01[COD],BASE01[Columna37],"")+_xlfn.XLOOKUP($C51,SEMANA2[COD],SEMANA2[Columna37],"")+_xlfn.XLOOKUP($C51,SEMANA29[COD],SEMANA29[Columna37],""))</f>
        <v/>
      </c>
      <c r="P51" s="305">
        <f>IFERROR(+O51/N51,0)</f>
        <v/>
      </c>
      <c r="Q51" s="306">
        <f>_xlfn.XLOOKUP(C51,SEMANA29[COD],SEMANA29[Columna33],"")</f>
        <v/>
      </c>
      <c r="R51" s="3" t="n"/>
      <c r="U51" s="393" t="inlineStr">
        <is>
          <t>COD 47</t>
        </is>
      </c>
      <c r="V51" s="393">
        <f>U51</f>
        <v/>
      </c>
    </row>
    <row r="52" outlineLevel="1" ht="23.1" customFormat="1" customHeight="1" s="393">
      <c r="A52" s="295" t="n"/>
      <c r="B52" s="309">
        <f>+B51+1</f>
        <v/>
      </c>
      <c r="C52" s="611" t="inlineStr">
        <is>
          <t>COD 48</t>
        </is>
      </c>
      <c r="D52" s="297">
        <f>_xlfn.XLOOKUP(C52,CODIGOS_Y_PAGOS[CODIGO],CODIGOS_Y_PAGOS[NOMBRE PARTICIPANTE],"")</f>
        <v/>
      </c>
      <c r="E52" s="298">
        <f>IF(D52="","",_xlfn.XLOOKUP($C52,BASE01[COD],BASE01[Columna14],"")+_xlfn.XLOOKUP($C52,SEMANA2[COD],SEMANA2[Columna14],"")+_xlfn.XLOOKUP($C52,SEMANA29[COD],SEMANA29[Columna14],""))</f>
        <v/>
      </c>
      <c r="F52" s="298">
        <f>IF(D52="","",_xlfn.XLOOKUP($C52,BASE01[COD],BASE01[Columna19],"")+_xlfn.XLOOKUP($C52,SEMANA2[COD],SEMANA2[Columna19],"")+_xlfn.XLOOKUP($C52,SEMANA29[COD],SEMANA29[Columna19],""))</f>
        <v/>
      </c>
      <c r="G52" s="299">
        <f>IFERROR(+F52/E52,"")</f>
        <v/>
      </c>
      <c r="H52" s="300">
        <f>IF(D52="","",_xlfn.XLOOKUP($C52,BASE01[COD],BASE01[Columna29],"")+_xlfn.XLOOKUP($C52,SEMANA2[COD],SEMANA2[Columna29],"")+_xlfn.XLOOKUP($C52,SEMANA29[COD],SEMANA29[Columna29],""))</f>
        <v/>
      </c>
      <c r="I52" s="300">
        <f>IF(D52="","",_xlfn.XLOOKUP($C52,BASE01[COD],BASE01[Columna30],"")+_xlfn.XLOOKUP($C52,SEMANA2[COD],SEMANA2[Columna30],"")+_xlfn.XLOOKUP($C52,SEMANA29[COD],SEMANA29[Columna30],""))</f>
        <v/>
      </c>
      <c r="J52" s="301">
        <f>IFERROR(+I52/H52,"")</f>
        <v/>
      </c>
      <c r="K52" s="302">
        <f>IF(D52="","",_xlfn.XLOOKUP($C52,BASE01[COD],BASE01[Columna32],"")+_xlfn.XLOOKUP($C52,SEMANA2[COD],SEMANA2[Columna32],"")+_xlfn.XLOOKUP($C52,SEMANA29[COD],SEMANA29[Columna32],""))</f>
        <v/>
      </c>
      <c r="L52" s="302">
        <f>IF(D52="","",_xlfn.XLOOKUP($C52,BASE01[COD],BASE01[Columna34],"")+_xlfn.XLOOKUP($C52,SEMANA2[COD],SEMANA2[Columna34],"")+_xlfn.XLOOKUP($C52,SEMANA29[COD],SEMANA29[Columna34],""))</f>
        <v/>
      </c>
      <c r="M52" s="303">
        <f>IFERROR(+L52/K52,"")</f>
        <v/>
      </c>
      <c r="N52" s="304">
        <f>IF(D52="","",_xlfn.XLOOKUP($C52,BASE01[COD],BASE01[Columna36],"")+_xlfn.XLOOKUP($C52,SEMANA2[COD],SEMANA2[Columna36],"")+_xlfn.XLOOKUP($C52,SEMANA29[COD],SEMANA29[Columna36],""))</f>
        <v/>
      </c>
      <c r="O52" s="304">
        <f>IF(D52="","",_xlfn.XLOOKUP($C52,BASE01[COD],BASE01[Columna37],"")+_xlfn.XLOOKUP($C52,SEMANA2[COD],SEMANA2[Columna37],"")+_xlfn.XLOOKUP($C52,SEMANA29[COD],SEMANA29[Columna37],""))</f>
        <v/>
      </c>
      <c r="P52" s="305">
        <f>IFERROR(+O52/N52,0)</f>
        <v/>
      </c>
      <c r="Q52" s="306">
        <f>_xlfn.XLOOKUP(C52,SEMANA29[COD],SEMANA29[Columna33],"")</f>
        <v/>
      </c>
      <c r="R52" s="3" t="n"/>
      <c r="U52" s="393" t="inlineStr">
        <is>
          <t>COD 48</t>
        </is>
      </c>
      <c r="V52" s="393">
        <f>U52</f>
        <v/>
      </c>
    </row>
    <row r="53" outlineLevel="1" ht="23.1" customFormat="1" customHeight="1" s="393">
      <c r="A53" s="295" t="n"/>
      <c r="B53" s="309">
        <f>+B52+1</f>
        <v/>
      </c>
      <c r="C53" s="611" t="inlineStr">
        <is>
          <t>COD 49</t>
        </is>
      </c>
      <c r="D53" s="297">
        <f>_xlfn.XLOOKUP(C53,CODIGOS_Y_PAGOS[CODIGO],CODIGOS_Y_PAGOS[NOMBRE PARTICIPANTE],"")</f>
        <v/>
      </c>
      <c r="E53" s="298">
        <f>IF(D53="","",_xlfn.XLOOKUP($C53,BASE01[COD],BASE01[Columna14],"")+_xlfn.XLOOKUP($C53,SEMANA2[COD],SEMANA2[Columna14],"")+_xlfn.XLOOKUP($C53,SEMANA29[COD],SEMANA29[Columna14],""))</f>
        <v/>
      </c>
      <c r="F53" s="298">
        <f>IF(D53="","",_xlfn.XLOOKUP($C53,BASE01[COD],BASE01[Columna19],"")+_xlfn.XLOOKUP($C53,SEMANA2[COD],SEMANA2[Columna19],"")+_xlfn.XLOOKUP($C53,SEMANA29[COD],SEMANA29[Columna19],""))</f>
        <v/>
      </c>
      <c r="G53" s="299">
        <f>IFERROR(+F53/E53,"")</f>
        <v/>
      </c>
      <c r="H53" s="300">
        <f>IF(D53="","",_xlfn.XLOOKUP($C53,BASE01[COD],BASE01[Columna29],"")+_xlfn.XLOOKUP($C53,SEMANA2[COD],SEMANA2[Columna29],"")+_xlfn.XLOOKUP($C53,SEMANA29[COD],SEMANA29[Columna29],""))</f>
        <v/>
      </c>
      <c r="I53" s="300">
        <f>IF(D53="","",_xlfn.XLOOKUP($C53,BASE01[COD],BASE01[Columna30],"")+_xlfn.XLOOKUP($C53,SEMANA2[COD],SEMANA2[Columna30],"")+_xlfn.XLOOKUP($C53,SEMANA29[COD],SEMANA29[Columna30],""))</f>
        <v/>
      </c>
      <c r="J53" s="301">
        <f>IFERROR(+I53/H53,"")</f>
        <v/>
      </c>
      <c r="K53" s="302">
        <f>IF(D53="","",_xlfn.XLOOKUP($C53,BASE01[COD],BASE01[Columna32],"")+_xlfn.XLOOKUP($C53,SEMANA2[COD],SEMANA2[Columna32],"")+_xlfn.XLOOKUP($C53,SEMANA29[COD],SEMANA29[Columna32],""))</f>
        <v/>
      </c>
      <c r="L53" s="302">
        <f>IF(D53="","",_xlfn.XLOOKUP($C53,BASE01[COD],BASE01[Columna34],"")+_xlfn.XLOOKUP($C53,SEMANA2[COD],SEMANA2[Columna34],"")+_xlfn.XLOOKUP($C53,SEMANA29[COD],SEMANA29[Columna34],""))</f>
        <v/>
      </c>
      <c r="M53" s="303">
        <f>IFERROR(+L53/K53,"")</f>
        <v/>
      </c>
      <c r="N53" s="304">
        <f>IF(D53="","",_xlfn.XLOOKUP($C53,BASE01[COD],BASE01[Columna36],"")+_xlfn.XLOOKUP($C53,SEMANA2[COD],SEMANA2[Columna36],"")+_xlfn.XLOOKUP($C53,SEMANA29[COD],SEMANA29[Columna36],""))</f>
        <v/>
      </c>
      <c r="O53" s="304">
        <f>IF(D53="","",_xlfn.XLOOKUP($C53,BASE01[COD],BASE01[Columna37],"")+_xlfn.XLOOKUP($C53,SEMANA2[COD],SEMANA2[Columna37],"")+_xlfn.XLOOKUP($C53,SEMANA29[COD],SEMANA29[Columna37],""))</f>
        <v/>
      </c>
      <c r="P53" s="305">
        <f>IFERROR(+O53/N53,0)</f>
        <v/>
      </c>
      <c r="Q53" s="306">
        <f>_xlfn.XLOOKUP(C53,SEMANA29[COD],SEMANA29[Columna33],"")</f>
        <v/>
      </c>
      <c r="R53" s="3" t="n"/>
      <c r="U53" s="393" t="inlineStr">
        <is>
          <t>COD 49</t>
        </is>
      </c>
      <c r="V53" s="393">
        <f>U53</f>
        <v/>
      </c>
    </row>
    <row r="54" outlineLevel="1" ht="23.1" customFormat="1" customHeight="1" s="393">
      <c r="A54" s="295" t="n"/>
      <c r="B54" s="309">
        <f>+B53+1</f>
        <v/>
      </c>
      <c r="C54" s="611" t="inlineStr">
        <is>
          <t>COD 50</t>
        </is>
      </c>
      <c r="D54" s="297">
        <f>_xlfn.XLOOKUP(C54,CODIGOS_Y_PAGOS[CODIGO],CODIGOS_Y_PAGOS[NOMBRE PARTICIPANTE],"")</f>
        <v/>
      </c>
      <c r="E54" s="298">
        <f>IF(D54="","",_xlfn.XLOOKUP($C54,BASE01[COD],BASE01[Columna14],"")+_xlfn.XLOOKUP($C54,SEMANA2[COD],SEMANA2[Columna14],"")+_xlfn.XLOOKUP($C54,SEMANA29[COD],SEMANA29[Columna14],""))</f>
        <v/>
      </c>
      <c r="F54" s="298">
        <f>IF(D54="","",_xlfn.XLOOKUP($C54,BASE01[COD],BASE01[Columna19],"")+_xlfn.XLOOKUP($C54,SEMANA2[COD],SEMANA2[Columna19],"")+_xlfn.XLOOKUP($C54,SEMANA29[COD],SEMANA29[Columna19],""))</f>
        <v/>
      </c>
      <c r="G54" s="299">
        <f>IFERROR(+F54/E54,"")</f>
        <v/>
      </c>
      <c r="H54" s="300">
        <f>IF(D54="","",_xlfn.XLOOKUP($C54,BASE01[COD],BASE01[Columna29],"")+_xlfn.XLOOKUP($C54,SEMANA2[COD],SEMANA2[Columna29],"")+_xlfn.XLOOKUP($C54,SEMANA29[COD],SEMANA29[Columna29],""))</f>
        <v/>
      </c>
      <c r="I54" s="300">
        <f>IF(D54="","",_xlfn.XLOOKUP($C54,BASE01[COD],BASE01[Columna30],"")+_xlfn.XLOOKUP($C54,SEMANA2[COD],SEMANA2[Columna30],"")+_xlfn.XLOOKUP($C54,SEMANA29[COD],SEMANA29[Columna30],""))</f>
        <v/>
      </c>
      <c r="J54" s="301">
        <f>IFERROR(+I54/H54,"")</f>
        <v/>
      </c>
      <c r="K54" s="302">
        <f>IF(D54="","",_xlfn.XLOOKUP($C54,BASE01[COD],BASE01[Columna32],"")+_xlfn.XLOOKUP($C54,SEMANA2[COD],SEMANA2[Columna32],"")+_xlfn.XLOOKUP($C54,SEMANA29[COD],SEMANA29[Columna32],""))</f>
        <v/>
      </c>
      <c r="L54" s="302">
        <f>IF(D54="","",_xlfn.XLOOKUP($C54,BASE01[COD],BASE01[Columna34],"")+_xlfn.XLOOKUP($C54,SEMANA2[COD],SEMANA2[Columna34],"")+_xlfn.XLOOKUP($C54,SEMANA29[COD],SEMANA29[Columna34],""))</f>
        <v/>
      </c>
      <c r="M54" s="303">
        <f>IFERROR(+L54/K54,"")</f>
        <v/>
      </c>
      <c r="N54" s="304">
        <f>IF(D54="","",_xlfn.XLOOKUP($C54,BASE01[COD],BASE01[Columna36],"")+_xlfn.XLOOKUP($C54,SEMANA2[COD],SEMANA2[Columna36],"")+_xlfn.XLOOKUP($C54,SEMANA29[COD],SEMANA29[Columna36],""))</f>
        <v/>
      </c>
      <c r="O54" s="304">
        <f>IF(D54="","",_xlfn.XLOOKUP($C54,BASE01[COD],BASE01[Columna37],"")+_xlfn.XLOOKUP($C54,SEMANA2[COD],SEMANA2[Columna37],"")+_xlfn.XLOOKUP($C54,SEMANA29[COD],SEMANA29[Columna37],""))</f>
        <v/>
      </c>
      <c r="P54" s="305">
        <f>IFERROR(+O54/N54,0)</f>
        <v/>
      </c>
      <c r="Q54" s="306">
        <f>_xlfn.XLOOKUP(C54,SEMANA29[COD],SEMANA29[Columna33],"")</f>
        <v/>
      </c>
      <c r="R54" s="3" t="n"/>
      <c r="U54" s="393" t="inlineStr">
        <is>
          <t>COD 50</t>
        </is>
      </c>
      <c r="V54" s="393">
        <f>U54</f>
        <v/>
      </c>
    </row>
    <row r="55" ht="9" customFormat="1" customHeight="1" s="316">
      <c r="A55" s="295" t="n"/>
      <c r="B55" s="310" t="n"/>
      <c r="C55" s="311" t="n"/>
      <c r="D55" s="312" t="n"/>
      <c r="E55" s="313" t="n"/>
      <c r="F55" s="313" t="n"/>
      <c r="G55" s="314" t="n"/>
      <c r="H55" s="313" t="n"/>
      <c r="I55" s="313" t="n"/>
      <c r="J55" s="314" t="n"/>
      <c r="K55" s="313" t="n"/>
      <c r="L55" s="313" t="n"/>
      <c r="M55" s="314" t="n"/>
      <c r="N55" s="313" t="n"/>
      <c r="O55" s="313" t="n"/>
      <c r="P55" s="315" t="n"/>
      <c r="Q55" s="310" t="n"/>
      <c r="R55" s="3" t="n"/>
    </row>
    <row r="56" outlineLevel="1" ht="9" customHeight="1" s="568">
      <c r="R56" s="3" t="n"/>
    </row>
    <row r="57" outlineLevel="1" ht="51.75" customFormat="1" customHeight="1" s="283">
      <c r="A57" s="282" t="n"/>
      <c r="B57" s="582" t="inlineStr">
        <is>
          <t>CAMPEONATO DE MARCAS                            RANKING SEMANAL</t>
        </is>
      </c>
      <c r="C57" s="557" t="n"/>
      <c r="D57" s="557" t="n"/>
      <c r="E57" s="557" t="n"/>
      <c r="F57" s="557" t="n"/>
      <c r="G57" s="557" t="n"/>
      <c r="H57" s="557" t="n"/>
      <c r="I57" s="557" t="n"/>
      <c r="J57" s="557" t="n"/>
      <c r="K57" s="557" t="n"/>
      <c r="L57" s="557" t="n"/>
      <c r="M57" s="557" t="n"/>
      <c r="N57" s="557" t="n"/>
      <c r="O57" s="557" t="n"/>
      <c r="P57" s="557" t="n"/>
      <c r="Q57" s="581" t="n"/>
    </row>
    <row r="58" outlineLevel="1" ht="39" customHeight="1" s="568">
      <c r="A58" s="1" t="n"/>
      <c r="B58" s="349">
        <f>CONTROL!D2</f>
        <v/>
      </c>
      <c r="C58" s="284" t="n"/>
      <c r="D58" s="284" t="n"/>
      <c r="E58" s="284" t="n"/>
      <c r="F58" s="284" t="n"/>
      <c r="G58" s="284" t="n"/>
      <c r="H58" s="284" t="n"/>
      <c r="I58" s="284" t="n"/>
      <c r="J58" s="284" t="n"/>
      <c r="K58" s="284" t="n"/>
      <c r="L58" s="284" t="n"/>
      <c r="M58" s="284" t="n"/>
      <c r="N58" s="580">
        <f>N3</f>
        <v/>
      </c>
      <c r="O58" s="557" t="n"/>
      <c r="P58" s="557" t="n"/>
      <c r="Q58" s="581" t="n"/>
      <c r="R58" s="3" t="n"/>
    </row>
    <row r="59" outlineLevel="1" ht="23.1" customFormat="1" customHeight="1" s="576">
      <c r="A59" s="285" t="n"/>
      <c r="B59" s="286" t="n">
        <v>0</v>
      </c>
      <c r="C59" s="287" t="inlineStr">
        <is>
          <t>COD</t>
        </is>
      </c>
      <c r="D59" s="288" t="inlineStr">
        <is>
          <t>NOMBRE PARTICIPANTE</t>
        </is>
      </c>
      <c r="E59" s="289" t="inlineStr">
        <is>
          <t>UNA MARCA</t>
        </is>
      </c>
      <c r="F59" s="290" t="n"/>
      <c r="G59" s="290" t="n"/>
      <c r="H59" s="289" t="inlineStr">
        <is>
          <t>DOS MARCAS</t>
        </is>
      </c>
      <c r="I59" s="290" t="n"/>
      <c r="J59" s="290" t="n"/>
      <c r="K59" s="289" t="inlineStr">
        <is>
          <t>TRES MARCAS</t>
        </is>
      </c>
      <c r="L59" s="289" t="n"/>
      <c r="M59" s="289" t="n"/>
      <c r="N59" s="291" t="inlineStr">
        <is>
          <t>FIJAS</t>
        </is>
      </c>
      <c r="O59" s="292" t="n"/>
      <c r="P59" s="293" t="n"/>
      <c r="Q59" s="294" t="inlineStr">
        <is>
          <t>PUNTOS</t>
        </is>
      </c>
      <c r="R59" s="3" t="n"/>
    </row>
    <row r="60" outlineLevel="1" ht="23.1" customFormat="1" customHeight="1" s="393">
      <c r="A60" s="295" t="n"/>
      <c r="B60" s="296" t="n">
        <v>1</v>
      </c>
      <c r="C60" s="611">
        <f t="array" ref="C60:C109">_xlfn.SORTBY(SEMANA29[COD],SEMANA29[Columna1],-1)</f>
        <v/>
      </c>
      <c r="D60" s="469">
        <f>_xlfn.XLOOKUP(C60,CODIGOS_Y_PAGOS[CODIGO],CODIGOS_Y_PAGOS[NOMBRE PARTICIPANTE],"")</f>
        <v/>
      </c>
      <c r="E60" s="298">
        <f>_xlfn.XLOOKUP($C60,SEMANA29[COD],SEMANA29[Columna14],"")</f>
        <v/>
      </c>
      <c r="F60" s="298">
        <f>_xlfn.XLOOKUP(C60,SEMANA29[COD],SEMANA29[Columna19],"")</f>
        <v/>
      </c>
      <c r="G60" s="299">
        <f>IFERROR(+F60/E60,"0,00")</f>
        <v/>
      </c>
      <c r="H60" s="300">
        <f>_xlfn.XLOOKUP(C60,SEMANA29[COD],SEMANA29[Columna32],"")</f>
        <v/>
      </c>
      <c r="I60" s="300">
        <f>_xlfn.XLOOKUP(C60,SEMANA29[COD],SEMANA29[Columna30],"")</f>
        <v/>
      </c>
      <c r="J60" s="301">
        <f>IFERROR(+I60/H60,"0,00")</f>
        <v/>
      </c>
      <c r="K60" s="302">
        <f>_xlfn.XLOOKUP(C60,SEMANA29[COD],SEMANA29[Columna32],"")</f>
        <v/>
      </c>
      <c r="L60" s="302">
        <f>_xlfn.XLOOKUP(C60,SEMANA29[COD],SEMANA29[Columna34],"")</f>
        <v/>
      </c>
      <c r="M60" s="303">
        <f>IFERROR(+L60/K60,"0,00")</f>
        <v/>
      </c>
      <c r="N60" s="304">
        <f>_xlfn.XLOOKUP(C60,SEMANA29[COD],SEMANA29[Columna36],"")</f>
        <v/>
      </c>
      <c r="O60" s="304">
        <f>_xlfn.XLOOKUP(C60,SEMANA29[COD],SEMANA29[Columna37],"")</f>
        <v/>
      </c>
      <c r="P60" s="305">
        <f>IFERROR(+O60/N60,"0,00")</f>
        <v/>
      </c>
      <c r="Q60" s="306">
        <f>_xlfn.XLOOKUP(C60,SEMANA29[COD],SEMANA29[Columna1],"")</f>
        <v/>
      </c>
      <c r="R60" s="3" t="n"/>
      <c r="U60" s="393">
        <f t="array" ref="U60:U109">_xlfn.SORTBY(C60:C109,Q60:Q109,-1)</f>
        <v/>
      </c>
      <c r="V60" s="393">
        <f>U60</f>
        <v/>
      </c>
    </row>
    <row r="61" outlineLevel="1" ht="23.1" customFormat="1" customHeight="1" s="393">
      <c r="A61" s="295" t="n"/>
      <c r="B61" s="296">
        <f>+B60+1</f>
        <v/>
      </c>
      <c r="C61" s="611" t="inlineStr">
        <is>
          <t>COD 02</t>
        </is>
      </c>
      <c r="D61" s="469">
        <f>_xlfn.XLOOKUP(C61,CODIGOS_Y_PAGOS[CODIGO],CODIGOS_Y_PAGOS[NOMBRE PARTICIPANTE],"")</f>
        <v/>
      </c>
      <c r="E61" s="298">
        <f>_xlfn.XLOOKUP($C61,SEMANA29[COD],SEMANA29[Columna14],"")</f>
        <v/>
      </c>
      <c r="F61" s="298">
        <f>_xlfn.XLOOKUP(C61,SEMANA29[COD],SEMANA29[Columna19],"")</f>
        <v/>
      </c>
      <c r="G61" s="299">
        <f>IFERROR(+F61/E61,"0,00")</f>
        <v/>
      </c>
      <c r="H61" s="300">
        <f>_xlfn.XLOOKUP(C61,SEMANA29[COD],SEMANA29[Columna32],"")</f>
        <v/>
      </c>
      <c r="I61" s="300">
        <f>_xlfn.XLOOKUP(C61,SEMANA29[COD],SEMANA29[Columna30],"")</f>
        <v/>
      </c>
      <c r="J61" s="301">
        <f>IFERROR(+I61/H61,"0,00")</f>
        <v/>
      </c>
      <c r="K61" s="302">
        <f>_xlfn.XLOOKUP(C61,SEMANA29[COD],SEMANA29[Columna32],"")</f>
        <v/>
      </c>
      <c r="L61" s="302">
        <f>_xlfn.XLOOKUP(C61,SEMANA29[COD],SEMANA29[Columna34],"")</f>
        <v/>
      </c>
      <c r="M61" s="303">
        <f>IFERROR(+L61/K61,"0,00")</f>
        <v/>
      </c>
      <c r="N61" s="304">
        <f>_xlfn.XLOOKUP(C61,SEMANA29[COD],SEMANA29[Columna36],"")</f>
        <v/>
      </c>
      <c r="O61" s="304">
        <f>_xlfn.XLOOKUP(C61,SEMANA29[COD],SEMANA29[Columna37],"")</f>
        <v/>
      </c>
      <c r="P61" s="305">
        <f>IFERROR(+O61/N61,"0,00")</f>
        <v/>
      </c>
      <c r="Q61" s="306">
        <f>_xlfn.XLOOKUP(C61,SEMANA29[COD],SEMANA29[Columna1],"")</f>
        <v/>
      </c>
      <c r="R61" s="3" t="n"/>
      <c r="U61" s="393" t="inlineStr">
        <is>
          <t>COD 02</t>
        </is>
      </c>
      <c r="V61" s="393">
        <f>U61</f>
        <v/>
      </c>
    </row>
    <row r="62" outlineLevel="1" ht="23.1" customFormat="1" customHeight="1" s="393">
      <c r="A62" s="295" t="n"/>
      <c r="B62" s="296">
        <f>+B61+1</f>
        <v/>
      </c>
      <c r="C62" s="611" t="inlineStr">
        <is>
          <t>COD 03</t>
        </is>
      </c>
      <c r="D62" s="469">
        <f>_xlfn.XLOOKUP(C62,CODIGOS_Y_PAGOS[CODIGO],CODIGOS_Y_PAGOS[NOMBRE PARTICIPANTE],"")</f>
        <v/>
      </c>
      <c r="E62" s="298">
        <f>_xlfn.XLOOKUP($C62,SEMANA29[COD],SEMANA29[Columna14],"")</f>
        <v/>
      </c>
      <c r="F62" s="298">
        <f>_xlfn.XLOOKUP(C62,SEMANA29[COD],SEMANA29[Columna19],"")</f>
        <v/>
      </c>
      <c r="G62" s="299">
        <f>IFERROR(+F62/E62,"0,00")</f>
        <v/>
      </c>
      <c r="H62" s="300">
        <f>_xlfn.XLOOKUP(C62,SEMANA29[COD],SEMANA29[Columna32],"")</f>
        <v/>
      </c>
      <c r="I62" s="300">
        <f>_xlfn.XLOOKUP(C62,SEMANA29[COD],SEMANA29[Columna30],"")</f>
        <v/>
      </c>
      <c r="J62" s="301">
        <f>IFERROR(+I62/H62,"0,00")</f>
        <v/>
      </c>
      <c r="K62" s="302">
        <f>_xlfn.XLOOKUP(C62,SEMANA29[COD],SEMANA29[Columna32],"")</f>
        <v/>
      </c>
      <c r="L62" s="302">
        <f>_xlfn.XLOOKUP(C62,SEMANA29[COD],SEMANA29[Columna34],"")</f>
        <v/>
      </c>
      <c r="M62" s="303">
        <f>IFERROR(+L62/K62,"0,00")</f>
        <v/>
      </c>
      <c r="N62" s="304">
        <f>_xlfn.XLOOKUP(C62,SEMANA29[COD],SEMANA29[Columna36],"")</f>
        <v/>
      </c>
      <c r="O62" s="304">
        <f>_xlfn.XLOOKUP(C62,SEMANA29[COD],SEMANA29[Columna37],"")</f>
        <v/>
      </c>
      <c r="P62" s="305">
        <f>IFERROR(+O62/N62,"0,00")</f>
        <v/>
      </c>
      <c r="Q62" s="306">
        <f>_xlfn.XLOOKUP(C62,SEMANA29[COD],SEMANA29[Columna1],"")</f>
        <v/>
      </c>
      <c r="R62" s="3" t="n"/>
      <c r="U62" s="393" t="inlineStr">
        <is>
          <t>COD 03</t>
        </is>
      </c>
      <c r="V62" s="393">
        <f>U62</f>
        <v/>
      </c>
    </row>
    <row r="63" outlineLevel="1" ht="23.1" customFormat="1" customHeight="1" s="393">
      <c r="A63" s="295" t="n"/>
      <c r="B63" s="296">
        <f>+B62+1</f>
        <v/>
      </c>
      <c r="C63" s="611" t="inlineStr">
        <is>
          <t>COD 04</t>
        </is>
      </c>
      <c r="D63" s="469">
        <f>_xlfn.XLOOKUP(C63,CODIGOS_Y_PAGOS[CODIGO],CODIGOS_Y_PAGOS[NOMBRE PARTICIPANTE],"")</f>
        <v/>
      </c>
      <c r="E63" s="298">
        <f>_xlfn.XLOOKUP($C63,SEMANA29[COD],SEMANA29[Columna14],"")</f>
        <v/>
      </c>
      <c r="F63" s="298">
        <f>_xlfn.XLOOKUP(C63,SEMANA29[COD],SEMANA29[Columna19],"")</f>
        <v/>
      </c>
      <c r="G63" s="299">
        <f>IFERROR(+F63/E63,"0,00")</f>
        <v/>
      </c>
      <c r="H63" s="300">
        <f>_xlfn.XLOOKUP(C63,SEMANA29[COD],SEMANA29[Columna32],"")</f>
        <v/>
      </c>
      <c r="I63" s="300">
        <f>_xlfn.XLOOKUP(C63,SEMANA29[COD],SEMANA29[Columna30],"")</f>
        <v/>
      </c>
      <c r="J63" s="301">
        <f>IFERROR(+I63/H63,"0,00")</f>
        <v/>
      </c>
      <c r="K63" s="302">
        <f>_xlfn.XLOOKUP(C63,SEMANA29[COD],SEMANA29[Columna32],"")</f>
        <v/>
      </c>
      <c r="L63" s="302">
        <f>_xlfn.XLOOKUP(C63,SEMANA29[COD],SEMANA29[Columna34],"")</f>
        <v/>
      </c>
      <c r="M63" s="303">
        <f>IFERROR(+L63/K63,"0,00")</f>
        <v/>
      </c>
      <c r="N63" s="304">
        <f>_xlfn.XLOOKUP(C63,SEMANA29[COD],SEMANA29[Columna36],"")</f>
        <v/>
      </c>
      <c r="O63" s="304">
        <f>_xlfn.XLOOKUP(C63,SEMANA29[COD],SEMANA29[Columna37],"")</f>
        <v/>
      </c>
      <c r="P63" s="305">
        <f>IFERROR(+O63/N63,"0,00")</f>
        <v/>
      </c>
      <c r="Q63" s="306">
        <f>_xlfn.XLOOKUP(C63,SEMANA29[COD],SEMANA29[Columna1],"")</f>
        <v/>
      </c>
      <c r="R63" s="3" t="n"/>
      <c r="U63" s="393" t="inlineStr">
        <is>
          <t>COD 04</t>
        </is>
      </c>
      <c r="V63" s="393">
        <f>U63</f>
        <v/>
      </c>
    </row>
    <row r="64" outlineLevel="1" ht="23.1" customFormat="1" customHeight="1" s="393">
      <c r="A64" s="295" t="n"/>
      <c r="B64" s="296">
        <f>+B63+1</f>
        <v/>
      </c>
      <c r="C64" s="611" t="inlineStr">
        <is>
          <t>COD 05</t>
        </is>
      </c>
      <c r="D64" s="469">
        <f>_xlfn.XLOOKUP(C64,CODIGOS_Y_PAGOS[CODIGO],CODIGOS_Y_PAGOS[NOMBRE PARTICIPANTE],"")</f>
        <v/>
      </c>
      <c r="E64" s="298">
        <f>_xlfn.XLOOKUP($C64,SEMANA29[COD],SEMANA29[Columna14],"")</f>
        <v/>
      </c>
      <c r="F64" s="298">
        <f>_xlfn.XLOOKUP(C64,SEMANA29[COD],SEMANA29[Columna19],"")</f>
        <v/>
      </c>
      <c r="G64" s="299">
        <f>IFERROR(+F64/E64,"0,00")</f>
        <v/>
      </c>
      <c r="H64" s="300">
        <f>_xlfn.XLOOKUP(C64,SEMANA29[COD],SEMANA29[Columna32],"")</f>
        <v/>
      </c>
      <c r="I64" s="300">
        <f>_xlfn.XLOOKUP(C64,SEMANA29[COD],SEMANA29[Columna30],"")</f>
        <v/>
      </c>
      <c r="J64" s="301">
        <f>IFERROR(+I64/H64,"0,00")</f>
        <v/>
      </c>
      <c r="K64" s="302">
        <f>_xlfn.XLOOKUP(C64,SEMANA29[COD],SEMANA29[Columna32],"")</f>
        <v/>
      </c>
      <c r="L64" s="302">
        <f>_xlfn.XLOOKUP(C64,SEMANA29[COD],SEMANA29[Columna34],"")</f>
        <v/>
      </c>
      <c r="M64" s="303">
        <f>IFERROR(+L64/K64,"0,00")</f>
        <v/>
      </c>
      <c r="N64" s="304">
        <f>_xlfn.XLOOKUP(C64,SEMANA29[COD],SEMANA29[Columna36],"")</f>
        <v/>
      </c>
      <c r="O64" s="304">
        <f>_xlfn.XLOOKUP(C64,SEMANA29[COD],SEMANA29[Columna37],"")</f>
        <v/>
      </c>
      <c r="P64" s="305">
        <f>IFERROR(+O64/N64,"0,00")</f>
        <v/>
      </c>
      <c r="Q64" s="306">
        <f>_xlfn.XLOOKUP(C64,SEMANA29[COD],SEMANA29[Columna1],"")</f>
        <v/>
      </c>
      <c r="R64" s="3" t="n"/>
      <c r="U64" s="393" t="inlineStr">
        <is>
          <t>COD 05</t>
        </is>
      </c>
      <c r="V64" s="393">
        <f>U64</f>
        <v/>
      </c>
    </row>
    <row r="65" outlineLevel="1" ht="23.1" customFormat="1" customHeight="1" s="393">
      <c r="A65" s="295" t="n"/>
      <c r="B65" s="296">
        <f>+B64+1</f>
        <v/>
      </c>
      <c r="C65" s="611" t="inlineStr">
        <is>
          <t>COD 06</t>
        </is>
      </c>
      <c r="D65" s="469">
        <f>_xlfn.XLOOKUP(C65,CODIGOS_Y_PAGOS[CODIGO],CODIGOS_Y_PAGOS[NOMBRE PARTICIPANTE],"")</f>
        <v/>
      </c>
      <c r="E65" s="298">
        <f>_xlfn.XLOOKUP($C65,SEMANA29[COD],SEMANA29[Columna14],"")</f>
        <v/>
      </c>
      <c r="F65" s="298">
        <f>_xlfn.XLOOKUP(C65,SEMANA29[COD],SEMANA29[Columna19],"")</f>
        <v/>
      </c>
      <c r="G65" s="299">
        <f>IFERROR(+F65/E65,"0,00")</f>
        <v/>
      </c>
      <c r="H65" s="300">
        <f>_xlfn.XLOOKUP(C65,SEMANA29[COD],SEMANA29[Columna32],"")</f>
        <v/>
      </c>
      <c r="I65" s="300">
        <f>_xlfn.XLOOKUP(C65,SEMANA29[COD],SEMANA29[Columna30],"")</f>
        <v/>
      </c>
      <c r="J65" s="301">
        <f>IFERROR(+I65/H65,"0,00")</f>
        <v/>
      </c>
      <c r="K65" s="302">
        <f>_xlfn.XLOOKUP(C65,SEMANA29[COD],SEMANA29[Columna32],"")</f>
        <v/>
      </c>
      <c r="L65" s="302">
        <f>_xlfn.XLOOKUP(C65,SEMANA29[COD],SEMANA29[Columna34],"")</f>
        <v/>
      </c>
      <c r="M65" s="303">
        <f>IFERROR(+L65/K65,"0,00")</f>
        <v/>
      </c>
      <c r="N65" s="304">
        <f>_xlfn.XLOOKUP(C65,SEMANA29[COD],SEMANA29[Columna36],"")</f>
        <v/>
      </c>
      <c r="O65" s="304">
        <f>_xlfn.XLOOKUP(C65,SEMANA29[COD],SEMANA29[Columna37],"")</f>
        <v/>
      </c>
      <c r="P65" s="305">
        <f>IFERROR(+O65/N65,"0,00")</f>
        <v/>
      </c>
      <c r="Q65" s="306">
        <f>_xlfn.XLOOKUP(C65,SEMANA29[COD],SEMANA29[Columna1],"")</f>
        <v/>
      </c>
      <c r="R65" s="3" t="n"/>
      <c r="U65" s="393" t="inlineStr">
        <is>
          <t>COD 06</t>
        </is>
      </c>
      <c r="V65" s="393">
        <f>U65</f>
        <v/>
      </c>
    </row>
    <row r="66" outlineLevel="1" ht="23.1" customFormat="1" customHeight="1" s="393">
      <c r="A66" s="295" t="n"/>
      <c r="B66" s="307">
        <f>+B65+1</f>
        <v/>
      </c>
      <c r="C66" s="611" t="inlineStr">
        <is>
          <t>COD 07</t>
        </is>
      </c>
      <c r="D66" s="469">
        <f>_xlfn.XLOOKUP(C66,CODIGOS_Y_PAGOS[CODIGO],CODIGOS_Y_PAGOS[NOMBRE PARTICIPANTE],"")</f>
        <v/>
      </c>
      <c r="E66" s="298">
        <f>_xlfn.XLOOKUP($C66,SEMANA29[COD],SEMANA29[Columna14],"")</f>
        <v/>
      </c>
      <c r="F66" s="298">
        <f>_xlfn.XLOOKUP(C66,SEMANA29[COD],SEMANA29[Columna19],"")</f>
        <v/>
      </c>
      <c r="G66" s="299">
        <f>IFERROR(+F66/E66,"0,00")</f>
        <v/>
      </c>
      <c r="H66" s="300">
        <f>_xlfn.XLOOKUP(C66,SEMANA29[COD],SEMANA29[Columna32],"")</f>
        <v/>
      </c>
      <c r="I66" s="300">
        <f>_xlfn.XLOOKUP(C66,SEMANA29[COD],SEMANA29[Columna30],"")</f>
        <v/>
      </c>
      <c r="J66" s="301">
        <f>IFERROR(+I66/H66,"0,00")</f>
        <v/>
      </c>
      <c r="K66" s="302">
        <f>_xlfn.XLOOKUP(C66,SEMANA29[COD],SEMANA29[Columna32],"")</f>
        <v/>
      </c>
      <c r="L66" s="302">
        <f>_xlfn.XLOOKUP(C66,SEMANA29[COD],SEMANA29[Columna34],"")</f>
        <v/>
      </c>
      <c r="M66" s="303">
        <f>IFERROR(+L66/K66,"0,00")</f>
        <v/>
      </c>
      <c r="N66" s="304">
        <f>_xlfn.XLOOKUP(C66,SEMANA29[COD],SEMANA29[Columna36],"")</f>
        <v/>
      </c>
      <c r="O66" s="304">
        <f>_xlfn.XLOOKUP(C66,SEMANA29[COD],SEMANA29[Columna37],"")</f>
        <v/>
      </c>
      <c r="P66" s="305">
        <f>IFERROR(+O66/N66,"0,00")</f>
        <v/>
      </c>
      <c r="Q66" s="306">
        <f>_xlfn.XLOOKUP(C66,SEMANA29[COD],SEMANA29[Columna1],"")</f>
        <v/>
      </c>
      <c r="R66" s="3" t="n"/>
      <c r="U66" s="393" t="inlineStr">
        <is>
          <t>COD 07</t>
        </is>
      </c>
      <c r="V66" s="393">
        <f>U66</f>
        <v/>
      </c>
    </row>
    <row r="67" outlineLevel="1" ht="23.1" customFormat="1" customHeight="1" s="393">
      <c r="A67" s="295" t="n"/>
      <c r="B67" s="296">
        <f>+B66+1</f>
        <v/>
      </c>
      <c r="C67" s="611" t="inlineStr">
        <is>
          <t>COD 08</t>
        </is>
      </c>
      <c r="D67" s="469">
        <f>_xlfn.XLOOKUP(C67,CODIGOS_Y_PAGOS[CODIGO],CODIGOS_Y_PAGOS[NOMBRE PARTICIPANTE],"")</f>
        <v/>
      </c>
      <c r="E67" s="298">
        <f>_xlfn.XLOOKUP($C67,SEMANA29[COD],SEMANA29[Columna14],"")</f>
        <v/>
      </c>
      <c r="F67" s="298">
        <f>_xlfn.XLOOKUP(C67,SEMANA29[COD],SEMANA29[Columna19],"")</f>
        <v/>
      </c>
      <c r="G67" s="299">
        <f>IFERROR(+F67/E67,"0,00")</f>
        <v/>
      </c>
      <c r="H67" s="300">
        <f>_xlfn.XLOOKUP(C67,SEMANA29[COD],SEMANA29[Columna32],"")</f>
        <v/>
      </c>
      <c r="I67" s="300">
        <f>_xlfn.XLOOKUP(C67,SEMANA29[COD],SEMANA29[Columna30],"")</f>
        <v/>
      </c>
      <c r="J67" s="301">
        <f>IFERROR(+I67/H67,"0,00")</f>
        <v/>
      </c>
      <c r="K67" s="302">
        <f>_xlfn.XLOOKUP(C67,SEMANA29[COD],SEMANA29[Columna32],"")</f>
        <v/>
      </c>
      <c r="L67" s="302">
        <f>_xlfn.XLOOKUP(C67,SEMANA29[COD],SEMANA29[Columna34],"")</f>
        <v/>
      </c>
      <c r="M67" s="303">
        <f>IFERROR(+L67/K67,"0,00")</f>
        <v/>
      </c>
      <c r="N67" s="304">
        <f>_xlfn.XLOOKUP(C67,SEMANA29[COD],SEMANA29[Columna36],"")</f>
        <v/>
      </c>
      <c r="O67" s="304">
        <f>_xlfn.XLOOKUP(C67,SEMANA29[COD],SEMANA29[Columna37],"")</f>
        <v/>
      </c>
      <c r="P67" s="305">
        <f>IFERROR(+O67/N67,"0,00")</f>
        <v/>
      </c>
      <c r="Q67" s="306">
        <f>_xlfn.XLOOKUP(C67,SEMANA29[COD],SEMANA29[Columna1],"")</f>
        <v/>
      </c>
      <c r="R67" s="3" t="n"/>
      <c r="U67" s="393" t="inlineStr">
        <is>
          <t>COD 08</t>
        </is>
      </c>
      <c r="V67" s="393">
        <f>U67</f>
        <v/>
      </c>
    </row>
    <row r="68" outlineLevel="1" ht="23.1" customFormat="1" customHeight="1" s="393">
      <c r="A68" s="295" t="n"/>
      <c r="B68" s="296">
        <f>+B67+1</f>
        <v/>
      </c>
      <c r="C68" s="611" t="inlineStr">
        <is>
          <t>COD 09</t>
        </is>
      </c>
      <c r="D68" s="469">
        <f>_xlfn.XLOOKUP(C68,CODIGOS_Y_PAGOS[CODIGO],CODIGOS_Y_PAGOS[NOMBRE PARTICIPANTE],"")</f>
        <v/>
      </c>
      <c r="E68" s="298">
        <f>_xlfn.XLOOKUP($C68,SEMANA29[COD],SEMANA29[Columna14],"")</f>
        <v/>
      </c>
      <c r="F68" s="298">
        <f>_xlfn.XLOOKUP(C68,SEMANA29[COD],SEMANA29[Columna19],"")</f>
        <v/>
      </c>
      <c r="G68" s="299">
        <f>IFERROR(+F68/E68,"0,00")</f>
        <v/>
      </c>
      <c r="H68" s="300">
        <f>_xlfn.XLOOKUP(C68,SEMANA29[COD],SEMANA29[Columna32],"")</f>
        <v/>
      </c>
      <c r="I68" s="300">
        <f>_xlfn.XLOOKUP(C68,SEMANA29[COD],SEMANA29[Columna30],"")</f>
        <v/>
      </c>
      <c r="J68" s="301">
        <f>IFERROR(+I68/H68,"0,00")</f>
        <v/>
      </c>
      <c r="K68" s="302">
        <f>_xlfn.XLOOKUP(C68,SEMANA29[COD],SEMANA29[Columna32],"")</f>
        <v/>
      </c>
      <c r="L68" s="302">
        <f>_xlfn.XLOOKUP(C68,SEMANA29[COD],SEMANA29[Columna34],"")</f>
        <v/>
      </c>
      <c r="M68" s="303">
        <f>IFERROR(+L68/K68,"0,00")</f>
        <v/>
      </c>
      <c r="N68" s="304">
        <f>_xlfn.XLOOKUP(C68,SEMANA29[COD],SEMANA29[Columna36],"")</f>
        <v/>
      </c>
      <c r="O68" s="304">
        <f>_xlfn.XLOOKUP(C68,SEMANA29[COD],SEMANA29[Columna37],"")</f>
        <v/>
      </c>
      <c r="P68" s="305">
        <f>IFERROR(+O68/N68,"0,00")</f>
        <v/>
      </c>
      <c r="Q68" s="306">
        <f>_xlfn.XLOOKUP(C68,SEMANA29[COD],SEMANA29[Columna1],"")</f>
        <v/>
      </c>
      <c r="R68" s="3" t="n"/>
      <c r="U68" s="393" t="inlineStr">
        <is>
          <t>COD 09</t>
        </is>
      </c>
      <c r="V68" s="393">
        <f>U68</f>
        <v/>
      </c>
    </row>
    <row r="69" outlineLevel="1" ht="23.1" customFormat="1" customHeight="1" s="393">
      <c r="A69" s="295" t="n"/>
      <c r="B69" s="296">
        <f>+B68+1</f>
        <v/>
      </c>
      <c r="C69" s="611" t="inlineStr">
        <is>
          <t>COD 10</t>
        </is>
      </c>
      <c r="D69" s="469">
        <f>_xlfn.XLOOKUP(C69,CODIGOS_Y_PAGOS[CODIGO],CODIGOS_Y_PAGOS[NOMBRE PARTICIPANTE],"")</f>
        <v/>
      </c>
      <c r="E69" s="298">
        <f>_xlfn.XLOOKUP($C69,SEMANA29[COD],SEMANA29[Columna14],"")</f>
        <v/>
      </c>
      <c r="F69" s="298">
        <f>_xlfn.XLOOKUP(C69,SEMANA29[COD],SEMANA29[Columna19],"")</f>
        <v/>
      </c>
      <c r="G69" s="299">
        <f>IFERROR(+F69/E69,"0,00")</f>
        <v/>
      </c>
      <c r="H69" s="300">
        <f>_xlfn.XLOOKUP(C69,SEMANA29[COD],SEMANA29[Columna32],"")</f>
        <v/>
      </c>
      <c r="I69" s="300">
        <f>_xlfn.XLOOKUP(C69,SEMANA29[COD],SEMANA29[Columna30],"")</f>
        <v/>
      </c>
      <c r="J69" s="301">
        <f>IFERROR(+I69/H69,"0,00")</f>
        <v/>
      </c>
      <c r="K69" s="302">
        <f>_xlfn.XLOOKUP(C69,SEMANA29[COD],SEMANA29[Columna32],"")</f>
        <v/>
      </c>
      <c r="L69" s="302">
        <f>_xlfn.XLOOKUP(C69,SEMANA29[COD],SEMANA29[Columna34],"")</f>
        <v/>
      </c>
      <c r="M69" s="303">
        <f>IFERROR(+L69/K69,"0,00")</f>
        <v/>
      </c>
      <c r="N69" s="304">
        <f>_xlfn.XLOOKUP(C69,SEMANA29[COD],SEMANA29[Columna36],"")</f>
        <v/>
      </c>
      <c r="O69" s="304">
        <f>_xlfn.XLOOKUP(C69,SEMANA29[COD],SEMANA29[Columna37],"")</f>
        <v/>
      </c>
      <c r="P69" s="305">
        <f>IFERROR(+O69/N69,"0,00")</f>
        <v/>
      </c>
      <c r="Q69" s="306">
        <f>_xlfn.XLOOKUP(C69,SEMANA29[COD],SEMANA29[Columna1],"")</f>
        <v/>
      </c>
      <c r="R69" s="3" t="n"/>
      <c r="U69" s="393" t="inlineStr">
        <is>
          <t>COD 10</t>
        </is>
      </c>
      <c r="V69" s="393">
        <f>U69</f>
        <v/>
      </c>
    </row>
    <row r="70" outlineLevel="1" ht="23.1" customFormat="1" customHeight="1" s="393">
      <c r="A70" s="295" t="n"/>
      <c r="B70" s="296">
        <f>+B69+1</f>
        <v/>
      </c>
      <c r="C70" s="611" t="inlineStr">
        <is>
          <t>COD 11</t>
        </is>
      </c>
      <c r="D70" s="469">
        <f>_xlfn.XLOOKUP(C70,CODIGOS_Y_PAGOS[CODIGO],CODIGOS_Y_PAGOS[NOMBRE PARTICIPANTE],"")</f>
        <v/>
      </c>
      <c r="E70" s="298">
        <f>_xlfn.XLOOKUP($C70,SEMANA29[COD],SEMANA29[Columna14],"")</f>
        <v/>
      </c>
      <c r="F70" s="298">
        <f>_xlfn.XLOOKUP(C70,SEMANA29[COD],SEMANA29[Columna19],"")</f>
        <v/>
      </c>
      <c r="G70" s="299">
        <f>IFERROR(+F70/E70,"0,00")</f>
        <v/>
      </c>
      <c r="H70" s="300">
        <f>_xlfn.XLOOKUP(C70,SEMANA29[COD],SEMANA29[Columna32],"")</f>
        <v/>
      </c>
      <c r="I70" s="300">
        <f>_xlfn.XLOOKUP(C70,SEMANA29[COD],SEMANA29[Columna30],"")</f>
        <v/>
      </c>
      <c r="J70" s="301">
        <f>IFERROR(+I70/H70,"0,00")</f>
        <v/>
      </c>
      <c r="K70" s="302">
        <f>_xlfn.XLOOKUP(C70,SEMANA29[COD],SEMANA29[Columna32],"")</f>
        <v/>
      </c>
      <c r="L70" s="302">
        <f>_xlfn.XLOOKUP(C70,SEMANA29[COD],SEMANA29[Columna34],"")</f>
        <v/>
      </c>
      <c r="M70" s="303">
        <f>IFERROR(+L70/K70,"0,00")</f>
        <v/>
      </c>
      <c r="N70" s="304">
        <f>_xlfn.XLOOKUP(C70,SEMANA29[COD],SEMANA29[Columna36],"")</f>
        <v/>
      </c>
      <c r="O70" s="304">
        <f>_xlfn.XLOOKUP(C70,SEMANA29[COD],SEMANA29[Columna37],"")</f>
        <v/>
      </c>
      <c r="P70" s="305">
        <f>IFERROR(+O70/N70,"0,00")</f>
        <v/>
      </c>
      <c r="Q70" s="306">
        <f>_xlfn.XLOOKUP(C70,SEMANA29[COD],SEMANA29[Columna1],"")</f>
        <v/>
      </c>
      <c r="R70" s="3" t="n"/>
      <c r="U70" s="393" t="inlineStr">
        <is>
          <t>COD 11</t>
        </is>
      </c>
      <c r="V70" s="393">
        <f>U70</f>
        <v/>
      </c>
    </row>
    <row r="71" outlineLevel="1" ht="23.1" customFormat="1" customHeight="1" s="393">
      <c r="A71" s="295" t="n"/>
      <c r="B71" s="296">
        <f>+B70+1</f>
        <v/>
      </c>
      <c r="C71" s="611" t="inlineStr">
        <is>
          <t>COD 12</t>
        </is>
      </c>
      <c r="D71" s="469">
        <f>_xlfn.XLOOKUP(C71,CODIGOS_Y_PAGOS[CODIGO],CODIGOS_Y_PAGOS[NOMBRE PARTICIPANTE],"")</f>
        <v/>
      </c>
      <c r="E71" s="298">
        <f>_xlfn.XLOOKUP($C71,SEMANA29[COD],SEMANA29[Columna14],"")</f>
        <v/>
      </c>
      <c r="F71" s="298">
        <f>_xlfn.XLOOKUP(C71,SEMANA29[COD],SEMANA29[Columna19],"")</f>
        <v/>
      </c>
      <c r="G71" s="299">
        <f>IFERROR(+F71/E71,"0,00")</f>
        <v/>
      </c>
      <c r="H71" s="300">
        <f>_xlfn.XLOOKUP(C71,SEMANA29[COD],SEMANA29[Columna32],"")</f>
        <v/>
      </c>
      <c r="I71" s="300">
        <f>_xlfn.XLOOKUP(C71,SEMANA29[COD],SEMANA29[Columna30],"")</f>
        <v/>
      </c>
      <c r="J71" s="301">
        <f>IFERROR(+I71/H71,"0,00")</f>
        <v/>
      </c>
      <c r="K71" s="302">
        <f>_xlfn.XLOOKUP(C71,SEMANA29[COD],SEMANA29[Columna32],"")</f>
        <v/>
      </c>
      <c r="L71" s="302">
        <f>_xlfn.XLOOKUP(C71,SEMANA29[COD],SEMANA29[Columna34],"")</f>
        <v/>
      </c>
      <c r="M71" s="303">
        <f>IFERROR(+L71/K71,"0,00")</f>
        <v/>
      </c>
      <c r="N71" s="304">
        <f>_xlfn.XLOOKUP(C71,SEMANA29[COD],SEMANA29[Columna36],"")</f>
        <v/>
      </c>
      <c r="O71" s="304">
        <f>_xlfn.XLOOKUP(C71,SEMANA29[COD],SEMANA29[Columna37],"")</f>
        <v/>
      </c>
      <c r="P71" s="305">
        <f>IFERROR(+O71/N71,"0,00")</f>
        <v/>
      </c>
      <c r="Q71" s="306">
        <f>_xlfn.XLOOKUP(C71,SEMANA29[COD],SEMANA29[Columna1],"")</f>
        <v/>
      </c>
      <c r="R71" s="3" t="n"/>
      <c r="U71" s="393" t="inlineStr">
        <is>
          <t>COD 12</t>
        </is>
      </c>
      <c r="V71" s="393">
        <f>U71</f>
        <v/>
      </c>
    </row>
    <row r="72" outlineLevel="1" ht="23.1" customFormat="1" customHeight="1" s="393">
      <c r="A72" s="295" t="n"/>
      <c r="B72" s="296">
        <f>+B71+1</f>
        <v/>
      </c>
      <c r="C72" s="611" t="inlineStr">
        <is>
          <t>COD 13</t>
        </is>
      </c>
      <c r="D72" s="469">
        <f>_xlfn.XLOOKUP(C72,CODIGOS_Y_PAGOS[CODIGO],CODIGOS_Y_PAGOS[NOMBRE PARTICIPANTE],"")</f>
        <v/>
      </c>
      <c r="E72" s="298">
        <f>_xlfn.XLOOKUP($C72,SEMANA29[COD],SEMANA29[Columna14],"")</f>
        <v/>
      </c>
      <c r="F72" s="298">
        <f>_xlfn.XLOOKUP(C72,SEMANA29[COD],SEMANA29[Columna19],"")</f>
        <v/>
      </c>
      <c r="G72" s="299">
        <f>IFERROR(+F72/E72,"0,00")</f>
        <v/>
      </c>
      <c r="H72" s="300">
        <f>_xlfn.XLOOKUP(C72,SEMANA29[COD],SEMANA29[Columna32],"")</f>
        <v/>
      </c>
      <c r="I72" s="300">
        <f>_xlfn.XLOOKUP(C72,SEMANA29[COD],SEMANA29[Columna30],"")</f>
        <v/>
      </c>
      <c r="J72" s="301">
        <f>IFERROR(+I72/H72,"0,00")</f>
        <v/>
      </c>
      <c r="K72" s="302">
        <f>_xlfn.XLOOKUP(C72,SEMANA29[COD],SEMANA29[Columna32],"")</f>
        <v/>
      </c>
      <c r="L72" s="302">
        <f>_xlfn.XLOOKUP(C72,SEMANA29[COD],SEMANA29[Columna34],"")</f>
        <v/>
      </c>
      <c r="M72" s="303">
        <f>IFERROR(+L72/K72,"0,00")</f>
        <v/>
      </c>
      <c r="N72" s="304">
        <f>_xlfn.XLOOKUP(C72,SEMANA29[COD],SEMANA29[Columna36],"")</f>
        <v/>
      </c>
      <c r="O72" s="304">
        <f>_xlfn.XLOOKUP(C72,SEMANA29[COD],SEMANA29[Columna37],"")</f>
        <v/>
      </c>
      <c r="P72" s="305">
        <f>IFERROR(+O72/N72,"0,00")</f>
        <v/>
      </c>
      <c r="Q72" s="306">
        <f>_xlfn.XLOOKUP(C72,SEMANA29[COD],SEMANA29[Columna1],"")</f>
        <v/>
      </c>
      <c r="R72" s="3" t="n"/>
      <c r="U72" s="393" t="inlineStr">
        <is>
          <t>COD 13</t>
        </is>
      </c>
      <c r="V72" s="393">
        <f>U72</f>
        <v/>
      </c>
    </row>
    <row r="73" outlineLevel="1" ht="23.1" customFormat="1" customHeight="1" s="393">
      <c r="A73" s="295" t="n"/>
      <c r="B73" s="296">
        <f>+B72+1</f>
        <v/>
      </c>
      <c r="C73" s="611" t="inlineStr">
        <is>
          <t>COD 14</t>
        </is>
      </c>
      <c r="D73" s="469">
        <f>_xlfn.XLOOKUP(C73,CODIGOS_Y_PAGOS[CODIGO],CODIGOS_Y_PAGOS[NOMBRE PARTICIPANTE],"")</f>
        <v/>
      </c>
      <c r="E73" s="298">
        <f>_xlfn.XLOOKUP($C73,SEMANA29[COD],SEMANA29[Columna14],"")</f>
        <v/>
      </c>
      <c r="F73" s="298">
        <f>_xlfn.XLOOKUP(C73,SEMANA29[COD],SEMANA29[Columna19],"")</f>
        <v/>
      </c>
      <c r="G73" s="299">
        <f>IFERROR(+F73/E73,"0,00")</f>
        <v/>
      </c>
      <c r="H73" s="300">
        <f>_xlfn.XLOOKUP(C73,SEMANA29[COD],SEMANA29[Columna32],"")</f>
        <v/>
      </c>
      <c r="I73" s="300">
        <f>_xlfn.XLOOKUP(C73,SEMANA29[COD],SEMANA29[Columna30],"")</f>
        <v/>
      </c>
      <c r="J73" s="301">
        <f>IFERROR(+I73/H73,"0,00")</f>
        <v/>
      </c>
      <c r="K73" s="302">
        <f>_xlfn.XLOOKUP(C73,SEMANA29[COD],SEMANA29[Columna32],"")</f>
        <v/>
      </c>
      <c r="L73" s="302">
        <f>_xlfn.XLOOKUP(C73,SEMANA29[COD],SEMANA29[Columna34],"")</f>
        <v/>
      </c>
      <c r="M73" s="303">
        <f>IFERROR(+L73/K73,"0,00")</f>
        <v/>
      </c>
      <c r="N73" s="304">
        <f>_xlfn.XLOOKUP(C73,SEMANA29[COD],SEMANA29[Columna36],"")</f>
        <v/>
      </c>
      <c r="O73" s="304">
        <f>_xlfn.XLOOKUP(C73,SEMANA29[COD],SEMANA29[Columna37],"")</f>
        <v/>
      </c>
      <c r="P73" s="305">
        <f>IFERROR(+O73/N73,"0,00")</f>
        <v/>
      </c>
      <c r="Q73" s="306">
        <f>_xlfn.XLOOKUP(C73,SEMANA29[COD],SEMANA29[Columna1],"")</f>
        <v/>
      </c>
      <c r="R73" s="3" t="n"/>
      <c r="U73" s="393" t="inlineStr">
        <is>
          <t>COD 14</t>
        </is>
      </c>
      <c r="V73" s="393">
        <f>U73</f>
        <v/>
      </c>
    </row>
    <row r="74" outlineLevel="1" ht="23.1" customFormat="1" customHeight="1" s="393">
      <c r="A74" s="295" t="n"/>
      <c r="B74" s="296">
        <f>+B73+1</f>
        <v/>
      </c>
      <c r="C74" s="611" t="inlineStr">
        <is>
          <t>COD 15</t>
        </is>
      </c>
      <c r="D74" s="469">
        <f>_xlfn.XLOOKUP(C74,CODIGOS_Y_PAGOS[CODIGO],CODIGOS_Y_PAGOS[NOMBRE PARTICIPANTE],"")</f>
        <v/>
      </c>
      <c r="E74" s="298">
        <f>_xlfn.XLOOKUP($C74,SEMANA29[COD],SEMANA29[Columna14],"")</f>
        <v/>
      </c>
      <c r="F74" s="298">
        <f>_xlfn.XLOOKUP(C74,SEMANA29[COD],SEMANA29[Columna19],"")</f>
        <v/>
      </c>
      <c r="G74" s="299">
        <f>IFERROR(+F74/E74,"0,00")</f>
        <v/>
      </c>
      <c r="H74" s="300">
        <f>_xlfn.XLOOKUP(C74,SEMANA29[COD],SEMANA29[Columna32],"")</f>
        <v/>
      </c>
      <c r="I74" s="300">
        <f>_xlfn.XLOOKUP(C74,SEMANA29[COD],SEMANA29[Columna30],"")</f>
        <v/>
      </c>
      <c r="J74" s="301">
        <f>IFERROR(+I74/H74,"0,00")</f>
        <v/>
      </c>
      <c r="K74" s="302">
        <f>_xlfn.XLOOKUP(C74,SEMANA29[COD],SEMANA29[Columna32],"")</f>
        <v/>
      </c>
      <c r="L74" s="302">
        <f>_xlfn.XLOOKUP(C74,SEMANA29[COD],SEMANA29[Columna34],"")</f>
        <v/>
      </c>
      <c r="M74" s="303">
        <f>IFERROR(+L74/K74,"0,00")</f>
        <v/>
      </c>
      <c r="N74" s="304">
        <f>_xlfn.XLOOKUP(C74,SEMANA29[COD],SEMANA29[Columna36],"")</f>
        <v/>
      </c>
      <c r="O74" s="304">
        <f>_xlfn.XLOOKUP(C74,SEMANA29[COD],SEMANA29[Columna37],"")</f>
        <v/>
      </c>
      <c r="P74" s="305">
        <f>IFERROR(+O74/N74,"0,00")</f>
        <v/>
      </c>
      <c r="Q74" s="306">
        <f>_xlfn.XLOOKUP(C74,SEMANA29[COD],SEMANA29[Columna1],"")</f>
        <v/>
      </c>
      <c r="R74" s="3" t="n"/>
      <c r="U74" s="393" t="inlineStr">
        <is>
          <t>COD 15</t>
        </is>
      </c>
      <c r="V74" s="393">
        <f>U74</f>
        <v/>
      </c>
    </row>
    <row r="75" outlineLevel="1" ht="23.1" customFormat="1" customHeight="1" s="393">
      <c r="A75" s="295" t="n"/>
      <c r="B75" s="296">
        <f>+B74+1</f>
        <v/>
      </c>
      <c r="C75" s="611" t="inlineStr">
        <is>
          <t>COD 16</t>
        </is>
      </c>
      <c r="D75" s="469">
        <f>_xlfn.XLOOKUP(C75,CODIGOS_Y_PAGOS[CODIGO],CODIGOS_Y_PAGOS[NOMBRE PARTICIPANTE],"")</f>
        <v/>
      </c>
      <c r="E75" s="298">
        <f>_xlfn.XLOOKUP($C75,SEMANA29[COD],SEMANA29[Columna14],"")</f>
        <v/>
      </c>
      <c r="F75" s="298">
        <f>_xlfn.XLOOKUP(C75,SEMANA29[COD],SEMANA29[Columna19],"")</f>
        <v/>
      </c>
      <c r="G75" s="299">
        <f>IFERROR(+F75/E75,"0,00")</f>
        <v/>
      </c>
      <c r="H75" s="300">
        <f>_xlfn.XLOOKUP(C75,SEMANA29[COD],SEMANA29[Columna32],"")</f>
        <v/>
      </c>
      <c r="I75" s="300">
        <f>_xlfn.XLOOKUP(C75,SEMANA29[COD],SEMANA29[Columna30],"")</f>
        <v/>
      </c>
      <c r="J75" s="301">
        <f>IFERROR(+I75/H75,"0,00")</f>
        <v/>
      </c>
      <c r="K75" s="302">
        <f>_xlfn.XLOOKUP(C75,SEMANA29[COD],SEMANA29[Columna32],"")</f>
        <v/>
      </c>
      <c r="L75" s="302">
        <f>_xlfn.XLOOKUP(C75,SEMANA29[COD],SEMANA29[Columna34],"")</f>
        <v/>
      </c>
      <c r="M75" s="303">
        <f>IFERROR(+L75/K75,"0,00")</f>
        <v/>
      </c>
      <c r="N75" s="304">
        <f>_xlfn.XLOOKUP(C75,SEMANA29[COD],SEMANA29[Columna36],"")</f>
        <v/>
      </c>
      <c r="O75" s="304">
        <f>_xlfn.XLOOKUP(C75,SEMANA29[COD],SEMANA29[Columna37],"")</f>
        <v/>
      </c>
      <c r="P75" s="305">
        <f>IFERROR(+O75/N75,"0,00")</f>
        <v/>
      </c>
      <c r="Q75" s="306">
        <f>_xlfn.XLOOKUP(C75,SEMANA29[COD],SEMANA29[Columna1],"")</f>
        <v/>
      </c>
      <c r="R75" s="3" t="n"/>
      <c r="U75" s="393" t="inlineStr">
        <is>
          <t>COD 16</t>
        </is>
      </c>
      <c r="V75" s="393">
        <f>U75</f>
        <v/>
      </c>
    </row>
    <row r="76" outlineLevel="1" ht="23.1" customFormat="1" customHeight="1" s="393">
      <c r="A76" s="295" t="n"/>
      <c r="B76" s="296">
        <f>+B75+1</f>
        <v/>
      </c>
      <c r="C76" s="611" t="inlineStr">
        <is>
          <t>COD 17</t>
        </is>
      </c>
      <c r="D76" s="469">
        <f>_xlfn.XLOOKUP(C76,CODIGOS_Y_PAGOS[CODIGO],CODIGOS_Y_PAGOS[NOMBRE PARTICIPANTE],"")</f>
        <v/>
      </c>
      <c r="E76" s="298">
        <f>_xlfn.XLOOKUP($C76,SEMANA29[COD],SEMANA29[Columna14],"")</f>
        <v/>
      </c>
      <c r="F76" s="298">
        <f>_xlfn.XLOOKUP(C76,SEMANA29[COD],SEMANA29[Columna19],"")</f>
        <v/>
      </c>
      <c r="G76" s="299">
        <f>IFERROR(+F76/E76,"0,00")</f>
        <v/>
      </c>
      <c r="H76" s="300">
        <f>_xlfn.XLOOKUP(C76,SEMANA29[COD],SEMANA29[Columna32],"")</f>
        <v/>
      </c>
      <c r="I76" s="300">
        <f>_xlfn.XLOOKUP(C76,SEMANA29[COD],SEMANA29[Columna30],"")</f>
        <v/>
      </c>
      <c r="J76" s="301">
        <f>IFERROR(+I76/H76,"0,00")</f>
        <v/>
      </c>
      <c r="K76" s="302">
        <f>_xlfn.XLOOKUP(C76,SEMANA29[COD],SEMANA29[Columna32],"")</f>
        <v/>
      </c>
      <c r="L76" s="302">
        <f>_xlfn.XLOOKUP(C76,SEMANA29[COD],SEMANA29[Columna34],"")</f>
        <v/>
      </c>
      <c r="M76" s="303">
        <f>IFERROR(+L76/K76,"0,00")</f>
        <v/>
      </c>
      <c r="N76" s="304">
        <f>_xlfn.XLOOKUP(C76,SEMANA29[COD],SEMANA29[Columna36],"")</f>
        <v/>
      </c>
      <c r="O76" s="304">
        <f>_xlfn.XLOOKUP(C76,SEMANA29[COD],SEMANA29[Columna37],"")</f>
        <v/>
      </c>
      <c r="P76" s="305">
        <f>IFERROR(+O76/N76,"0,00")</f>
        <v/>
      </c>
      <c r="Q76" s="306">
        <f>_xlfn.XLOOKUP(C76,SEMANA29[COD],SEMANA29[Columna1],"")</f>
        <v/>
      </c>
      <c r="R76" s="3" t="n"/>
      <c r="U76" s="393" t="inlineStr">
        <is>
          <t>COD 17</t>
        </is>
      </c>
      <c r="V76" s="393">
        <f>U76</f>
        <v/>
      </c>
    </row>
    <row r="77" outlineLevel="1" ht="23.1" customFormat="1" customHeight="1" s="393">
      <c r="A77" s="295" t="n"/>
      <c r="B77" s="296">
        <f>+B76+1</f>
        <v/>
      </c>
      <c r="C77" s="611" t="inlineStr">
        <is>
          <t>COD 18</t>
        </is>
      </c>
      <c r="D77" s="469">
        <f>_xlfn.XLOOKUP(C77,CODIGOS_Y_PAGOS[CODIGO],CODIGOS_Y_PAGOS[NOMBRE PARTICIPANTE],"")</f>
        <v/>
      </c>
      <c r="E77" s="298">
        <f>_xlfn.XLOOKUP($C77,SEMANA29[COD],SEMANA29[Columna14],"")</f>
        <v/>
      </c>
      <c r="F77" s="298">
        <f>_xlfn.XLOOKUP(C77,SEMANA29[COD],SEMANA29[Columna19],"")</f>
        <v/>
      </c>
      <c r="G77" s="299">
        <f>IFERROR(+F77/E77,"0,00")</f>
        <v/>
      </c>
      <c r="H77" s="300">
        <f>_xlfn.XLOOKUP(C77,SEMANA29[COD],SEMANA29[Columna32],"")</f>
        <v/>
      </c>
      <c r="I77" s="300">
        <f>_xlfn.XLOOKUP(C77,SEMANA29[COD],SEMANA29[Columna30],"")</f>
        <v/>
      </c>
      <c r="J77" s="301">
        <f>IFERROR(+I77/H77,"0,00")</f>
        <v/>
      </c>
      <c r="K77" s="302">
        <f>_xlfn.XLOOKUP(C77,SEMANA29[COD],SEMANA29[Columna32],"")</f>
        <v/>
      </c>
      <c r="L77" s="302">
        <f>_xlfn.XLOOKUP(C77,SEMANA29[COD],SEMANA29[Columna34],"")</f>
        <v/>
      </c>
      <c r="M77" s="303">
        <f>IFERROR(+L77/K77,"0,00")</f>
        <v/>
      </c>
      <c r="N77" s="304">
        <f>_xlfn.XLOOKUP(C77,SEMANA29[COD],SEMANA29[Columna36],"")</f>
        <v/>
      </c>
      <c r="O77" s="304">
        <f>_xlfn.XLOOKUP(C77,SEMANA29[COD],SEMANA29[Columna37],"")</f>
        <v/>
      </c>
      <c r="P77" s="305">
        <f>IFERROR(+O77/N77,"0,00")</f>
        <v/>
      </c>
      <c r="Q77" s="306">
        <f>_xlfn.XLOOKUP(C77,SEMANA29[COD],SEMANA29[Columna1],"")</f>
        <v/>
      </c>
      <c r="R77" s="3" t="n"/>
      <c r="U77" s="393" t="inlineStr">
        <is>
          <t>COD 18</t>
        </is>
      </c>
      <c r="V77" s="393">
        <f>U77</f>
        <v/>
      </c>
    </row>
    <row r="78" outlineLevel="1" ht="23.1" customFormat="1" customHeight="1" s="393">
      <c r="A78" s="295" t="n"/>
      <c r="B78" s="296">
        <f>+B77+1</f>
        <v/>
      </c>
      <c r="C78" s="611" t="inlineStr">
        <is>
          <t>COD 19</t>
        </is>
      </c>
      <c r="D78" s="469">
        <f>_xlfn.XLOOKUP(C78,CODIGOS_Y_PAGOS[CODIGO],CODIGOS_Y_PAGOS[NOMBRE PARTICIPANTE],"")</f>
        <v/>
      </c>
      <c r="E78" s="298">
        <f>_xlfn.XLOOKUP($C78,SEMANA29[COD],SEMANA29[Columna14],"")</f>
        <v/>
      </c>
      <c r="F78" s="298">
        <f>_xlfn.XLOOKUP(C78,SEMANA29[COD],SEMANA29[Columna19],"")</f>
        <v/>
      </c>
      <c r="G78" s="299">
        <f>IFERROR(+F78/E78,"0,00")</f>
        <v/>
      </c>
      <c r="H78" s="300">
        <f>_xlfn.XLOOKUP(C78,SEMANA29[COD],SEMANA29[Columna32],"")</f>
        <v/>
      </c>
      <c r="I78" s="300">
        <f>_xlfn.XLOOKUP(C78,SEMANA29[COD],SEMANA29[Columna30],"")</f>
        <v/>
      </c>
      <c r="J78" s="301">
        <f>IFERROR(+I78/H78,"0,00")</f>
        <v/>
      </c>
      <c r="K78" s="302">
        <f>_xlfn.XLOOKUP(C78,SEMANA29[COD],SEMANA29[Columna32],"")</f>
        <v/>
      </c>
      <c r="L78" s="302">
        <f>_xlfn.XLOOKUP(C78,SEMANA29[COD],SEMANA29[Columna34],"")</f>
        <v/>
      </c>
      <c r="M78" s="303">
        <f>IFERROR(+L78/K78,"0,00")</f>
        <v/>
      </c>
      <c r="N78" s="304">
        <f>_xlfn.XLOOKUP(C78,SEMANA29[COD],SEMANA29[Columna36],"")</f>
        <v/>
      </c>
      <c r="O78" s="304">
        <f>_xlfn.XLOOKUP(C78,SEMANA29[COD],SEMANA29[Columna37],"")</f>
        <v/>
      </c>
      <c r="P78" s="305">
        <f>IFERROR(+O78/N78,"0,00")</f>
        <v/>
      </c>
      <c r="Q78" s="306">
        <f>_xlfn.XLOOKUP(C78,SEMANA29[COD],SEMANA29[Columna1],"")</f>
        <v/>
      </c>
      <c r="R78" s="3" t="n"/>
      <c r="U78" s="393" t="inlineStr">
        <is>
          <t>COD 19</t>
        </is>
      </c>
      <c r="V78" s="393">
        <f>U78</f>
        <v/>
      </c>
    </row>
    <row r="79" outlineLevel="1" ht="23.1" customFormat="1" customHeight="1" s="393">
      <c r="A79" s="295" t="n"/>
      <c r="B79" s="296">
        <f>+B78+1</f>
        <v/>
      </c>
      <c r="C79" s="611" t="inlineStr">
        <is>
          <t>COD 20</t>
        </is>
      </c>
      <c r="D79" s="469">
        <f>_xlfn.XLOOKUP(C79,CODIGOS_Y_PAGOS[CODIGO],CODIGOS_Y_PAGOS[NOMBRE PARTICIPANTE],"")</f>
        <v/>
      </c>
      <c r="E79" s="298">
        <f>_xlfn.XLOOKUP($C79,SEMANA29[COD],SEMANA29[Columna14],"")</f>
        <v/>
      </c>
      <c r="F79" s="298">
        <f>_xlfn.XLOOKUP(C79,SEMANA29[COD],SEMANA29[Columna19],"")</f>
        <v/>
      </c>
      <c r="G79" s="299">
        <f>IFERROR(+F79/E79,"0,00")</f>
        <v/>
      </c>
      <c r="H79" s="300">
        <f>_xlfn.XLOOKUP(C79,SEMANA29[COD],SEMANA29[Columna32],"")</f>
        <v/>
      </c>
      <c r="I79" s="300">
        <f>_xlfn.XLOOKUP(C79,SEMANA29[COD],SEMANA29[Columna30],"")</f>
        <v/>
      </c>
      <c r="J79" s="301">
        <f>IFERROR(+I79/H79,"0,00")</f>
        <v/>
      </c>
      <c r="K79" s="302">
        <f>_xlfn.XLOOKUP(C79,SEMANA29[COD],SEMANA29[Columna32],"")</f>
        <v/>
      </c>
      <c r="L79" s="302">
        <f>_xlfn.XLOOKUP(C79,SEMANA29[COD],SEMANA29[Columna34],"")</f>
        <v/>
      </c>
      <c r="M79" s="303">
        <f>IFERROR(+L79/K79,"0,00")</f>
        <v/>
      </c>
      <c r="N79" s="304">
        <f>_xlfn.XLOOKUP(C79,SEMANA29[COD],SEMANA29[Columna36],"")</f>
        <v/>
      </c>
      <c r="O79" s="304">
        <f>_xlfn.XLOOKUP(C79,SEMANA29[COD],SEMANA29[Columna37],"")</f>
        <v/>
      </c>
      <c r="P79" s="305">
        <f>IFERROR(+O79/N79,"0,00")</f>
        <v/>
      </c>
      <c r="Q79" s="306">
        <f>_xlfn.XLOOKUP(C79,SEMANA29[COD],SEMANA29[Columna1],"")</f>
        <v/>
      </c>
      <c r="R79" s="3" t="n"/>
      <c r="U79" s="393" t="inlineStr">
        <is>
          <t>COD 20</t>
        </is>
      </c>
      <c r="V79" s="393">
        <f>U79</f>
        <v/>
      </c>
    </row>
    <row r="80" outlineLevel="1" ht="23.1" customFormat="1" customHeight="1" s="393">
      <c r="A80" s="295" t="n"/>
      <c r="B80" s="307">
        <f>+B79+1</f>
        <v/>
      </c>
      <c r="C80" s="611" t="inlineStr">
        <is>
          <t>COD 21</t>
        </is>
      </c>
      <c r="D80" s="469">
        <f>_xlfn.XLOOKUP(C80,CODIGOS_Y_PAGOS[CODIGO],CODIGOS_Y_PAGOS[NOMBRE PARTICIPANTE],"")</f>
        <v/>
      </c>
      <c r="E80" s="298">
        <f>_xlfn.XLOOKUP($C80,SEMANA29[COD],SEMANA29[Columna14],"")</f>
        <v/>
      </c>
      <c r="F80" s="298">
        <f>_xlfn.XLOOKUP(C80,SEMANA29[COD],SEMANA29[Columna19],"")</f>
        <v/>
      </c>
      <c r="G80" s="299">
        <f>IFERROR(+F80/E80,"0,00")</f>
        <v/>
      </c>
      <c r="H80" s="300">
        <f>_xlfn.XLOOKUP(C80,SEMANA29[COD],SEMANA29[Columna32],"")</f>
        <v/>
      </c>
      <c r="I80" s="300">
        <f>_xlfn.XLOOKUP(C80,SEMANA29[COD],SEMANA29[Columna30],"")</f>
        <v/>
      </c>
      <c r="J80" s="301">
        <f>IFERROR(+I80/H80,"0,00")</f>
        <v/>
      </c>
      <c r="K80" s="302">
        <f>_xlfn.XLOOKUP(C80,SEMANA29[COD],SEMANA29[Columna32],"")</f>
        <v/>
      </c>
      <c r="L80" s="302">
        <f>_xlfn.XLOOKUP(C80,SEMANA29[COD],SEMANA29[Columna34],"")</f>
        <v/>
      </c>
      <c r="M80" s="303">
        <f>IFERROR(+L80/K80,"0,00")</f>
        <v/>
      </c>
      <c r="N80" s="304">
        <f>_xlfn.XLOOKUP(C80,SEMANA29[COD],SEMANA29[Columna36],"")</f>
        <v/>
      </c>
      <c r="O80" s="304">
        <f>_xlfn.XLOOKUP(C80,SEMANA29[COD],SEMANA29[Columna37],"")</f>
        <v/>
      </c>
      <c r="P80" s="305">
        <f>IFERROR(+O80/N80,"0,00")</f>
        <v/>
      </c>
      <c r="Q80" s="306">
        <f>_xlfn.XLOOKUP(C80,SEMANA29[COD],SEMANA29[Columna1],"")</f>
        <v/>
      </c>
      <c r="R80" s="3" t="n"/>
      <c r="U80" s="393" t="inlineStr">
        <is>
          <t>COD 21</t>
        </is>
      </c>
      <c r="V80" s="393">
        <f>U80</f>
        <v/>
      </c>
    </row>
    <row r="81" outlineLevel="1" ht="23.1" customFormat="1" customHeight="1" s="393">
      <c r="A81" s="295" t="n"/>
      <c r="B81" s="308">
        <f>+B80+1</f>
        <v/>
      </c>
      <c r="C81" s="611" t="inlineStr">
        <is>
          <t>COD 22</t>
        </is>
      </c>
      <c r="D81" s="469">
        <f>_xlfn.XLOOKUP(C81,CODIGOS_Y_PAGOS[CODIGO],CODIGOS_Y_PAGOS[NOMBRE PARTICIPANTE],"")</f>
        <v/>
      </c>
      <c r="E81" s="298">
        <f>_xlfn.XLOOKUP($C81,SEMANA29[COD],SEMANA29[Columna14],"")</f>
        <v/>
      </c>
      <c r="F81" s="298">
        <f>_xlfn.XLOOKUP(C81,SEMANA29[COD],SEMANA29[Columna19],"")</f>
        <v/>
      </c>
      <c r="G81" s="299">
        <f>IFERROR(+F81/E81,"0,00")</f>
        <v/>
      </c>
      <c r="H81" s="300">
        <f>_xlfn.XLOOKUP(C81,SEMANA29[COD],SEMANA29[Columna32],"")</f>
        <v/>
      </c>
      <c r="I81" s="300">
        <f>_xlfn.XLOOKUP(C81,SEMANA29[COD],SEMANA29[Columna30],"")</f>
        <v/>
      </c>
      <c r="J81" s="301">
        <f>IFERROR(+I81/H81,"0,00")</f>
        <v/>
      </c>
      <c r="K81" s="302">
        <f>_xlfn.XLOOKUP(C81,SEMANA29[COD],SEMANA29[Columna32],"")</f>
        <v/>
      </c>
      <c r="L81" s="302">
        <f>_xlfn.XLOOKUP(C81,SEMANA29[COD],SEMANA29[Columna34],"")</f>
        <v/>
      </c>
      <c r="M81" s="303">
        <f>IFERROR(+L81/K81,"0,00")</f>
        <v/>
      </c>
      <c r="N81" s="304">
        <f>_xlfn.XLOOKUP(C81,SEMANA29[COD],SEMANA29[Columna36],"")</f>
        <v/>
      </c>
      <c r="O81" s="304">
        <f>_xlfn.XLOOKUP(C81,SEMANA29[COD],SEMANA29[Columna37],"")</f>
        <v/>
      </c>
      <c r="P81" s="305">
        <f>IFERROR(+O81/N81,"0,00")</f>
        <v/>
      </c>
      <c r="Q81" s="306">
        <f>_xlfn.XLOOKUP(C81,SEMANA29[COD],SEMANA29[Columna1],"")</f>
        <v/>
      </c>
      <c r="R81" s="3" t="n"/>
      <c r="U81" s="393" t="inlineStr">
        <is>
          <t>COD 22</t>
        </is>
      </c>
      <c r="V81" s="393">
        <f>U81</f>
        <v/>
      </c>
    </row>
    <row r="82" outlineLevel="1" ht="23.1" customFormat="1" customHeight="1" s="393">
      <c r="A82" s="295" t="n"/>
      <c r="B82" s="307">
        <f>+B81+1</f>
        <v/>
      </c>
      <c r="C82" s="611" t="inlineStr">
        <is>
          <t>COD 23</t>
        </is>
      </c>
      <c r="D82" s="469">
        <f>_xlfn.XLOOKUP(C82,CODIGOS_Y_PAGOS[CODIGO],CODIGOS_Y_PAGOS[NOMBRE PARTICIPANTE],"")</f>
        <v/>
      </c>
      <c r="E82" s="298">
        <f>_xlfn.XLOOKUP($C82,SEMANA29[COD],SEMANA29[Columna14],"")</f>
        <v/>
      </c>
      <c r="F82" s="298">
        <f>_xlfn.XLOOKUP(C82,SEMANA29[COD],SEMANA29[Columna19],"")</f>
        <v/>
      </c>
      <c r="G82" s="299">
        <f>IFERROR(+F82/E82,"0,00")</f>
        <v/>
      </c>
      <c r="H82" s="300">
        <f>_xlfn.XLOOKUP(C82,SEMANA29[COD],SEMANA29[Columna32],"")</f>
        <v/>
      </c>
      <c r="I82" s="300">
        <f>_xlfn.XLOOKUP(C82,SEMANA29[COD],SEMANA29[Columna30],"")</f>
        <v/>
      </c>
      <c r="J82" s="301">
        <f>IFERROR(+I82/H82,"0,00")</f>
        <v/>
      </c>
      <c r="K82" s="302">
        <f>_xlfn.XLOOKUP(C82,SEMANA29[COD],SEMANA29[Columna32],"")</f>
        <v/>
      </c>
      <c r="L82" s="302">
        <f>_xlfn.XLOOKUP(C82,SEMANA29[COD],SEMANA29[Columna34],"")</f>
        <v/>
      </c>
      <c r="M82" s="303">
        <f>IFERROR(+L82/K82,"0,00")</f>
        <v/>
      </c>
      <c r="N82" s="304">
        <f>_xlfn.XLOOKUP(C82,SEMANA29[COD],SEMANA29[Columna36],"")</f>
        <v/>
      </c>
      <c r="O82" s="304">
        <f>_xlfn.XLOOKUP(C82,SEMANA29[COD],SEMANA29[Columna37],"")</f>
        <v/>
      </c>
      <c r="P82" s="305">
        <f>IFERROR(+O82/N82,"0,00")</f>
        <v/>
      </c>
      <c r="Q82" s="306">
        <f>_xlfn.XLOOKUP(C82,SEMANA29[COD],SEMANA29[Columna1],"")</f>
        <v/>
      </c>
      <c r="R82" s="3" t="n"/>
      <c r="U82" s="393" t="inlineStr">
        <is>
          <t>COD 23</t>
        </is>
      </c>
      <c r="V82" s="393">
        <f>U82</f>
        <v/>
      </c>
    </row>
    <row r="83" outlineLevel="1" ht="23.1" customFormat="1" customHeight="1" s="393">
      <c r="A83" s="295" t="n"/>
      <c r="B83" s="307">
        <f>+B82+1</f>
        <v/>
      </c>
      <c r="C83" s="611" t="inlineStr">
        <is>
          <t>COD 24</t>
        </is>
      </c>
      <c r="D83" s="469">
        <f>_xlfn.XLOOKUP(C83,CODIGOS_Y_PAGOS[CODIGO],CODIGOS_Y_PAGOS[NOMBRE PARTICIPANTE],"")</f>
        <v/>
      </c>
      <c r="E83" s="298">
        <f>_xlfn.XLOOKUP($C83,SEMANA29[COD],SEMANA29[Columna14],"")</f>
        <v/>
      </c>
      <c r="F83" s="298">
        <f>_xlfn.XLOOKUP(C83,SEMANA29[COD],SEMANA29[Columna19],"")</f>
        <v/>
      </c>
      <c r="G83" s="299">
        <f>IFERROR(+F83/E83,"0,00")</f>
        <v/>
      </c>
      <c r="H83" s="300">
        <f>_xlfn.XLOOKUP(C83,SEMANA29[COD],SEMANA29[Columna32],"")</f>
        <v/>
      </c>
      <c r="I83" s="300">
        <f>_xlfn.XLOOKUP(C83,SEMANA29[COD],SEMANA29[Columna30],"")</f>
        <v/>
      </c>
      <c r="J83" s="301">
        <f>IFERROR(+I83/H83,"0,00")</f>
        <v/>
      </c>
      <c r="K83" s="302">
        <f>_xlfn.XLOOKUP(C83,SEMANA29[COD],SEMANA29[Columna32],"")</f>
        <v/>
      </c>
      <c r="L83" s="302">
        <f>_xlfn.XLOOKUP(C83,SEMANA29[COD],SEMANA29[Columna34],"")</f>
        <v/>
      </c>
      <c r="M83" s="303">
        <f>IFERROR(+L83/K83,"0,00")</f>
        <v/>
      </c>
      <c r="N83" s="304">
        <f>_xlfn.XLOOKUP(C83,SEMANA29[COD],SEMANA29[Columna36],"")</f>
        <v/>
      </c>
      <c r="O83" s="304">
        <f>_xlfn.XLOOKUP(C83,SEMANA29[COD],SEMANA29[Columna37],"")</f>
        <v/>
      </c>
      <c r="P83" s="305">
        <f>IFERROR(+O83/N83,"0,00")</f>
        <v/>
      </c>
      <c r="Q83" s="306">
        <f>_xlfn.XLOOKUP(C83,SEMANA29[COD],SEMANA29[Columna1],"")</f>
        <v/>
      </c>
      <c r="R83" s="3" t="n"/>
      <c r="U83" s="393" t="inlineStr">
        <is>
          <t>COD 24</t>
        </is>
      </c>
      <c r="V83" s="393">
        <f>U83</f>
        <v/>
      </c>
    </row>
    <row r="84" outlineLevel="1" ht="23.1" customFormat="1" customHeight="1" s="393">
      <c r="A84" s="295" t="n"/>
      <c r="B84" s="307">
        <f>+B83+1</f>
        <v/>
      </c>
      <c r="C84" s="611" t="inlineStr">
        <is>
          <t>COD 25</t>
        </is>
      </c>
      <c r="D84" s="469">
        <f>_xlfn.XLOOKUP(C84,CODIGOS_Y_PAGOS[CODIGO],CODIGOS_Y_PAGOS[NOMBRE PARTICIPANTE],"")</f>
        <v/>
      </c>
      <c r="E84" s="298">
        <f>_xlfn.XLOOKUP($C84,SEMANA29[COD],SEMANA29[Columna14],"")</f>
        <v/>
      </c>
      <c r="F84" s="298">
        <f>_xlfn.XLOOKUP(C84,SEMANA29[COD],SEMANA29[Columna19],"")</f>
        <v/>
      </c>
      <c r="G84" s="299">
        <f>IFERROR(+F84/E84,"0,00")</f>
        <v/>
      </c>
      <c r="H84" s="300">
        <f>_xlfn.XLOOKUP(C84,SEMANA29[COD],SEMANA29[Columna32],"")</f>
        <v/>
      </c>
      <c r="I84" s="300">
        <f>_xlfn.XLOOKUP(C84,SEMANA29[COD],SEMANA29[Columna30],"")</f>
        <v/>
      </c>
      <c r="J84" s="301">
        <f>IFERROR(+I84/H84,"0,00")</f>
        <v/>
      </c>
      <c r="K84" s="302">
        <f>_xlfn.XLOOKUP(C84,SEMANA29[COD],SEMANA29[Columna32],"")</f>
        <v/>
      </c>
      <c r="L84" s="302">
        <f>_xlfn.XLOOKUP(C84,SEMANA29[COD],SEMANA29[Columna34],"")</f>
        <v/>
      </c>
      <c r="M84" s="303">
        <f>IFERROR(+L84/K84,"0,00")</f>
        <v/>
      </c>
      <c r="N84" s="304">
        <f>_xlfn.XLOOKUP(C84,SEMANA29[COD],SEMANA29[Columna36],"")</f>
        <v/>
      </c>
      <c r="O84" s="304">
        <f>_xlfn.XLOOKUP(C84,SEMANA29[COD],SEMANA29[Columna37],"")</f>
        <v/>
      </c>
      <c r="P84" s="305">
        <f>IFERROR(+O84/N84,"0,00")</f>
        <v/>
      </c>
      <c r="Q84" s="306">
        <f>_xlfn.XLOOKUP(C84,SEMANA29[COD],SEMANA29[Columna1],"")</f>
        <v/>
      </c>
      <c r="R84" s="3" t="n"/>
      <c r="U84" s="393" t="inlineStr">
        <is>
          <t>COD 25</t>
        </is>
      </c>
      <c r="V84" s="393">
        <f>U84</f>
        <v/>
      </c>
    </row>
    <row r="85" outlineLevel="1" ht="23.1" customFormat="1" customHeight="1" s="393">
      <c r="A85" s="295" t="n"/>
      <c r="B85" s="307">
        <f>+B84+1</f>
        <v/>
      </c>
      <c r="C85" s="611" t="inlineStr">
        <is>
          <t>COD 26</t>
        </is>
      </c>
      <c r="D85" s="469">
        <f>_xlfn.XLOOKUP(C85,CODIGOS_Y_PAGOS[CODIGO],CODIGOS_Y_PAGOS[NOMBRE PARTICIPANTE],"")</f>
        <v/>
      </c>
      <c r="E85" s="298">
        <f>_xlfn.XLOOKUP($C85,SEMANA29[COD],SEMANA29[Columna14],"")</f>
        <v/>
      </c>
      <c r="F85" s="298">
        <f>_xlfn.XLOOKUP(C85,SEMANA29[COD],SEMANA29[Columna19],"")</f>
        <v/>
      </c>
      <c r="G85" s="299">
        <f>IFERROR(+F85/E85,"0,00")</f>
        <v/>
      </c>
      <c r="H85" s="300">
        <f>_xlfn.XLOOKUP(C85,SEMANA29[COD],SEMANA29[Columna32],"")</f>
        <v/>
      </c>
      <c r="I85" s="300">
        <f>_xlfn.XLOOKUP(C85,SEMANA29[COD],SEMANA29[Columna30],"")</f>
        <v/>
      </c>
      <c r="J85" s="301">
        <f>IFERROR(+I85/H85,"0,00")</f>
        <v/>
      </c>
      <c r="K85" s="302">
        <f>_xlfn.XLOOKUP(C85,SEMANA29[COD],SEMANA29[Columna32],"")</f>
        <v/>
      </c>
      <c r="L85" s="302">
        <f>_xlfn.XLOOKUP(C85,SEMANA29[COD],SEMANA29[Columna34],"")</f>
        <v/>
      </c>
      <c r="M85" s="303">
        <f>IFERROR(+L85/K85,"0,00")</f>
        <v/>
      </c>
      <c r="N85" s="304">
        <f>_xlfn.XLOOKUP(C85,SEMANA29[COD],SEMANA29[Columna36],"")</f>
        <v/>
      </c>
      <c r="O85" s="304">
        <f>_xlfn.XLOOKUP(C85,SEMANA29[COD],SEMANA29[Columna37],"")</f>
        <v/>
      </c>
      <c r="P85" s="305">
        <f>IFERROR(+O85/N85,"0,00")</f>
        <v/>
      </c>
      <c r="Q85" s="306">
        <f>_xlfn.XLOOKUP(C85,SEMANA29[COD],SEMANA29[Columna1],"")</f>
        <v/>
      </c>
      <c r="R85" s="3" t="n"/>
      <c r="U85" s="393" t="inlineStr">
        <is>
          <t>COD 26</t>
        </is>
      </c>
      <c r="V85" s="393">
        <f>U85</f>
        <v/>
      </c>
    </row>
    <row r="86" outlineLevel="1" ht="23.1" customFormat="1" customHeight="1" s="393">
      <c r="A86" s="295" t="n"/>
      <c r="B86" s="307">
        <f>+B85+1</f>
        <v/>
      </c>
      <c r="C86" s="611" t="inlineStr">
        <is>
          <t>COD 27</t>
        </is>
      </c>
      <c r="D86" s="469">
        <f>_xlfn.XLOOKUP(C86,CODIGOS_Y_PAGOS[CODIGO],CODIGOS_Y_PAGOS[NOMBRE PARTICIPANTE],"")</f>
        <v/>
      </c>
      <c r="E86" s="298">
        <f>_xlfn.XLOOKUP($C86,SEMANA29[COD],SEMANA29[Columna14],"")</f>
        <v/>
      </c>
      <c r="F86" s="298">
        <f>_xlfn.XLOOKUP(C86,SEMANA29[COD],SEMANA29[Columna19],"")</f>
        <v/>
      </c>
      <c r="G86" s="299">
        <f>IFERROR(+F86/E86,"0,00")</f>
        <v/>
      </c>
      <c r="H86" s="300">
        <f>_xlfn.XLOOKUP(C86,SEMANA29[COD],SEMANA29[Columna32],"")</f>
        <v/>
      </c>
      <c r="I86" s="300">
        <f>_xlfn.XLOOKUP(C86,SEMANA29[COD],SEMANA29[Columna30],"")</f>
        <v/>
      </c>
      <c r="J86" s="301">
        <f>IFERROR(+I86/H86,"0,00")</f>
        <v/>
      </c>
      <c r="K86" s="302">
        <f>_xlfn.XLOOKUP(C86,SEMANA29[COD],SEMANA29[Columna32],"")</f>
        <v/>
      </c>
      <c r="L86" s="302">
        <f>_xlfn.XLOOKUP(C86,SEMANA29[COD],SEMANA29[Columna34],"")</f>
        <v/>
      </c>
      <c r="M86" s="303">
        <f>IFERROR(+L86/K86,"0,00")</f>
        <v/>
      </c>
      <c r="N86" s="304">
        <f>_xlfn.XLOOKUP(C86,SEMANA29[COD],SEMANA29[Columna36],"")</f>
        <v/>
      </c>
      <c r="O86" s="304">
        <f>_xlfn.XLOOKUP(C86,SEMANA29[COD],SEMANA29[Columna37],"")</f>
        <v/>
      </c>
      <c r="P86" s="305">
        <f>IFERROR(+O86/N86,"0,00")</f>
        <v/>
      </c>
      <c r="Q86" s="306">
        <f>_xlfn.XLOOKUP(C86,SEMANA29[COD],SEMANA29[Columna1],"")</f>
        <v/>
      </c>
      <c r="R86" s="3" t="n"/>
      <c r="U86" s="393" t="inlineStr">
        <is>
          <t>COD 27</t>
        </is>
      </c>
      <c r="V86" s="393">
        <f>U86</f>
        <v/>
      </c>
    </row>
    <row r="87" outlineLevel="1" ht="23.1" customFormat="1" customHeight="1" s="393">
      <c r="A87" s="295" t="n"/>
      <c r="B87" s="307">
        <f>+B86+1</f>
        <v/>
      </c>
      <c r="C87" s="611" t="inlineStr">
        <is>
          <t>COD 28</t>
        </is>
      </c>
      <c r="D87" s="469">
        <f>_xlfn.XLOOKUP(C87,CODIGOS_Y_PAGOS[CODIGO],CODIGOS_Y_PAGOS[NOMBRE PARTICIPANTE],"")</f>
        <v/>
      </c>
      <c r="E87" s="298">
        <f>_xlfn.XLOOKUP($C87,SEMANA29[COD],SEMANA29[Columna14],"")</f>
        <v/>
      </c>
      <c r="F87" s="298">
        <f>_xlfn.XLOOKUP(C87,SEMANA29[COD],SEMANA29[Columna19],"")</f>
        <v/>
      </c>
      <c r="G87" s="299">
        <f>IFERROR(+F87/E87,"0,00")</f>
        <v/>
      </c>
      <c r="H87" s="300">
        <f>_xlfn.XLOOKUP(C87,SEMANA29[COD],SEMANA29[Columna32],"")</f>
        <v/>
      </c>
      <c r="I87" s="300">
        <f>_xlfn.XLOOKUP(C87,SEMANA29[COD],SEMANA29[Columna30],"")</f>
        <v/>
      </c>
      <c r="J87" s="301">
        <f>IFERROR(+I87/H87,"0,00")</f>
        <v/>
      </c>
      <c r="K87" s="302">
        <f>_xlfn.XLOOKUP(C87,SEMANA29[COD],SEMANA29[Columna32],"")</f>
        <v/>
      </c>
      <c r="L87" s="302">
        <f>_xlfn.XLOOKUP(C87,SEMANA29[COD],SEMANA29[Columna34],"")</f>
        <v/>
      </c>
      <c r="M87" s="303">
        <f>IFERROR(+L87/K87,"0,00")</f>
        <v/>
      </c>
      <c r="N87" s="304">
        <f>_xlfn.XLOOKUP(C87,SEMANA29[COD],SEMANA29[Columna36],"")</f>
        <v/>
      </c>
      <c r="O87" s="304">
        <f>_xlfn.XLOOKUP(C87,SEMANA29[COD],SEMANA29[Columna37],"")</f>
        <v/>
      </c>
      <c r="P87" s="305">
        <f>IFERROR(+O87/N87,"0,00")</f>
        <v/>
      </c>
      <c r="Q87" s="306">
        <f>_xlfn.XLOOKUP(C87,SEMANA29[COD],SEMANA29[Columna1],"")</f>
        <v/>
      </c>
      <c r="R87" s="3" t="n"/>
      <c r="U87" s="393" t="inlineStr">
        <is>
          <t>COD 28</t>
        </is>
      </c>
      <c r="V87" s="393">
        <f>U87</f>
        <v/>
      </c>
    </row>
    <row r="88" outlineLevel="1" ht="23.1" customFormat="1" customHeight="1" s="393">
      <c r="A88" s="295" t="n"/>
      <c r="B88" s="307">
        <f>+B87+1</f>
        <v/>
      </c>
      <c r="C88" s="611" t="inlineStr">
        <is>
          <t>COD 29</t>
        </is>
      </c>
      <c r="D88" s="469">
        <f>_xlfn.XLOOKUP(C88,CODIGOS_Y_PAGOS[CODIGO],CODIGOS_Y_PAGOS[NOMBRE PARTICIPANTE],"")</f>
        <v/>
      </c>
      <c r="E88" s="298">
        <f>_xlfn.XLOOKUP($C88,SEMANA29[COD],SEMANA29[Columna14],"")</f>
        <v/>
      </c>
      <c r="F88" s="298">
        <f>_xlfn.XLOOKUP(C88,SEMANA29[COD],SEMANA29[Columna19],"")</f>
        <v/>
      </c>
      <c r="G88" s="299">
        <f>IFERROR(+F88/E88,"0,00")</f>
        <v/>
      </c>
      <c r="H88" s="300">
        <f>_xlfn.XLOOKUP(C88,SEMANA29[COD],SEMANA29[Columna32],"")</f>
        <v/>
      </c>
      <c r="I88" s="300">
        <f>_xlfn.XLOOKUP(C88,SEMANA29[COD],SEMANA29[Columna30],"")</f>
        <v/>
      </c>
      <c r="J88" s="301">
        <f>IFERROR(+I88/H88,"0,00")</f>
        <v/>
      </c>
      <c r="K88" s="302">
        <f>_xlfn.XLOOKUP(C88,SEMANA29[COD],SEMANA29[Columna32],"")</f>
        <v/>
      </c>
      <c r="L88" s="302">
        <f>_xlfn.XLOOKUP(C88,SEMANA29[COD],SEMANA29[Columna34],"")</f>
        <v/>
      </c>
      <c r="M88" s="303">
        <f>IFERROR(+L88/K88,"0,00")</f>
        <v/>
      </c>
      <c r="N88" s="304">
        <f>_xlfn.XLOOKUP(C88,SEMANA29[COD],SEMANA29[Columna36],"")</f>
        <v/>
      </c>
      <c r="O88" s="304">
        <f>_xlfn.XLOOKUP(C88,SEMANA29[COD],SEMANA29[Columna37],"")</f>
        <v/>
      </c>
      <c r="P88" s="305">
        <f>IFERROR(+O88/N88,"0,00")</f>
        <v/>
      </c>
      <c r="Q88" s="306">
        <f>_xlfn.XLOOKUP(C88,SEMANA29[COD],SEMANA29[Columna1],"")</f>
        <v/>
      </c>
      <c r="R88" s="3" t="n"/>
      <c r="U88" s="393" t="inlineStr">
        <is>
          <t>COD 29</t>
        </is>
      </c>
      <c r="V88" s="393">
        <f>U88</f>
        <v/>
      </c>
    </row>
    <row r="89" outlineLevel="1" ht="23.1" customFormat="1" customHeight="1" s="393">
      <c r="A89" s="295" t="n"/>
      <c r="B89" s="307">
        <f>+B88+1</f>
        <v/>
      </c>
      <c r="C89" s="611" t="inlineStr">
        <is>
          <t>COD 30</t>
        </is>
      </c>
      <c r="D89" s="469">
        <f>_xlfn.XLOOKUP(C89,CODIGOS_Y_PAGOS[CODIGO],CODIGOS_Y_PAGOS[NOMBRE PARTICIPANTE],"")</f>
        <v/>
      </c>
      <c r="E89" s="298">
        <f>_xlfn.XLOOKUP($C89,SEMANA29[COD],SEMANA29[Columna14],"")</f>
        <v/>
      </c>
      <c r="F89" s="298">
        <f>_xlfn.XLOOKUP(C89,SEMANA29[COD],SEMANA29[Columna19],"")</f>
        <v/>
      </c>
      <c r="G89" s="299">
        <f>IFERROR(+F89/E89,"0,00")</f>
        <v/>
      </c>
      <c r="H89" s="300">
        <f>_xlfn.XLOOKUP(C89,SEMANA29[COD],SEMANA29[Columna32],"")</f>
        <v/>
      </c>
      <c r="I89" s="300">
        <f>_xlfn.XLOOKUP(C89,SEMANA29[COD],SEMANA29[Columna30],"")</f>
        <v/>
      </c>
      <c r="J89" s="301">
        <f>IFERROR(+I89/H89,"0,00")</f>
        <v/>
      </c>
      <c r="K89" s="302">
        <f>_xlfn.XLOOKUP(C89,SEMANA29[COD],SEMANA29[Columna32],"")</f>
        <v/>
      </c>
      <c r="L89" s="302">
        <f>_xlfn.XLOOKUP(C89,SEMANA29[COD],SEMANA29[Columna34],"")</f>
        <v/>
      </c>
      <c r="M89" s="303">
        <f>IFERROR(+L89/K89,"0,00")</f>
        <v/>
      </c>
      <c r="N89" s="304">
        <f>_xlfn.XLOOKUP(C89,SEMANA29[COD],SEMANA29[Columna36],"")</f>
        <v/>
      </c>
      <c r="O89" s="304">
        <f>_xlfn.XLOOKUP(C89,SEMANA29[COD],SEMANA29[Columna37],"")</f>
        <v/>
      </c>
      <c r="P89" s="305">
        <f>IFERROR(+O89/N89,"0,00")</f>
        <v/>
      </c>
      <c r="Q89" s="306">
        <f>_xlfn.XLOOKUP(C89,SEMANA29[COD],SEMANA29[Columna1],"")</f>
        <v/>
      </c>
      <c r="R89" s="3" t="n"/>
      <c r="U89" s="393" t="inlineStr">
        <is>
          <t>COD 30</t>
        </is>
      </c>
      <c r="V89" s="393">
        <f>U89</f>
        <v/>
      </c>
    </row>
    <row r="90" outlineLevel="1" ht="23.1" customFormat="1" customHeight="1" s="393">
      <c r="A90" s="295" t="n"/>
      <c r="B90" s="307">
        <f>+B89+1</f>
        <v/>
      </c>
      <c r="C90" s="611" t="inlineStr">
        <is>
          <t>COD 31</t>
        </is>
      </c>
      <c r="D90" s="469">
        <f>_xlfn.XLOOKUP(C90,CODIGOS_Y_PAGOS[CODIGO],CODIGOS_Y_PAGOS[NOMBRE PARTICIPANTE],"")</f>
        <v/>
      </c>
      <c r="E90" s="298">
        <f>_xlfn.XLOOKUP($C90,SEMANA29[COD],SEMANA29[Columna14],"")</f>
        <v/>
      </c>
      <c r="F90" s="298">
        <f>_xlfn.XLOOKUP(C90,SEMANA29[COD],SEMANA29[Columna19],"")</f>
        <v/>
      </c>
      <c r="G90" s="299">
        <f>IFERROR(+F90/E90,"0,00")</f>
        <v/>
      </c>
      <c r="H90" s="300">
        <f>_xlfn.XLOOKUP(C90,SEMANA29[COD],SEMANA29[Columna32],"")</f>
        <v/>
      </c>
      <c r="I90" s="300">
        <f>_xlfn.XLOOKUP(C90,SEMANA29[COD],SEMANA29[Columna30],"")</f>
        <v/>
      </c>
      <c r="J90" s="301">
        <f>IFERROR(+I90/H90,"0,00")</f>
        <v/>
      </c>
      <c r="K90" s="302">
        <f>_xlfn.XLOOKUP(C90,SEMANA29[COD],SEMANA29[Columna32],"")</f>
        <v/>
      </c>
      <c r="L90" s="302">
        <f>_xlfn.XLOOKUP(C90,SEMANA29[COD],SEMANA29[Columna34],"")</f>
        <v/>
      </c>
      <c r="M90" s="303">
        <f>IFERROR(+L90/K90,"0,00")</f>
        <v/>
      </c>
      <c r="N90" s="304">
        <f>_xlfn.XLOOKUP(C90,SEMANA29[COD],SEMANA29[Columna36],"")</f>
        <v/>
      </c>
      <c r="O90" s="304">
        <f>_xlfn.XLOOKUP(C90,SEMANA29[COD],SEMANA29[Columna37],"")</f>
        <v/>
      </c>
      <c r="P90" s="305">
        <f>IFERROR(+O90/N90,"0,00")</f>
        <v/>
      </c>
      <c r="Q90" s="306">
        <f>_xlfn.XLOOKUP(C90,SEMANA29[COD],SEMANA29[Columna1],"")</f>
        <v/>
      </c>
      <c r="R90" s="3" t="n"/>
      <c r="U90" s="393" t="inlineStr">
        <is>
          <t>COD 31</t>
        </is>
      </c>
      <c r="V90" s="393">
        <f>U90</f>
        <v/>
      </c>
    </row>
    <row r="91" outlineLevel="1" ht="23.1" customFormat="1" customHeight="1" s="393">
      <c r="A91" s="295" t="n"/>
      <c r="B91" s="307">
        <f>+B90+1</f>
        <v/>
      </c>
      <c r="C91" s="611" t="inlineStr">
        <is>
          <t>COD 32</t>
        </is>
      </c>
      <c r="D91" s="469">
        <f>_xlfn.XLOOKUP(C91,CODIGOS_Y_PAGOS[CODIGO],CODIGOS_Y_PAGOS[NOMBRE PARTICIPANTE],"")</f>
        <v/>
      </c>
      <c r="E91" s="298">
        <f>_xlfn.XLOOKUP($C91,SEMANA29[COD],SEMANA29[Columna14],"")</f>
        <v/>
      </c>
      <c r="F91" s="298">
        <f>_xlfn.XLOOKUP(C91,SEMANA29[COD],SEMANA29[Columna19],"")</f>
        <v/>
      </c>
      <c r="G91" s="299">
        <f>IFERROR(+F91/E91,"0,00")</f>
        <v/>
      </c>
      <c r="H91" s="300">
        <f>_xlfn.XLOOKUP(C91,SEMANA29[COD],SEMANA29[Columna32],"")</f>
        <v/>
      </c>
      <c r="I91" s="300">
        <f>_xlfn.XLOOKUP(C91,SEMANA29[COD],SEMANA29[Columna30],"")</f>
        <v/>
      </c>
      <c r="J91" s="301">
        <f>IFERROR(+I91/H91,"0,00")</f>
        <v/>
      </c>
      <c r="K91" s="302">
        <f>_xlfn.XLOOKUP(C91,SEMANA29[COD],SEMANA29[Columna32],"")</f>
        <v/>
      </c>
      <c r="L91" s="302">
        <f>_xlfn.XLOOKUP(C91,SEMANA29[COD],SEMANA29[Columna34],"")</f>
        <v/>
      </c>
      <c r="M91" s="303">
        <f>IFERROR(+L91/K91,"0,00")</f>
        <v/>
      </c>
      <c r="N91" s="304">
        <f>_xlfn.XLOOKUP(C91,SEMANA29[COD],SEMANA29[Columna36],"")</f>
        <v/>
      </c>
      <c r="O91" s="304">
        <f>_xlfn.XLOOKUP(C91,SEMANA29[COD],SEMANA29[Columna37],"")</f>
        <v/>
      </c>
      <c r="P91" s="305">
        <f>IFERROR(+O91/N91,"0,00")</f>
        <v/>
      </c>
      <c r="Q91" s="306">
        <f>_xlfn.XLOOKUP(C91,SEMANA29[COD],SEMANA29[Columna1],"")</f>
        <v/>
      </c>
      <c r="R91" s="3" t="n"/>
      <c r="U91" s="393" t="inlineStr">
        <is>
          <t>COD 32</t>
        </is>
      </c>
      <c r="V91" s="393">
        <f>U91</f>
        <v/>
      </c>
    </row>
    <row r="92" outlineLevel="1" ht="23.1" customFormat="1" customHeight="1" s="393">
      <c r="A92" s="295" t="n"/>
      <c r="B92" s="307">
        <f>+B91+1</f>
        <v/>
      </c>
      <c r="C92" s="611" t="inlineStr">
        <is>
          <t>COD 33</t>
        </is>
      </c>
      <c r="D92" s="469">
        <f>_xlfn.XLOOKUP(C92,CODIGOS_Y_PAGOS[CODIGO],CODIGOS_Y_PAGOS[NOMBRE PARTICIPANTE],"")</f>
        <v/>
      </c>
      <c r="E92" s="298">
        <f>_xlfn.XLOOKUP($C92,SEMANA29[COD],SEMANA29[Columna14],"")</f>
        <v/>
      </c>
      <c r="F92" s="298">
        <f>_xlfn.XLOOKUP(C92,SEMANA29[COD],SEMANA29[Columna19],"")</f>
        <v/>
      </c>
      <c r="G92" s="299">
        <f>IFERROR(+F92/E92,"0,00")</f>
        <v/>
      </c>
      <c r="H92" s="300">
        <f>_xlfn.XLOOKUP(C92,SEMANA29[COD],SEMANA29[Columna32],"")</f>
        <v/>
      </c>
      <c r="I92" s="300">
        <f>_xlfn.XLOOKUP(C92,SEMANA29[COD],SEMANA29[Columna30],"")</f>
        <v/>
      </c>
      <c r="J92" s="301">
        <f>IFERROR(+I92/H92,"0,00")</f>
        <v/>
      </c>
      <c r="K92" s="302">
        <f>_xlfn.XLOOKUP(C92,SEMANA29[COD],SEMANA29[Columna32],"")</f>
        <v/>
      </c>
      <c r="L92" s="302">
        <f>_xlfn.XLOOKUP(C92,SEMANA29[COD],SEMANA29[Columna34],"")</f>
        <v/>
      </c>
      <c r="M92" s="303">
        <f>IFERROR(+L92/K92,"0,00")</f>
        <v/>
      </c>
      <c r="N92" s="304">
        <f>_xlfn.XLOOKUP(C92,SEMANA29[COD],SEMANA29[Columna36],"")</f>
        <v/>
      </c>
      <c r="O92" s="304">
        <f>_xlfn.XLOOKUP(C92,SEMANA29[COD],SEMANA29[Columna37],"")</f>
        <v/>
      </c>
      <c r="P92" s="305">
        <f>IFERROR(+O92/N92,"0,00")</f>
        <v/>
      </c>
      <c r="Q92" s="306">
        <f>_xlfn.XLOOKUP(C92,SEMANA29[COD],SEMANA29[Columna1],"")</f>
        <v/>
      </c>
      <c r="R92" s="3" t="n"/>
      <c r="U92" s="393" t="inlineStr">
        <is>
          <t>COD 33</t>
        </is>
      </c>
      <c r="V92" s="393">
        <f>U92</f>
        <v/>
      </c>
    </row>
    <row r="93" outlineLevel="1" ht="23.1" customFormat="1" customHeight="1" s="393">
      <c r="A93" s="295" t="n"/>
      <c r="B93" s="307">
        <f>+B92+1</f>
        <v/>
      </c>
      <c r="C93" s="611" t="inlineStr">
        <is>
          <t>COD 34</t>
        </is>
      </c>
      <c r="D93" s="469">
        <f>_xlfn.XLOOKUP(C93,CODIGOS_Y_PAGOS[CODIGO],CODIGOS_Y_PAGOS[NOMBRE PARTICIPANTE],"")</f>
        <v/>
      </c>
      <c r="E93" s="298">
        <f>_xlfn.XLOOKUP($C93,SEMANA29[COD],SEMANA29[Columna14],"")</f>
        <v/>
      </c>
      <c r="F93" s="298">
        <f>_xlfn.XLOOKUP(C93,SEMANA29[COD],SEMANA29[Columna19],"")</f>
        <v/>
      </c>
      <c r="G93" s="299">
        <f>IFERROR(+F93/E93,"0,00")</f>
        <v/>
      </c>
      <c r="H93" s="300">
        <f>_xlfn.XLOOKUP(C93,SEMANA29[COD],SEMANA29[Columna32],"")</f>
        <v/>
      </c>
      <c r="I93" s="300">
        <f>_xlfn.XLOOKUP(C93,SEMANA29[COD],SEMANA29[Columna30],"")</f>
        <v/>
      </c>
      <c r="J93" s="301">
        <f>IFERROR(+I93/H93,"0,00")</f>
        <v/>
      </c>
      <c r="K93" s="302">
        <f>_xlfn.XLOOKUP(C93,SEMANA29[COD],SEMANA29[Columna32],"")</f>
        <v/>
      </c>
      <c r="L93" s="302">
        <f>_xlfn.XLOOKUP(C93,SEMANA29[COD],SEMANA29[Columna34],"")</f>
        <v/>
      </c>
      <c r="M93" s="303">
        <f>IFERROR(+L93/K93,"0,00")</f>
        <v/>
      </c>
      <c r="N93" s="304">
        <f>_xlfn.XLOOKUP(C93,SEMANA29[COD],SEMANA29[Columna36],"")</f>
        <v/>
      </c>
      <c r="O93" s="304">
        <f>_xlfn.XLOOKUP(C93,SEMANA29[COD],SEMANA29[Columna37],"")</f>
        <v/>
      </c>
      <c r="P93" s="305">
        <f>IFERROR(+O93/N93,"0,00")</f>
        <v/>
      </c>
      <c r="Q93" s="306">
        <f>_xlfn.XLOOKUP(C93,SEMANA29[COD],SEMANA29[Columna1],"")</f>
        <v/>
      </c>
      <c r="R93" s="3" t="n"/>
      <c r="U93" s="393" t="inlineStr">
        <is>
          <t>COD 34</t>
        </is>
      </c>
      <c r="V93" s="393">
        <f>U93</f>
        <v/>
      </c>
    </row>
    <row r="94" outlineLevel="1" ht="23.1" customFormat="1" customHeight="1" s="393">
      <c r="A94" s="295" t="n"/>
      <c r="B94" s="307">
        <f>+B93+1</f>
        <v/>
      </c>
      <c r="C94" s="611" t="inlineStr">
        <is>
          <t>COD 35</t>
        </is>
      </c>
      <c r="D94" s="469">
        <f>_xlfn.XLOOKUP(C94,CODIGOS_Y_PAGOS[CODIGO],CODIGOS_Y_PAGOS[NOMBRE PARTICIPANTE],"")</f>
        <v/>
      </c>
      <c r="E94" s="298">
        <f>_xlfn.XLOOKUP($C94,SEMANA29[COD],SEMANA29[Columna14],"")</f>
        <v/>
      </c>
      <c r="F94" s="298">
        <f>_xlfn.XLOOKUP(C94,SEMANA29[COD],SEMANA29[Columna19],"")</f>
        <v/>
      </c>
      <c r="G94" s="299">
        <f>IFERROR(+F94/E94,"0,00")</f>
        <v/>
      </c>
      <c r="H94" s="300">
        <f>_xlfn.XLOOKUP(C94,SEMANA29[COD],SEMANA29[Columna32],"")</f>
        <v/>
      </c>
      <c r="I94" s="300">
        <f>_xlfn.XLOOKUP(C94,SEMANA29[COD],SEMANA29[Columna30],"")</f>
        <v/>
      </c>
      <c r="J94" s="301">
        <f>IFERROR(+I94/H94,"0,00")</f>
        <v/>
      </c>
      <c r="K94" s="302">
        <f>_xlfn.XLOOKUP(C94,SEMANA29[COD],SEMANA29[Columna32],"")</f>
        <v/>
      </c>
      <c r="L94" s="302">
        <f>_xlfn.XLOOKUP(C94,SEMANA29[COD],SEMANA29[Columna34],"")</f>
        <v/>
      </c>
      <c r="M94" s="303">
        <f>IFERROR(+L94/K94,"0,00")</f>
        <v/>
      </c>
      <c r="N94" s="304">
        <f>_xlfn.XLOOKUP(C94,SEMANA29[COD],SEMANA29[Columna36],"")</f>
        <v/>
      </c>
      <c r="O94" s="304">
        <f>_xlfn.XLOOKUP(C94,SEMANA29[COD],SEMANA29[Columna37],"")</f>
        <v/>
      </c>
      <c r="P94" s="305">
        <f>IFERROR(+O94/N94,"0,00")</f>
        <v/>
      </c>
      <c r="Q94" s="306">
        <f>_xlfn.XLOOKUP(C94,SEMANA29[COD],SEMANA29[Columna1],"")</f>
        <v/>
      </c>
      <c r="R94" s="3" t="n"/>
      <c r="U94" s="393" t="inlineStr">
        <is>
          <t>COD 35</t>
        </is>
      </c>
      <c r="V94" s="393">
        <f>U94</f>
        <v/>
      </c>
    </row>
    <row r="95" outlineLevel="1" ht="23.1" customFormat="1" customHeight="1" s="393">
      <c r="A95" s="295" t="n"/>
      <c r="B95" s="307">
        <f>+B94+1</f>
        <v/>
      </c>
      <c r="C95" s="611" t="inlineStr">
        <is>
          <t>COD 36</t>
        </is>
      </c>
      <c r="D95" s="469">
        <f>_xlfn.XLOOKUP(C95,CODIGOS_Y_PAGOS[CODIGO],CODIGOS_Y_PAGOS[NOMBRE PARTICIPANTE],"")</f>
        <v/>
      </c>
      <c r="E95" s="298">
        <f>_xlfn.XLOOKUP($C95,SEMANA29[COD],SEMANA29[Columna14],"")</f>
        <v/>
      </c>
      <c r="F95" s="298">
        <f>_xlfn.XLOOKUP(C95,SEMANA29[COD],SEMANA29[Columna19],"")</f>
        <v/>
      </c>
      <c r="G95" s="299">
        <f>IFERROR(+F95/E95,"0,00")</f>
        <v/>
      </c>
      <c r="H95" s="300">
        <f>_xlfn.XLOOKUP(C95,SEMANA29[COD],SEMANA29[Columna32],"")</f>
        <v/>
      </c>
      <c r="I95" s="300">
        <f>_xlfn.XLOOKUP(C95,SEMANA29[COD],SEMANA29[Columna30],"")</f>
        <v/>
      </c>
      <c r="J95" s="301">
        <f>IFERROR(+I95/H95,"0,00")</f>
        <v/>
      </c>
      <c r="K95" s="302">
        <f>_xlfn.XLOOKUP(C95,SEMANA29[COD],SEMANA29[Columna32],"")</f>
        <v/>
      </c>
      <c r="L95" s="302">
        <f>_xlfn.XLOOKUP(C95,SEMANA29[COD],SEMANA29[Columna34],"")</f>
        <v/>
      </c>
      <c r="M95" s="303">
        <f>IFERROR(+L95/K95,"0,00")</f>
        <v/>
      </c>
      <c r="N95" s="304">
        <f>_xlfn.XLOOKUP(C95,SEMANA29[COD],SEMANA29[Columna36],"")</f>
        <v/>
      </c>
      <c r="O95" s="304">
        <f>_xlfn.XLOOKUP(C95,SEMANA29[COD],SEMANA29[Columna37],"")</f>
        <v/>
      </c>
      <c r="P95" s="305">
        <f>IFERROR(+O95/N95,"0,00")</f>
        <v/>
      </c>
      <c r="Q95" s="306">
        <f>_xlfn.XLOOKUP(C95,SEMANA29[COD],SEMANA29[Columna1],"")</f>
        <v/>
      </c>
      <c r="R95" s="3" t="n"/>
      <c r="U95" s="393" t="inlineStr">
        <is>
          <t>COD 36</t>
        </is>
      </c>
      <c r="V95" s="393">
        <f>U95</f>
        <v/>
      </c>
    </row>
    <row r="96" outlineLevel="1" ht="23.1" customFormat="1" customHeight="1" s="393">
      <c r="A96" s="295" t="n"/>
      <c r="B96" s="307">
        <f>+B95+1</f>
        <v/>
      </c>
      <c r="C96" s="611" t="inlineStr">
        <is>
          <t>COD 37</t>
        </is>
      </c>
      <c r="D96" s="469">
        <f>_xlfn.XLOOKUP(C96,CODIGOS_Y_PAGOS[CODIGO],CODIGOS_Y_PAGOS[NOMBRE PARTICIPANTE],"")</f>
        <v/>
      </c>
      <c r="E96" s="298">
        <f>_xlfn.XLOOKUP($C96,SEMANA29[COD],SEMANA29[Columna14],"")</f>
        <v/>
      </c>
      <c r="F96" s="298">
        <f>_xlfn.XLOOKUP(C96,SEMANA29[COD],SEMANA29[Columna19],"")</f>
        <v/>
      </c>
      <c r="G96" s="299">
        <f>IFERROR(+F96/E96,"0,00")</f>
        <v/>
      </c>
      <c r="H96" s="300">
        <f>_xlfn.XLOOKUP(C96,SEMANA29[COD],SEMANA29[Columna32],"")</f>
        <v/>
      </c>
      <c r="I96" s="300">
        <f>_xlfn.XLOOKUP(C96,SEMANA29[COD],SEMANA29[Columna30],"")</f>
        <v/>
      </c>
      <c r="J96" s="301">
        <f>IFERROR(+I96/H96,"0,00")</f>
        <v/>
      </c>
      <c r="K96" s="302">
        <f>_xlfn.XLOOKUP(C96,SEMANA29[COD],SEMANA29[Columna32],"")</f>
        <v/>
      </c>
      <c r="L96" s="302">
        <f>_xlfn.XLOOKUP(C96,SEMANA29[COD],SEMANA29[Columna34],"")</f>
        <v/>
      </c>
      <c r="M96" s="303">
        <f>IFERROR(+L96/K96,"0,00")</f>
        <v/>
      </c>
      <c r="N96" s="304">
        <f>_xlfn.XLOOKUP(C96,SEMANA29[COD],SEMANA29[Columna36],"")</f>
        <v/>
      </c>
      <c r="O96" s="304">
        <f>_xlfn.XLOOKUP(C96,SEMANA29[COD],SEMANA29[Columna37],"")</f>
        <v/>
      </c>
      <c r="P96" s="305">
        <f>IFERROR(+O96/N96,"0,00")</f>
        <v/>
      </c>
      <c r="Q96" s="306">
        <f>_xlfn.XLOOKUP(C96,SEMANA29[COD],SEMANA29[Columna1],"")</f>
        <v/>
      </c>
      <c r="R96" s="3" t="n"/>
      <c r="U96" s="393" t="inlineStr">
        <is>
          <t>COD 37</t>
        </is>
      </c>
      <c r="V96" s="393">
        <f>U96</f>
        <v/>
      </c>
    </row>
    <row r="97" outlineLevel="1" ht="23.1" customFormat="1" customHeight="1" s="393">
      <c r="A97" s="295" t="n"/>
      <c r="B97" s="307">
        <f>+B96+1</f>
        <v/>
      </c>
      <c r="C97" s="611" t="inlineStr">
        <is>
          <t>COD 38</t>
        </is>
      </c>
      <c r="D97" s="469">
        <f>_xlfn.XLOOKUP(C97,CODIGOS_Y_PAGOS[CODIGO],CODIGOS_Y_PAGOS[NOMBRE PARTICIPANTE],"")</f>
        <v/>
      </c>
      <c r="E97" s="298">
        <f>_xlfn.XLOOKUP($C97,SEMANA29[COD],SEMANA29[Columna14],"")</f>
        <v/>
      </c>
      <c r="F97" s="298">
        <f>_xlfn.XLOOKUP(C97,SEMANA29[COD],SEMANA29[Columna19],"")</f>
        <v/>
      </c>
      <c r="G97" s="299">
        <f>IFERROR(+F97/E97,"0,00")</f>
        <v/>
      </c>
      <c r="H97" s="300">
        <f>_xlfn.XLOOKUP(C97,SEMANA29[COD],SEMANA29[Columna32],"")</f>
        <v/>
      </c>
      <c r="I97" s="300">
        <f>_xlfn.XLOOKUP(C97,SEMANA29[COD],SEMANA29[Columna30],"")</f>
        <v/>
      </c>
      <c r="J97" s="301">
        <f>IFERROR(+I97/H97,"0,00")</f>
        <v/>
      </c>
      <c r="K97" s="302">
        <f>_xlfn.XLOOKUP(C97,SEMANA29[COD],SEMANA29[Columna32],"")</f>
        <v/>
      </c>
      <c r="L97" s="302">
        <f>_xlfn.XLOOKUP(C97,SEMANA29[COD],SEMANA29[Columna34],"")</f>
        <v/>
      </c>
      <c r="M97" s="303">
        <f>IFERROR(+L97/K97,"0,00")</f>
        <v/>
      </c>
      <c r="N97" s="304">
        <f>_xlfn.XLOOKUP(C97,SEMANA29[COD],SEMANA29[Columna36],"")</f>
        <v/>
      </c>
      <c r="O97" s="304">
        <f>_xlfn.XLOOKUP(C97,SEMANA29[COD],SEMANA29[Columna37],"")</f>
        <v/>
      </c>
      <c r="P97" s="305">
        <f>IFERROR(+O97/N97,"0,00")</f>
        <v/>
      </c>
      <c r="Q97" s="306">
        <f>_xlfn.XLOOKUP(C97,SEMANA29[COD],SEMANA29[Columna1],"")</f>
        <v/>
      </c>
      <c r="R97" s="3" t="n"/>
      <c r="U97" s="393" t="inlineStr">
        <is>
          <t>COD 38</t>
        </is>
      </c>
      <c r="V97" s="393">
        <f>U97</f>
        <v/>
      </c>
    </row>
    <row r="98" outlineLevel="1" ht="23.1" customFormat="1" customHeight="1" s="393">
      <c r="A98" s="295" t="n"/>
      <c r="B98" s="307">
        <f>+B97+1</f>
        <v/>
      </c>
      <c r="C98" s="611" t="inlineStr">
        <is>
          <t>COD 39</t>
        </is>
      </c>
      <c r="D98" s="469">
        <f>_xlfn.XLOOKUP(C98,CODIGOS_Y_PAGOS[CODIGO],CODIGOS_Y_PAGOS[NOMBRE PARTICIPANTE],"")</f>
        <v/>
      </c>
      <c r="E98" s="298">
        <f>_xlfn.XLOOKUP($C98,SEMANA29[COD],SEMANA29[Columna14],"")</f>
        <v/>
      </c>
      <c r="F98" s="298">
        <f>_xlfn.XLOOKUP(C98,SEMANA29[COD],SEMANA29[Columna19],"")</f>
        <v/>
      </c>
      <c r="G98" s="299">
        <f>IFERROR(+F98/E98,"0,00")</f>
        <v/>
      </c>
      <c r="H98" s="300">
        <f>_xlfn.XLOOKUP(C98,SEMANA29[COD],SEMANA29[Columna32],"")</f>
        <v/>
      </c>
      <c r="I98" s="300">
        <f>_xlfn.XLOOKUP(C98,SEMANA29[COD],SEMANA29[Columna30],"")</f>
        <v/>
      </c>
      <c r="J98" s="301">
        <f>IFERROR(+I98/H98,"0,00")</f>
        <v/>
      </c>
      <c r="K98" s="302">
        <f>_xlfn.XLOOKUP(C98,SEMANA29[COD],SEMANA29[Columna32],"")</f>
        <v/>
      </c>
      <c r="L98" s="302">
        <f>_xlfn.XLOOKUP(C98,SEMANA29[COD],SEMANA29[Columna34],"")</f>
        <v/>
      </c>
      <c r="M98" s="303">
        <f>IFERROR(+L98/K98,"0,00")</f>
        <v/>
      </c>
      <c r="N98" s="304">
        <f>_xlfn.XLOOKUP(C98,SEMANA29[COD],SEMANA29[Columna36],"")</f>
        <v/>
      </c>
      <c r="O98" s="304">
        <f>_xlfn.XLOOKUP(C98,SEMANA29[COD],SEMANA29[Columna37],"")</f>
        <v/>
      </c>
      <c r="P98" s="305">
        <f>IFERROR(+O98/N98,"0,00")</f>
        <v/>
      </c>
      <c r="Q98" s="306">
        <f>_xlfn.XLOOKUP(C98,SEMANA29[COD],SEMANA29[Columna1],"")</f>
        <v/>
      </c>
      <c r="R98" s="3" t="n"/>
      <c r="U98" s="393" t="inlineStr">
        <is>
          <t>COD 39</t>
        </is>
      </c>
      <c r="V98" s="393">
        <f>U98</f>
        <v/>
      </c>
    </row>
    <row r="99" outlineLevel="2" ht="23.1" customFormat="1" customHeight="1" s="393">
      <c r="A99" s="295" t="n"/>
      <c r="B99" s="307">
        <f>+B98+1</f>
        <v/>
      </c>
      <c r="C99" s="611" t="inlineStr">
        <is>
          <t>COD 40</t>
        </is>
      </c>
      <c r="D99" s="297">
        <f>_xlfn.XLOOKUP(C99,CODIGOS_Y_PAGOS[CODIGO],CODIGOS_Y_PAGOS[NOMBRE PARTICIPANTE],"")</f>
        <v/>
      </c>
      <c r="E99" s="298">
        <f>_xlfn.XLOOKUP($C99,SEMANA29[COD],SEMANA29[Columna14],"")</f>
        <v/>
      </c>
      <c r="F99" s="298">
        <f>_xlfn.XLOOKUP(C99,SEMANA29[COD],SEMANA29[Columna19],"")</f>
        <v/>
      </c>
      <c r="G99" s="299">
        <f>IFERROR(+F99/E99,"0,00")</f>
        <v/>
      </c>
      <c r="H99" s="300">
        <f>_xlfn.XLOOKUP(C99,SEMANA29[COD],SEMANA29[Columna32],"")</f>
        <v/>
      </c>
      <c r="I99" s="300">
        <f>_xlfn.XLOOKUP(C99,SEMANA29[COD],SEMANA29[Columna30],"")</f>
        <v/>
      </c>
      <c r="J99" s="301">
        <f>IFERROR(+I99/H99,"0,00")</f>
        <v/>
      </c>
      <c r="K99" s="302">
        <f>_xlfn.XLOOKUP(C99,SEMANA29[COD],SEMANA29[Columna32],"")</f>
        <v/>
      </c>
      <c r="L99" s="302">
        <f>_xlfn.XLOOKUP(C99,SEMANA29[COD],SEMANA29[Columna34],"")</f>
        <v/>
      </c>
      <c r="M99" s="303">
        <f>IFERROR(+L99/K99,"0,00")</f>
        <v/>
      </c>
      <c r="N99" s="304">
        <f>_xlfn.XLOOKUP(C99,SEMANA29[COD],SEMANA29[Columna36],"")</f>
        <v/>
      </c>
      <c r="O99" s="304">
        <f>_xlfn.XLOOKUP(C99,SEMANA29[COD],SEMANA29[Columna37],"")</f>
        <v/>
      </c>
      <c r="P99" s="305">
        <f>IFERROR(+O99/N99,"0,00")</f>
        <v/>
      </c>
      <c r="Q99" s="306">
        <f>_xlfn.XLOOKUP(C99,SEMANA29[COD],SEMANA29[Columna1],"")</f>
        <v/>
      </c>
      <c r="R99" s="3" t="n"/>
      <c r="U99" s="393" t="inlineStr">
        <is>
          <t>COD 40</t>
        </is>
      </c>
      <c r="V99" s="393">
        <f>U99</f>
        <v/>
      </c>
    </row>
    <row r="100" outlineLevel="2" ht="23.1" customFormat="1" customHeight="1" s="393">
      <c r="A100" s="295" t="n"/>
      <c r="B100" s="307">
        <f>+B99+1</f>
        <v/>
      </c>
      <c r="C100" s="611" t="inlineStr">
        <is>
          <t>COD 41</t>
        </is>
      </c>
      <c r="D100" s="297">
        <f>_xlfn.XLOOKUP(C100,CODIGOS_Y_PAGOS[CODIGO],CODIGOS_Y_PAGOS[NOMBRE PARTICIPANTE],"")</f>
        <v/>
      </c>
      <c r="E100" s="298">
        <f>_xlfn.XLOOKUP($C100,SEMANA29[COD],SEMANA29[Columna14],"")</f>
        <v/>
      </c>
      <c r="F100" s="298">
        <f>_xlfn.XLOOKUP(C100,SEMANA29[COD],SEMANA29[Columna19],"")</f>
        <v/>
      </c>
      <c r="G100" s="299">
        <f>IFERROR(+F100/E100,"0,00")</f>
        <v/>
      </c>
      <c r="H100" s="300">
        <f>_xlfn.XLOOKUP(C100,SEMANA29[COD],SEMANA29[Columna32],"")</f>
        <v/>
      </c>
      <c r="I100" s="300">
        <f>_xlfn.XLOOKUP(C100,SEMANA29[COD],SEMANA29[Columna30],"")</f>
        <v/>
      </c>
      <c r="J100" s="301">
        <f>IFERROR(+I100/H100,"0,00")</f>
        <v/>
      </c>
      <c r="K100" s="302">
        <f>_xlfn.XLOOKUP(C100,SEMANA29[COD],SEMANA29[Columna32],"")</f>
        <v/>
      </c>
      <c r="L100" s="302">
        <f>_xlfn.XLOOKUP(C100,SEMANA29[COD],SEMANA29[Columna34],"")</f>
        <v/>
      </c>
      <c r="M100" s="303">
        <f>IFERROR(+L100/K100,"0,00")</f>
        <v/>
      </c>
      <c r="N100" s="304">
        <f>_xlfn.XLOOKUP(C100,SEMANA29[COD],SEMANA29[Columna36],"")</f>
        <v/>
      </c>
      <c r="O100" s="304">
        <f>_xlfn.XLOOKUP(C100,SEMANA29[COD],SEMANA29[Columna37],"")</f>
        <v/>
      </c>
      <c r="P100" s="305">
        <f>IFERROR(+O100/N100,"0,00")</f>
        <v/>
      </c>
      <c r="Q100" s="306">
        <f>_xlfn.XLOOKUP(C100,SEMANA29[COD],SEMANA29[Columna1],"")</f>
        <v/>
      </c>
      <c r="R100" s="3" t="n"/>
      <c r="U100" s="393" t="inlineStr">
        <is>
          <t>COD 41</t>
        </is>
      </c>
      <c r="V100" s="393">
        <f>U100</f>
        <v/>
      </c>
    </row>
    <row r="101" outlineLevel="2" ht="23.1" customFormat="1" customHeight="1" s="393">
      <c r="A101" s="295" t="n"/>
      <c r="B101" s="307">
        <f>+B100+1</f>
        <v/>
      </c>
      <c r="C101" s="611" t="inlineStr">
        <is>
          <t>COD 42</t>
        </is>
      </c>
      <c r="D101" s="297">
        <f>_xlfn.XLOOKUP(C101,CODIGOS_Y_PAGOS[CODIGO],CODIGOS_Y_PAGOS[NOMBRE PARTICIPANTE],"")</f>
        <v/>
      </c>
      <c r="E101" s="298">
        <f>_xlfn.XLOOKUP($C101,SEMANA29[COD],SEMANA29[Columna14],"")</f>
        <v/>
      </c>
      <c r="F101" s="298">
        <f>_xlfn.XLOOKUP(C101,SEMANA29[COD],SEMANA29[Columna19],"")</f>
        <v/>
      </c>
      <c r="G101" s="299">
        <f>IFERROR(+F101/E101,"0,00")</f>
        <v/>
      </c>
      <c r="H101" s="300">
        <f>_xlfn.XLOOKUP(C101,SEMANA29[COD],SEMANA29[Columna32],"")</f>
        <v/>
      </c>
      <c r="I101" s="300">
        <f>_xlfn.XLOOKUP(C101,SEMANA29[COD],SEMANA29[Columna30],"")</f>
        <v/>
      </c>
      <c r="J101" s="301">
        <f>IFERROR(+I101/H101,"0,00")</f>
        <v/>
      </c>
      <c r="K101" s="302">
        <f>_xlfn.XLOOKUP(C101,SEMANA29[COD],SEMANA29[Columna32],"")</f>
        <v/>
      </c>
      <c r="L101" s="302">
        <f>_xlfn.XLOOKUP(C101,SEMANA29[COD],SEMANA29[Columna34],"")</f>
        <v/>
      </c>
      <c r="M101" s="303">
        <f>IFERROR(+L101/K101,"0,00")</f>
        <v/>
      </c>
      <c r="N101" s="304">
        <f>_xlfn.XLOOKUP(C101,SEMANA29[COD],SEMANA29[Columna36],"")</f>
        <v/>
      </c>
      <c r="O101" s="304">
        <f>_xlfn.XLOOKUP(C101,SEMANA29[COD],SEMANA29[Columna37],"")</f>
        <v/>
      </c>
      <c r="P101" s="305">
        <f>IFERROR(+O101/N101,"0,00")</f>
        <v/>
      </c>
      <c r="Q101" s="306">
        <f>_xlfn.XLOOKUP(C101,SEMANA29[COD],SEMANA29[Columna1],"")</f>
        <v/>
      </c>
      <c r="R101" s="3" t="n"/>
      <c r="U101" s="393" t="inlineStr">
        <is>
          <t>COD 42</t>
        </is>
      </c>
      <c r="V101" s="393">
        <f>U101</f>
        <v/>
      </c>
    </row>
    <row r="102" outlineLevel="2" ht="23.1" customFormat="1" customHeight="1" s="393">
      <c r="A102" s="295" t="n"/>
      <c r="B102" s="309">
        <f>+B101+1</f>
        <v/>
      </c>
      <c r="C102" s="611" t="inlineStr">
        <is>
          <t>COD 43</t>
        </is>
      </c>
      <c r="D102" s="297">
        <f>_xlfn.XLOOKUP(C102,CODIGOS_Y_PAGOS[CODIGO],CODIGOS_Y_PAGOS[NOMBRE PARTICIPANTE],"")</f>
        <v/>
      </c>
      <c r="E102" s="298">
        <f>_xlfn.XLOOKUP($C102,SEMANA29[COD],SEMANA29[Columna14],"")</f>
        <v/>
      </c>
      <c r="F102" s="298">
        <f>_xlfn.XLOOKUP(C102,SEMANA29[COD],SEMANA29[Columna19],"")</f>
        <v/>
      </c>
      <c r="G102" s="299">
        <f>IFERROR(+F102/E102,"0,00")</f>
        <v/>
      </c>
      <c r="H102" s="300">
        <f>_xlfn.XLOOKUP(C102,SEMANA29[COD],SEMANA29[Columna32],"")</f>
        <v/>
      </c>
      <c r="I102" s="300">
        <f>_xlfn.XLOOKUP(C102,SEMANA29[COD],SEMANA29[Columna30],"")</f>
        <v/>
      </c>
      <c r="J102" s="301">
        <f>IFERROR(+I102/H102,"0,00")</f>
        <v/>
      </c>
      <c r="K102" s="302">
        <f>_xlfn.XLOOKUP(C102,SEMANA29[COD],SEMANA29[Columna32],"")</f>
        <v/>
      </c>
      <c r="L102" s="302">
        <f>_xlfn.XLOOKUP(C102,SEMANA29[COD],SEMANA29[Columna34],"")</f>
        <v/>
      </c>
      <c r="M102" s="303">
        <f>IFERROR(+L102/K102,"0,00")</f>
        <v/>
      </c>
      <c r="N102" s="304">
        <f>_xlfn.XLOOKUP(C102,SEMANA29[COD],SEMANA29[Columna36],"")</f>
        <v/>
      </c>
      <c r="O102" s="304">
        <f>_xlfn.XLOOKUP(C102,SEMANA29[COD],SEMANA29[Columna37],"")</f>
        <v/>
      </c>
      <c r="P102" s="305">
        <f>IFERROR(+O102/N102,"0,00")</f>
        <v/>
      </c>
      <c r="Q102" s="306">
        <f>_xlfn.XLOOKUP(C102,SEMANA29[COD],SEMANA29[Columna1],"")</f>
        <v/>
      </c>
      <c r="R102" s="3" t="n"/>
      <c r="U102" s="393" t="inlineStr">
        <is>
          <t>COD 43</t>
        </is>
      </c>
      <c r="V102" s="393">
        <f>U102</f>
        <v/>
      </c>
    </row>
    <row r="103" outlineLevel="2" ht="23.1" customFormat="1" customHeight="1" s="393">
      <c r="A103" s="295" t="n"/>
      <c r="B103" s="309">
        <f>+B102+1</f>
        <v/>
      </c>
      <c r="C103" s="611" t="inlineStr">
        <is>
          <t>COD 44</t>
        </is>
      </c>
      <c r="D103" s="297">
        <f>_xlfn.XLOOKUP(C103,CODIGOS_Y_PAGOS[CODIGO],CODIGOS_Y_PAGOS[NOMBRE PARTICIPANTE],"")</f>
        <v/>
      </c>
      <c r="E103" s="298">
        <f>_xlfn.XLOOKUP($C103,SEMANA29[COD],SEMANA29[Columna14],"")</f>
        <v/>
      </c>
      <c r="F103" s="298">
        <f>_xlfn.XLOOKUP(C103,SEMANA29[COD],SEMANA29[Columna19],"")</f>
        <v/>
      </c>
      <c r="G103" s="299">
        <f>IFERROR(+F103/E103,"0,00")</f>
        <v/>
      </c>
      <c r="H103" s="300">
        <f>_xlfn.XLOOKUP(C103,SEMANA29[COD],SEMANA29[Columna32],"")</f>
        <v/>
      </c>
      <c r="I103" s="300">
        <f>_xlfn.XLOOKUP(C103,SEMANA29[COD],SEMANA29[Columna30],"")</f>
        <v/>
      </c>
      <c r="J103" s="301">
        <f>IFERROR(+I103/H103,"0,00")</f>
        <v/>
      </c>
      <c r="K103" s="302">
        <f>_xlfn.XLOOKUP(C103,SEMANA29[COD],SEMANA29[Columna32],"")</f>
        <v/>
      </c>
      <c r="L103" s="302">
        <f>_xlfn.XLOOKUP(C103,SEMANA29[COD],SEMANA29[Columna34],"")</f>
        <v/>
      </c>
      <c r="M103" s="303">
        <f>IFERROR(+L103/K103,"0,00")</f>
        <v/>
      </c>
      <c r="N103" s="304">
        <f>_xlfn.XLOOKUP(C103,SEMANA29[COD],SEMANA29[Columna36],"")</f>
        <v/>
      </c>
      <c r="O103" s="304">
        <f>_xlfn.XLOOKUP(C103,SEMANA29[COD],SEMANA29[Columna37],"")</f>
        <v/>
      </c>
      <c r="P103" s="305">
        <f>IFERROR(+O103/N103,"0,00")</f>
        <v/>
      </c>
      <c r="Q103" s="306">
        <f>_xlfn.XLOOKUP(C103,SEMANA29[COD],SEMANA29[Columna1],"")</f>
        <v/>
      </c>
      <c r="R103" s="3" t="n"/>
      <c r="U103" s="393" t="inlineStr">
        <is>
          <t>COD 44</t>
        </is>
      </c>
      <c r="V103" s="393">
        <f>U103</f>
        <v/>
      </c>
    </row>
    <row r="104" outlineLevel="2" ht="23.1" customFormat="1" customHeight="1" s="393">
      <c r="A104" s="295" t="n"/>
      <c r="B104" s="309">
        <f>+B103+1</f>
        <v/>
      </c>
      <c r="C104" s="611" t="inlineStr">
        <is>
          <t>COD 45</t>
        </is>
      </c>
      <c r="D104" s="297">
        <f>_xlfn.XLOOKUP(C104,CODIGOS_Y_PAGOS[CODIGO],CODIGOS_Y_PAGOS[NOMBRE PARTICIPANTE],"")</f>
        <v/>
      </c>
      <c r="E104" s="298">
        <f>_xlfn.XLOOKUP($C104,SEMANA29[COD],SEMANA29[Columna14],"")</f>
        <v/>
      </c>
      <c r="F104" s="298">
        <f>_xlfn.XLOOKUP(C104,SEMANA29[COD],SEMANA29[Columna19],"")</f>
        <v/>
      </c>
      <c r="G104" s="299">
        <f>IFERROR(+F104/E104,"0,00")</f>
        <v/>
      </c>
      <c r="H104" s="300">
        <f>_xlfn.XLOOKUP(C104,SEMANA29[COD],SEMANA29[Columna32],"")</f>
        <v/>
      </c>
      <c r="I104" s="300">
        <f>_xlfn.XLOOKUP(C104,SEMANA29[COD],SEMANA29[Columna30],"")</f>
        <v/>
      </c>
      <c r="J104" s="301">
        <f>IFERROR(+I104/H104,"0,00")</f>
        <v/>
      </c>
      <c r="K104" s="302">
        <f>_xlfn.XLOOKUP(C104,SEMANA29[COD],SEMANA29[Columna32],"")</f>
        <v/>
      </c>
      <c r="L104" s="302">
        <f>_xlfn.XLOOKUP(C104,SEMANA29[COD],SEMANA29[Columna34],"")</f>
        <v/>
      </c>
      <c r="M104" s="303">
        <f>IFERROR(+L104/K104,"0,00")</f>
        <v/>
      </c>
      <c r="N104" s="304">
        <f>_xlfn.XLOOKUP(C104,SEMANA29[COD],SEMANA29[Columna36],"")</f>
        <v/>
      </c>
      <c r="O104" s="304">
        <f>_xlfn.XLOOKUP(C104,SEMANA29[COD],SEMANA29[Columna37],"")</f>
        <v/>
      </c>
      <c r="P104" s="305">
        <f>IFERROR(+O104/N104,"0,00")</f>
        <v/>
      </c>
      <c r="Q104" s="306">
        <f>_xlfn.XLOOKUP(C104,SEMANA29[COD],SEMANA29[Columna1],"")</f>
        <v/>
      </c>
      <c r="R104" s="3" t="n"/>
      <c r="U104" s="393" t="inlineStr">
        <is>
          <t>COD 45</t>
        </is>
      </c>
      <c r="V104" s="393">
        <f>U104</f>
        <v/>
      </c>
    </row>
    <row r="105" outlineLevel="2" ht="23.1" customFormat="1" customHeight="1" s="393">
      <c r="A105" s="295" t="n"/>
      <c r="B105" s="309">
        <f>+B104+1</f>
        <v/>
      </c>
      <c r="C105" s="611" t="inlineStr">
        <is>
          <t>COD 46</t>
        </is>
      </c>
      <c r="D105" s="297">
        <f>_xlfn.XLOOKUP(C105,CODIGOS_Y_PAGOS[CODIGO],CODIGOS_Y_PAGOS[NOMBRE PARTICIPANTE],"")</f>
        <v/>
      </c>
      <c r="E105" s="298">
        <f>_xlfn.XLOOKUP($C105,SEMANA29[COD],SEMANA29[Columna14],"")</f>
        <v/>
      </c>
      <c r="F105" s="298">
        <f>_xlfn.XLOOKUP(C105,SEMANA29[COD],SEMANA29[Columna19],"")</f>
        <v/>
      </c>
      <c r="G105" s="299">
        <f>IFERROR(+F105/E105,"0,00")</f>
        <v/>
      </c>
      <c r="H105" s="300">
        <f>_xlfn.XLOOKUP(C105,SEMANA29[COD],SEMANA29[Columna32],"")</f>
        <v/>
      </c>
      <c r="I105" s="300">
        <f>_xlfn.XLOOKUP(C105,SEMANA29[COD],SEMANA29[Columna30],"")</f>
        <v/>
      </c>
      <c r="J105" s="301">
        <f>IFERROR(+I105/H105,"0,00")</f>
        <v/>
      </c>
      <c r="K105" s="302">
        <f>_xlfn.XLOOKUP(C105,SEMANA29[COD],SEMANA29[Columna32],"")</f>
        <v/>
      </c>
      <c r="L105" s="302">
        <f>_xlfn.XLOOKUP(C105,SEMANA29[COD],SEMANA29[Columna34],"")</f>
        <v/>
      </c>
      <c r="M105" s="303">
        <f>IFERROR(+L105/K105,"0,00")</f>
        <v/>
      </c>
      <c r="N105" s="304">
        <f>_xlfn.XLOOKUP(C105,SEMANA29[COD],SEMANA29[Columna36],"")</f>
        <v/>
      </c>
      <c r="O105" s="304">
        <f>_xlfn.XLOOKUP(C105,SEMANA29[COD],SEMANA29[Columna37],"")</f>
        <v/>
      </c>
      <c r="P105" s="305">
        <f>IFERROR(+O105/N105,"0,00")</f>
        <v/>
      </c>
      <c r="Q105" s="306">
        <f>_xlfn.XLOOKUP(C105,SEMANA29[COD],SEMANA29[Columna1],"")</f>
        <v/>
      </c>
      <c r="R105" s="3" t="n"/>
      <c r="U105" s="393" t="inlineStr">
        <is>
          <t>COD 46</t>
        </is>
      </c>
      <c r="V105" s="393">
        <f>U105</f>
        <v/>
      </c>
    </row>
    <row r="106" outlineLevel="2" ht="23.1" customFormat="1" customHeight="1" s="393">
      <c r="A106" s="295" t="n"/>
      <c r="B106" s="309">
        <f>+B105+1</f>
        <v/>
      </c>
      <c r="C106" s="611" t="inlineStr">
        <is>
          <t>COD 47</t>
        </is>
      </c>
      <c r="D106" s="297">
        <f>_xlfn.XLOOKUP(C106,CODIGOS_Y_PAGOS[CODIGO],CODIGOS_Y_PAGOS[NOMBRE PARTICIPANTE],"")</f>
        <v/>
      </c>
      <c r="E106" s="298">
        <f>_xlfn.XLOOKUP($C106,SEMANA29[COD],SEMANA29[Columna14],"")</f>
        <v/>
      </c>
      <c r="F106" s="298">
        <f>_xlfn.XLOOKUP(C106,SEMANA29[COD],SEMANA29[Columna19],"")</f>
        <v/>
      </c>
      <c r="G106" s="299">
        <f>IFERROR(+F106/E106,"0,00")</f>
        <v/>
      </c>
      <c r="H106" s="300">
        <f>_xlfn.XLOOKUP(C106,SEMANA29[COD],SEMANA29[Columna32],"")</f>
        <v/>
      </c>
      <c r="I106" s="300">
        <f>_xlfn.XLOOKUP(C106,SEMANA29[COD],SEMANA29[Columna30],"")</f>
        <v/>
      </c>
      <c r="J106" s="301">
        <f>IFERROR(+I106/H106,"0,00")</f>
        <v/>
      </c>
      <c r="K106" s="302">
        <f>_xlfn.XLOOKUP(C106,SEMANA29[COD],SEMANA29[Columna32],"")</f>
        <v/>
      </c>
      <c r="L106" s="302">
        <f>_xlfn.XLOOKUP(C106,SEMANA29[COD],SEMANA29[Columna34],"")</f>
        <v/>
      </c>
      <c r="M106" s="303">
        <f>IFERROR(+L106/K106,"0,00")</f>
        <v/>
      </c>
      <c r="N106" s="304">
        <f>_xlfn.XLOOKUP(C106,SEMANA29[COD],SEMANA29[Columna36],"")</f>
        <v/>
      </c>
      <c r="O106" s="304">
        <f>_xlfn.XLOOKUP(C106,SEMANA29[COD],SEMANA29[Columna37],"")</f>
        <v/>
      </c>
      <c r="P106" s="305">
        <f>IFERROR(+O106/N106,"0,00")</f>
        <v/>
      </c>
      <c r="Q106" s="306">
        <f>_xlfn.XLOOKUP(C106,SEMANA29[COD],SEMANA29[Columna1],"")</f>
        <v/>
      </c>
      <c r="R106" s="3" t="n"/>
      <c r="U106" s="393" t="inlineStr">
        <is>
          <t>COD 47</t>
        </is>
      </c>
      <c r="V106" s="393">
        <f>U106</f>
        <v/>
      </c>
    </row>
    <row r="107" outlineLevel="2" ht="23.1" customFormat="1" customHeight="1" s="393">
      <c r="A107" s="295" t="n"/>
      <c r="B107" s="309">
        <f>+B106+1</f>
        <v/>
      </c>
      <c r="C107" s="611" t="inlineStr">
        <is>
          <t>COD 48</t>
        </is>
      </c>
      <c r="D107" s="297">
        <f>_xlfn.XLOOKUP(C107,CODIGOS_Y_PAGOS[CODIGO],CODIGOS_Y_PAGOS[NOMBRE PARTICIPANTE],"")</f>
        <v/>
      </c>
      <c r="E107" s="298">
        <f>_xlfn.XLOOKUP($C107,SEMANA29[COD],SEMANA29[Columna14],"")</f>
        <v/>
      </c>
      <c r="F107" s="298">
        <f>_xlfn.XLOOKUP(C107,SEMANA29[COD],SEMANA29[Columna19],"")</f>
        <v/>
      </c>
      <c r="G107" s="299">
        <f>IFERROR(+F107/E107,"0,00")</f>
        <v/>
      </c>
      <c r="H107" s="300">
        <f>_xlfn.XLOOKUP(C107,SEMANA29[COD],SEMANA29[Columna32],"")</f>
        <v/>
      </c>
      <c r="I107" s="300">
        <f>_xlfn.XLOOKUP(C107,SEMANA29[COD],SEMANA29[Columna30],"")</f>
        <v/>
      </c>
      <c r="J107" s="301">
        <f>IFERROR(+I107/H107,"0,00")</f>
        <v/>
      </c>
      <c r="K107" s="302">
        <f>_xlfn.XLOOKUP(C107,SEMANA29[COD],SEMANA29[Columna32],"")</f>
        <v/>
      </c>
      <c r="L107" s="302">
        <f>_xlfn.XLOOKUP(C107,SEMANA29[COD],SEMANA29[Columna34],"")</f>
        <v/>
      </c>
      <c r="M107" s="303">
        <f>IFERROR(+L107/K107,"0,00")</f>
        <v/>
      </c>
      <c r="N107" s="304">
        <f>_xlfn.XLOOKUP(C107,SEMANA29[COD],SEMANA29[Columna36],"")</f>
        <v/>
      </c>
      <c r="O107" s="304">
        <f>_xlfn.XLOOKUP(C107,SEMANA29[COD],SEMANA29[Columna37],"")</f>
        <v/>
      </c>
      <c r="P107" s="305">
        <f>IFERROR(+O107/N107,"0,00")</f>
        <v/>
      </c>
      <c r="Q107" s="306">
        <f>_xlfn.XLOOKUP(C107,SEMANA29[COD],SEMANA29[Columna1],"")</f>
        <v/>
      </c>
      <c r="R107" s="3" t="n"/>
      <c r="U107" s="393" t="inlineStr">
        <is>
          <t>COD 48</t>
        </is>
      </c>
      <c r="V107" s="393">
        <f>U107</f>
        <v/>
      </c>
    </row>
    <row r="108" outlineLevel="2" ht="23.1" customFormat="1" customHeight="1" s="393">
      <c r="A108" s="295" t="n"/>
      <c r="B108" s="309">
        <f>+B107+1</f>
        <v/>
      </c>
      <c r="C108" s="611" t="inlineStr">
        <is>
          <t>COD 49</t>
        </is>
      </c>
      <c r="D108" s="297">
        <f>_xlfn.XLOOKUP(C108,CODIGOS_Y_PAGOS[CODIGO],CODIGOS_Y_PAGOS[NOMBRE PARTICIPANTE],"")</f>
        <v/>
      </c>
      <c r="E108" s="298">
        <f>_xlfn.XLOOKUP($C108,SEMANA29[COD],SEMANA29[Columna14],"")</f>
        <v/>
      </c>
      <c r="F108" s="298">
        <f>_xlfn.XLOOKUP(C108,SEMANA29[COD],SEMANA29[Columna19],"")</f>
        <v/>
      </c>
      <c r="G108" s="299">
        <f>IFERROR(+F108/E108,"0,00")</f>
        <v/>
      </c>
      <c r="H108" s="300">
        <f>_xlfn.XLOOKUP(C108,SEMANA29[COD],SEMANA29[Columna32],"")</f>
        <v/>
      </c>
      <c r="I108" s="300">
        <f>_xlfn.XLOOKUP(C108,SEMANA29[COD],SEMANA29[Columna30],"")</f>
        <v/>
      </c>
      <c r="J108" s="301">
        <f>IFERROR(+I108/H108,"0,00")</f>
        <v/>
      </c>
      <c r="K108" s="302">
        <f>_xlfn.XLOOKUP(C108,SEMANA29[COD],SEMANA29[Columna32],"")</f>
        <v/>
      </c>
      <c r="L108" s="302">
        <f>_xlfn.XLOOKUP(C108,SEMANA29[COD],SEMANA29[Columna34],"")</f>
        <v/>
      </c>
      <c r="M108" s="303">
        <f>IFERROR(+L108/K108,"0,00")</f>
        <v/>
      </c>
      <c r="N108" s="304">
        <f>_xlfn.XLOOKUP(C108,SEMANA29[COD],SEMANA29[Columna36],"")</f>
        <v/>
      </c>
      <c r="O108" s="304">
        <f>_xlfn.XLOOKUP(C108,SEMANA29[COD],SEMANA29[Columna37],"")</f>
        <v/>
      </c>
      <c r="P108" s="305">
        <f>IFERROR(+O108/N108,"0,00")</f>
        <v/>
      </c>
      <c r="Q108" s="306">
        <f>_xlfn.XLOOKUP(C108,SEMANA29[COD],SEMANA29[Columna1],"")</f>
        <v/>
      </c>
      <c r="R108" s="3" t="n"/>
      <c r="U108" s="393" t="inlineStr">
        <is>
          <t>COD 49</t>
        </is>
      </c>
      <c r="V108" s="393">
        <f>U108</f>
        <v/>
      </c>
    </row>
    <row r="109" outlineLevel="2" ht="23.1" customFormat="1" customHeight="1" s="393">
      <c r="A109" s="295" t="n"/>
      <c r="B109" s="309">
        <f>+B108+1</f>
        <v/>
      </c>
      <c r="C109" s="611" t="inlineStr">
        <is>
          <t>COD 50</t>
        </is>
      </c>
      <c r="D109" s="297">
        <f>_xlfn.XLOOKUP(C109,CODIGOS_Y_PAGOS[CODIGO],CODIGOS_Y_PAGOS[NOMBRE PARTICIPANTE],"")</f>
        <v/>
      </c>
      <c r="E109" s="298">
        <f>_xlfn.XLOOKUP($C109,SEMANA29[COD],SEMANA29[Columna14],"")</f>
        <v/>
      </c>
      <c r="F109" s="298">
        <f>_xlfn.XLOOKUP(C109,SEMANA29[COD],SEMANA29[Columna19],"")</f>
        <v/>
      </c>
      <c r="G109" s="299">
        <f>IFERROR(+F109/E109,"0,00")</f>
        <v/>
      </c>
      <c r="H109" s="300">
        <f>_xlfn.XLOOKUP(C109,SEMANA29[COD],SEMANA29[Columna32],"")</f>
        <v/>
      </c>
      <c r="I109" s="300">
        <f>_xlfn.XLOOKUP(C109,SEMANA29[COD],SEMANA29[Columna30],"")</f>
        <v/>
      </c>
      <c r="J109" s="301">
        <f>IFERROR(+I109/H109,"0,00")</f>
        <v/>
      </c>
      <c r="K109" s="302">
        <f>_xlfn.XLOOKUP(C109,SEMANA29[COD],SEMANA29[Columna32],"")</f>
        <v/>
      </c>
      <c r="L109" s="302">
        <f>_xlfn.XLOOKUP(C109,SEMANA29[COD],SEMANA29[Columna34],"")</f>
        <v/>
      </c>
      <c r="M109" s="303">
        <f>IFERROR(+L109/K109,"0,00")</f>
        <v/>
      </c>
      <c r="N109" s="304">
        <f>_xlfn.XLOOKUP(C109,SEMANA29[COD],SEMANA29[Columna36],"")</f>
        <v/>
      </c>
      <c r="O109" s="304">
        <f>_xlfn.XLOOKUP(C109,SEMANA29[COD],SEMANA29[Columna37],"")</f>
        <v/>
      </c>
      <c r="P109" s="305">
        <f>IFERROR(+O109/N109,"0,00")</f>
        <v/>
      </c>
      <c r="Q109" s="306">
        <f>_xlfn.XLOOKUP(C109,SEMANA29[COD],SEMANA29[Columna1],"")</f>
        <v/>
      </c>
      <c r="R109" s="3" t="n"/>
      <c r="U109" s="393" t="inlineStr">
        <is>
          <t>COD 50</t>
        </is>
      </c>
      <c r="V109" s="393">
        <f>U109</f>
        <v/>
      </c>
    </row>
    <row r="110" outlineLevel="1" ht="12" customFormat="1" customHeight="1" s="316">
      <c r="A110" s="295" t="n"/>
      <c r="B110" s="310" t="n"/>
      <c r="C110" s="311" t="n"/>
      <c r="D110" s="312" t="n"/>
      <c r="E110" s="313" t="n"/>
      <c r="F110" s="313" t="n"/>
      <c r="G110" s="314" t="n"/>
      <c r="H110" s="313" t="n"/>
      <c r="I110" s="313" t="n"/>
      <c r="J110" s="314" t="n"/>
      <c r="K110" s="313" t="n"/>
      <c r="L110" s="313" t="n"/>
      <c r="M110" s="314" t="n"/>
      <c r="N110" s="313" t="n"/>
      <c r="O110" s="313" t="n"/>
      <c r="P110" s="315" t="n"/>
      <c r="Q110" s="310" t="n"/>
      <c r="R110" s="3" t="n"/>
    </row>
    <row r="111" ht="21.75" customHeight="1" s="568">
      <c r="A111" s="3" t="n"/>
      <c r="B111" s="317" t="n"/>
      <c r="C111" s="318" t="n"/>
      <c r="D111" s="318" t="n"/>
      <c r="E111" s="319" t="n"/>
      <c r="F111" s="319" t="n"/>
      <c r="G111" s="320" t="n"/>
      <c r="H111" s="319" t="n"/>
      <c r="I111" s="319" t="n"/>
      <c r="J111" s="321" t="n"/>
      <c r="K111" s="321" t="n"/>
      <c r="L111" s="350">
        <f>'SEM 1'!CG3</f>
        <v/>
      </c>
      <c r="M111" s="361" t="n"/>
      <c r="N111" s="319" t="n"/>
      <c r="O111" s="319" t="n"/>
      <c r="P111" s="322" t="n"/>
      <c r="Q111" s="362">
        <f>+N58</f>
        <v/>
      </c>
      <c r="R111" s="3" t="n"/>
    </row>
    <row r="112" ht="22.5" customHeight="1" s="568">
      <c r="A112" s="1" t="n"/>
      <c r="B112" s="359" t="inlineStr">
        <is>
          <t>LOS MÁS DESTACADOS DE LA SEMANA</t>
        </is>
      </c>
      <c r="C112" s="517" t="n"/>
      <c r="D112" s="360" t="n"/>
      <c r="E112" s="517" t="n"/>
      <c r="F112" s="517" t="n"/>
      <c r="G112" s="517" t="n"/>
      <c r="H112" s="517" t="n"/>
      <c r="I112" s="517" t="n"/>
      <c r="J112" s="517" t="n"/>
      <c r="K112" s="517" t="n"/>
      <c r="L112" s="517" t="n"/>
      <c r="M112" s="323" t="n"/>
      <c r="N112" s="324" t="n"/>
      <c r="O112" s="324" t="n"/>
      <c r="P112" s="324" t="n"/>
      <c r="Q112" s="325" t="n"/>
      <c r="R112" s="3" t="n"/>
    </row>
    <row r="113" ht="18" customFormat="1" customHeight="1" s="576">
      <c r="A113" s="285" t="n"/>
      <c r="B113" s="326" t="inlineStr">
        <is>
          <t>CODIGO</t>
        </is>
      </c>
      <c r="C113" s="327" t="n"/>
      <c r="D113" s="328" t="inlineStr">
        <is>
          <t>NOMBRE PARTICIPANTE</t>
        </is>
      </c>
      <c r="E113" s="518" t="inlineStr">
        <is>
          <t>CATEGORIA</t>
        </is>
      </c>
      <c r="F113" s="518" t="n"/>
      <c r="G113" s="518" t="n"/>
      <c r="H113" s="518" t="n"/>
      <c r="I113" s="518" t="n"/>
      <c r="J113" s="518" t="n"/>
      <c r="K113" s="386" t="inlineStr">
        <is>
          <t>LOGRO</t>
        </is>
      </c>
      <c r="L113" s="387" t="n"/>
      <c r="M113" s="575" t="n"/>
      <c r="P113" s="519" t="n"/>
      <c r="Q113" s="329" t="n"/>
      <c r="R113" s="3" t="n"/>
      <c r="U113" s="576" t="inlineStr">
        <is>
          <t>MAS PUNTOS</t>
        </is>
      </c>
      <c r="Y113" s="576" t="inlineStr">
        <is>
          <t>MAS 1RAS MARCAS</t>
        </is>
      </c>
      <c r="AC113" s="576" t="inlineStr">
        <is>
          <t>MAS 2DAS MARCAS</t>
        </is>
      </c>
      <c r="AG113" s="576" t="inlineStr">
        <is>
          <t>MAS 3RAS MARCAS</t>
        </is>
      </c>
      <c r="AK113" s="576" t="inlineStr">
        <is>
          <t>MAYOR DIVIDENDO DIA</t>
        </is>
      </c>
      <c r="AO113" s="576" t="inlineStr">
        <is>
          <t>MAYOR DIV. SUPERFIJA</t>
        </is>
      </c>
      <c r="AS113" s="576" t="inlineStr">
        <is>
          <t>MAYOR DIV. FIJA</t>
        </is>
      </c>
    </row>
    <row r="114" ht="23.1" customFormat="1" customHeight="1" s="393">
      <c r="A114" s="295" t="n"/>
      <c r="B114" s="616" t="n"/>
      <c r="C114" s="613">
        <f>U114</f>
        <v/>
      </c>
      <c r="D114" s="357">
        <f>_xlfn.XLOOKUP(C114,CODIGOS_Y_PAGOS[CODIGO],CODIGOS_Y_PAGOS[NOMBRE PARTICIPANTE],"")</f>
        <v/>
      </c>
      <c r="E114" s="352" t="inlineStr">
        <is>
          <t>MAS PUNTOS EN LA SEMANA</t>
        </is>
      </c>
      <c r="F114" s="352" t="n"/>
      <c r="G114" s="352" t="n"/>
      <c r="H114" s="352" t="n"/>
      <c r="I114" s="352" t="n"/>
      <c r="J114" s="384" t="n"/>
      <c r="K114" s="614">
        <f>MAX(Q$60:Q$109)</f>
        <v/>
      </c>
      <c r="L114" s="615" t="n"/>
      <c r="M114" s="363" t="n"/>
      <c r="N114" s="363" t="n"/>
      <c r="O114" s="364" t="n"/>
      <c r="P114" s="364" t="n"/>
      <c r="Q114" s="330" t="n"/>
      <c r="R114" s="3" t="n"/>
      <c r="U114" s="393">
        <f t="array" ref="U114:V163">_xlfn._xlws.FILTER(C60:D109, Q60:Q109 = MAX(Q60:Q109))</f>
        <v/>
      </c>
      <c r="V114" s="393" t="inlineStr">
        <is>
          <t>GANADORES Y PULSO</t>
        </is>
      </c>
      <c r="Y114" s="393">
        <f t="array" ref="Y114:Z163">_xlfn._xlws.FILTER(C60:D109, F60:F109 = MAX(F60:F109))</f>
        <v/>
      </c>
      <c r="Z114" s="393" t="inlineStr">
        <is>
          <t>GANADORES Y PULSO</t>
        </is>
      </c>
      <c r="AC114" s="393">
        <f t="array" ref="AC114:AD163">_xlfn._xlws.FILTER(C60:D109, I60:I109 = MAX(I60:I109))</f>
        <v/>
      </c>
      <c r="AD114" s="393" t="inlineStr">
        <is>
          <t>GANADORES Y PULSO</t>
        </is>
      </c>
      <c r="AG114" s="393">
        <f t="array" ref="AG114:AH163">_xlfn._xlws.FILTER(C60:D109, L60:L109 = MAX(L60:L109))</f>
        <v/>
      </c>
      <c r="AH114" s="393" t="inlineStr">
        <is>
          <t>GANADORES Y PULSO</t>
        </is>
      </c>
      <c r="AK114" s="393">
        <f t="array" ref="AK114:AL114">_xlfn._xlws.FILTER('SEM 2'!CY27:CZ61, 'SEM 2'!DA27:DA61 = MIN('SEM 2'!DA27:DA62))</f>
        <v/>
      </c>
      <c r="AL114" s="393" t="inlineStr">
        <is>
          <t>COD 30</t>
        </is>
      </c>
      <c r="AO114" s="393">
        <f t="array" ref="AO114:AP114">_xlfn._xlws.FILTER('SEM 2'!EI59:EJ61,'SEM 2'!EG59:EG61)</f>
        <v/>
      </c>
      <c r="AP114" s="393" t="e">
        <v>#VALUE!</v>
      </c>
      <c r="AS114" s="393">
        <f t="array" ref="AS114:AT114">_xlfn._xlws.FILTER('SEM 2'!DQ59:DR61,'SEM 2'!DO59:DO61)</f>
        <v/>
      </c>
      <c r="AT114" s="393" t="e">
        <v>#VALUE!</v>
      </c>
    </row>
    <row r="115" outlineLevel="1" ht="23.1" customFormat="1" customHeight="1" s="393">
      <c r="A115" s="295" t="n"/>
      <c r="B115" s="616" t="n"/>
      <c r="C115" s="613">
        <f>U115</f>
        <v/>
      </c>
      <c r="D115" s="357">
        <f>_xlfn.XLOOKUP(C115,CODIGOS_Y_PAGOS[CODIGO],CODIGOS_Y_PAGOS[NOMBRE PARTICIPANTE],"")</f>
        <v/>
      </c>
      <c r="E115" s="352" t="inlineStr">
        <is>
          <t>MAS PUNTOS EN LA SEMANA</t>
        </is>
      </c>
      <c r="F115" s="352" t="n"/>
      <c r="G115" s="352" t="n"/>
      <c r="H115" s="352" t="n"/>
      <c r="I115" s="352" t="n"/>
      <c r="J115" s="384" t="n"/>
      <c r="K115" s="614">
        <f>_xlfn.XLOOKUP(C115,'SEM 3'!$C$8:$C$57,'SEM 3'!$CS$8:$CS$57,"")</f>
        <v/>
      </c>
      <c r="L115" s="615" t="n"/>
      <c r="M115" s="363" t="n"/>
      <c r="N115" s="363" t="n"/>
      <c r="O115" s="364" t="n"/>
      <c r="P115" s="364" t="n"/>
      <c r="Q115" s="330" t="n"/>
      <c r="R115" s="3" t="n"/>
      <c r="U115" s="393" t="inlineStr">
        <is>
          <t>COD 02</t>
        </is>
      </c>
      <c r="V115" s="393" t="inlineStr">
        <is>
          <t>JESUS QUERALES</t>
        </is>
      </c>
      <c r="Y115" s="393" t="inlineStr">
        <is>
          <t>COD 02</t>
        </is>
      </c>
      <c r="Z115" s="393" t="inlineStr">
        <is>
          <t>JESUS QUERALES</t>
        </is>
      </c>
      <c r="AC115" s="393" t="inlineStr">
        <is>
          <t>COD 02</t>
        </is>
      </c>
      <c r="AD115" s="393" t="inlineStr">
        <is>
          <t>JESUS QUERALES</t>
        </is>
      </c>
      <c r="AG115" s="393" t="inlineStr">
        <is>
          <t>COD 02</t>
        </is>
      </c>
      <c r="AH115" s="393" t="inlineStr">
        <is>
          <t>JESUS QUERALES</t>
        </is>
      </c>
    </row>
    <row r="116" outlineLevel="1" ht="23.1" customFormat="1" customHeight="1" s="393">
      <c r="A116" s="295" t="n"/>
      <c r="B116" s="616" t="n"/>
      <c r="C116" s="613">
        <f>U116</f>
        <v/>
      </c>
      <c r="D116" s="357">
        <f>_xlfn.XLOOKUP(C116,CODIGOS_Y_PAGOS[CODIGO],CODIGOS_Y_PAGOS[NOMBRE PARTICIPANTE],"")</f>
        <v/>
      </c>
      <c r="E116" s="352" t="inlineStr">
        <is>
          <t>MAS PUNTOS EN LA SEMANA</t>
        </is>
      </c>
      <c r="F116" s="352" t="n"/>
      <c r="G116" s="352" t="n"/>
      <c r="H116" s="352" t="n"/>
      <c r="I116" s="352" t="n"/>
      <c r="J116" s="384" t="n"/>
      <c r="K116" s="614">
        <f>_xlfn.XLOOKUP(C116,'SEM 3'!$C$8:$C$57,'SEM 3'!$CS$8:$CS$57,"")</f>
        <v/>
      </c>
      <c r="L116" s="617" t="n"/>
      <c r="M116" s="363" t="n"/>
      <c r="N116" s="363" t="n"/>
      <c r="O116" s="364" t="n"/>
      <c r="P116" s="364" t="n"/>
      <c r="Q116" s="330" t="n"/>
      <c r="R116" s="3" t="n"/>
      <c r="U116" s="393" t="inlineStr">
        <is>
          <t>COD 03</t>
        </is>
      </c>
      <c r="V116" s="393" t="inlineStr">
        <is>
          <t>MUÑECA DEL HIPISMO</t>
        </is>
      </c>
      <c r="Y116" s="393" t="inlineStr">
        <is>
          <t>COD 03</t>
        </is>
      </c>
      <c r="Z116" s="393" t="inlineStr">
        <is>
          <t>MUÑECA DEL HIPISMO</t>
        </is>
      </c>
      <c r="AC116" s="393" t="inlineStr">
        <is>
          <t>COD 03</t>
        </is>
      </c>
      <c r="AD116" s="393" t="inlineStr">
        <is>
          <t>MUÑECA DEL HIPISMO</t>
        </is>
      </c>
      <c r="AG116" s="393" t="inlineStr">
        <is>
          <t>COD 03</t>
        </is>
      </c>
      <c r="AH116" s="393" t="inlineStr">
        <is>
          <t>MUÑECA DEL HIPISMO</t>
        </is>
      </c>
    </row>
    <row r="117" ht="23.1" customFormat="1" customHeight="1" s="393">
      <c r="A117" s="295" t="n"/>
      <c r="B117" s="618" t="n"/>
      <c r="C117" s="619">
        <f>Y114</f>
        <v/>
      </c>
      <c r="D117" s="357">
        <f>_xlfn.XLOOKUP(C117,CODIGOS_Y_PAGOS[CODIGO],CODIGOS_Y_PAGOS[NOMBRE PARTICIPANTE],"")</f>
        <v/>
      </c>
      <c r="E117" s="352" t="inlineStr">
        <is>
          <t>MAS ACIERTOS EN 1RA MARCA</t>
        </is>
      </c>
      <c r="F117" s="352" t="n"/>
      <c r="G117" s="352" t="n"/>
      <c r="H117" s="352" t="n"/>
      <c r="I117" s="352" t="n"/>
      <c r="J117" s="384" t="n"/>
      <c r="K117" s="467">
        <f>_xlfn.XLOOKUP(C117,'SEM 3'!$C$8:$C$57,'SEM 3'!$CH$8:$CH$57,"")</f>
        <v/>
      </c>
      <c r="L117" s="615" t="n"/>
      <c r="M117" s="363" t="n"/>
      <c r="N117" s="363" t="n"/>
      <c r="O117" s="364" t="n"/>
      <c r="P117" s="364" t="n"/>
      <c r="Q117" s="330" t="n"/>
      <c r="R117" s="3" t="n"/>
      <c r="U117" s="393" t="inlineStr">
        <is>
          <t>COD 04</t>
        </is>
      </c>
      <c r="V117" s="393" t="inlineStr">
        <is>
          <t>EL HIPICO 701</t>
        </is>
      </c>
      <c r="Y117" s="393" t="inlineStr">
        <is>
          <t>COD 04</t>
        </is>
      </c>
      <c r="Z117" s="393" t="inlineStr">
        <is>
          <t>EL HIPICO 701</t>
        </is>
      </c>
      <c r="AC117" s="393" t="inlineStr">
        <is>
          <t>COD 04</t>
        </is>
      </c>
      <c r="AD117" s="393" t="inlineStr">
        <is>
          <t>EL HIPICO 701</t>
        </is>
      </c>
      <c r="AG117" s="393" t="inlineStr">
        <is>
          <t>COD 04</t>
        </is>
      </c>
      <c r="AH117" s="393" t="inlineStr">
        <is>
          <t>EL HIPICO 701</t>
        </is>
      </c>
    </row>
    <row r="118" outlineLevel="1" ht="23.1" customFormat="1" customHeight="1" s="393">
      <c r="A118" s="295" t="n"/>
      <c r="B118" s="618" t="n"/>
      <c r="C118" s="619">
        <f>Y115</f>
        <v/>
      </c>
      <c r="D118" s="357">
        <f>_xlfn.XLOOKUP(C118,CODIGOS_Y_PAGOS[CODIGO],CODIGOS_Y_PAGOS[NOMBRE PARTICIPANTE],"")</f>
        <v/>
      </c>
      <c r="E118" s="352" t="inlineStr">
        <is>
          <t>MAS ACIERTOS EN 1RA MARCA</t>
        </is>
      </c>
      <c r="F118" s="352" t="n"/>
      <c r="G118" s="352" t="n"/>
      <c r="H118" s="352" t="n"/>
      <c r="I118" s="352" t="n"/>
      <c r="J118" s="384" t="n"/>
      <c r="K118" s="467">
        <f>_xlfn.XLOOKUP(C118,'SEM 3'!$C$8:$C$57,'SEM 3'!$CH$8:$CH$57,"")</f>
        <v/>
      </c>
      <c r="L118" s="617" t="n"/>
      <c r="M118" s="363" t="n"/>
      <c r="N118" s="363" t="n"/>
      <c r="O118" s="364" t="n"/>
      <c r="P118" s="364" t="n"/>
      <c r="Q118" s="330" t="n"/>
      <c r="R118" s="3" t="n"/>
      <c r="U118" s="393" t="inlineStr">
        <is>
          <t>COD 05</t>
        </is>
      </c>
      <c r="V118" s="393" t="inlineStr">
        <is>
          <t>MARCOS HIDALGO</t>
        </is>
      </c>
      <c r="Y118" s="393" t="inlineStr">
        <is>
          <t>COD 05</t>
        </is>
      </c>
      <c r="Z118" s="393" t="inlineStr">
        <is>
          <t>MARCOS HIDALGO</t>
        </is>
      </c>
      <c r="AC118" s="393" t="inlineStr">
        <is>
          <t>COD 05</t>
        </is>
      </c>
      <c r="AD118" s="393" t="inlineStr">
        <is>
          <t>MARCOS HIDALGO</t>
        </is>
      </c>
      <c r="AG118" s="393" t="inlineStr">
        <is>
          <t>COD 05</t>
        </is>
      </c>
      <c r="AH118" s="393" t="inlineStr">
        <is>
          <t>MARCOS HIDALGO</t>
        </is>
      </c>
    </row>
    <row r="119" outlineLevel="1" ht="23.1" customFormat="1" customHeight="1" s="393">
      <c r="A119" s="295" t="n"/>
      <c r="B119" s="618" t="n"/>
      <c r="C119" s="619">
        <f>Y116</f>
        <v/>
      </c>
      <c r="D119" s="357">
        <f>_xlfn.XLOOKUP(C119,CODIGOS_Y_PAGOS[CODIGO],CODIGOS_Y_PAGOS[NOMBRE PARTICIPANTE],"")</f>
        <v/>
      </c>
      <c r="E119" s="352" t="inlineStr">
        <is>
          <t>MAS ACIERTOS EN 1RA MARCA</t>
        </is>
      </c>
      <c r="F119" s="352" t="n"/>
      <c r="G119" s="352" t="n"/>
      <c r="H119" s="352" t="n"/>
      <c r="I119" s="352" t="n"/>
      <c r="J119" s="384" t="n"/>
      <c r="K119" s="467">
        <f>_xlfn.XLOOKUP(C119,'SEM 3'!$C$8:$C$57,'SEM 3'!$CH$8:$CH$57,"")</f>
        <v/>
      </c>
      <c r="L119" s="617" t="n"/>
      <c r="M119" s="363" t="n"/>
      <c r="N119" s="363" t="n"/>
      <c r="O119" s="364" t="n"/>
      <c r="P119" s="364" t="n"/>
      <c r="Q119" s="330" t="n"/>
      <c r="R119" s="3" t="n"/>
      <c r="U119" s="393" t="inlineStr">
        <is>
          <t>COD 06</t>
        </is>
      </c>
      <c r="V119" s="393" t="inlineStr">
        <is>
          <t>JESUS ROJAS</t>
        </is>
      </c>
      <c r="Y119" s="393" t="inlineStr">
        <is>
          <t>COD 06</t>
        </is>
      </c>
      <c r="Z119" s="393" t="inlineStr">
        <is>
          <t>JESUS ROJAS</t>
        </is>
      </c>
      <c r="AC119" s="393" t="inlineStr">
        <is>
          <t>COD 06</t>
        </is>
      </c>
      <c r="AD119" s="393" t="inlineStr">
        <is>
          <t>JESUS ROJAS</t>
        </is>
      </c>
      <c r="AG119" s="393" t="inlineStr">
        <is>
          <t>COD 06</t>
        </is>
      </c>
      <c r="AH119" s="393" t="inlineStr">
        <is>
          <t>JESUS ROJAS</t>
        </is>
      </c>
    </row>
    <row r="120" ht="23.1" customFormat="1" customHeight="1" s="393">
      <c r="A120" s="295" t="n"/>
      <c r="B120" s="618" t="n"/>
      <c r="C120" s="619">
        <f>AC114</f>
        <v/>
      </c>
      <c r="D120" s="357">
        <f>_xlfn.XLOOKUP(C120,CODIGOS_Y_PAGOS[CODIGO],CODIGOS_Y_PAGOS[NOMBRE PARTICIPANTE],"")</f>
        <v/>
      </c>
      <c r="E120" s="352" t="inlineStr">
        <is>
          <t>MAS ACIERTOS EN 2 MARCAS</t>
        </is>
      </c>
      <c r="F120" s="352" t="n"/>
      <c r="G120" s="352" t="n"/>
      <c r="H120" s="352" t="n"/>
      <c r="I120" s="352" t="n"/>
      <c r="J120" s="384" t="n"/>
      <c r="K120" s="467">
        <f>_xlfn.XLOOKUP(C120,'SEM 3'!$C$8:$C$57,'SEM 3'!$CK$8:$CK$57,"")</f>
        <v/>
      </c>
      <c r="L120" s="615" t="n"/>
      <c r="M120" s="363" t="n"/>
      <c r="N120" s="363" t="n"/>
      <c r="O120" s="364" t="n"/>
      <c r="P120" s="364" t="n"/>
      <c r="Q120" s="330" t="n"/>
      <c r="R120" s="3" t="n"/>
      <c r="U120" s="393" t="inlineStr">
        <is>
          <t>COD 07</t>
        </is>
      </c>
      <c r="V120" s="393" t="inlineStr">
        <is>
          <t>NELSON OSORIO</t>
        </is>
      </c>
      <c r="Y120" s="393" t="inlineStr">
        <is>
          <t>COD 07</t>
        </is>
      </c>
      <c r="Z120" s="393" t="inlineStr">
        <is>
          <t>NELSON OSORIO</t>
        </is>
      </c>
      <c r="AC120" s="393" t="inlineStr">
        <is>
          <t>COD 07</t>
        </is>
      </c>
      <c r="AD120" s="393" t="inlineStr">
        <is>
          <t>NELSON OSORIO</t>
        </is>
      </c>
      <c r="AG120" s="393" t="inlineStr">
        <is>
          <t>COD 07</t>
        </is>
      </c>
      <c r="AH120" s="393" t="inlineStr">
        <is>
          <t>NELSON OSORIO</t>
        </is>
      </c>
    </row>
    <row r="121" ht="23.1" customFormat="1" customHeight="1" s="393">
      <c r="A121" s="295" t="n"/>
      <c r="B121" s="618" t="n"/>
      <c r="C121" s="619">
        <f>AC115</f>
        <v/>
      </c>
      <c r="D121" s="357">
        <f>_xlfn.XLOOKUP(C121,CODIGOS_Y_PAGOS[CODIGO],CODIGOS_Y_PAGOS[NOMBRE PARTICIPANTE],"")</f>
        <v/>
      </c>
      <c r="E121" s="352" t="inlineStr">
        <is>
          <t>MAS ACIERTOS EN 2 MARCAS</t>
        </is>
      </c>
      <c r="F121" s="352" t="n"/>
      <c r="G121" s="352" t="n"/>
      <c r="H121" s="352" t="n"/>
      <c r="I121" s="352" t="n"/>
      <c r="J121" s="384" t="n"/>
      <c r="K121" s="467">
        <f>_xlfn.XLOOKUP(C121,'SEM 3'!$C$8:$C$57,'SEM 3'!$CK$8:$CK$57,"")</f>
        <v/>
      </c>
      <c r="L121" s="388" t="n"/>
      <c r="M121" s="363" t="n"/>
      <c r="N121" s="363" t="n"/>
      <c r="O121" s="364" t="n"/>
      <c r="P121" s="364" t="n"/>
      <c r="Q121" s="330" t="n"/>
      <c r="R121" s="3" t="n"/>
      <c r="U121" s="393" t="inlineStr">
        <is>
          <t>COD 08</t>
        </is>
      </c>
      <c r="V121" s="393" t="inlineStr">
        <is>
          <t>RUBEN DARIO CARDENAS</t>
        </is>
      </c>
      <c r="Y121" s="393" t="inlineStr">
        <is>
          <t>COD 08</t>
        </is>
      </c>
      <c r="Z121" s="393" t="inlineStr">
        <is>
          <t>RUBEN DARIO CARDENAS</t>
        </is>
      </c>
      <c r="AC121" s="393" t="inlineStr">
        <is>
          <t>COD 08</t>
        </is>
      </c>
      <c r="AD121" s="393" t="inlineStr">
        <is>
          <t>RUBEN DARIO CARDENAS</t>
        </is>
      </c>
      <c r="AG121" s="393" t="inlineStr">
        <is>
          <t>COD 08</t>
        </is>
      </c>
      <c r="AH121" s="393" t="inlineStr">
        <is>
          <t>RUBEN DARIO CARDENAS</t>
        </is>
      </c>
    </row>
    <row r="122" outlineLevel="1" ht="23.1" customFormat="1" customHeight="1" s="393">
      <c r="A122" s="295" t="n"/>
      <c r="B122" s="618" t="n"/>
      <c r="C122" s="619">
        <f>AC116</f>
        <v/>
      </c>
      <c r="D122" s="357">
        <f>_xlfn.XLOOKUP(C122,CODIGOS_Y_PAGOS[CODIGO],CODIGOS_Y_PAGOS[NOMBRE PARTICIPANTE],"")</f>
        <v/>
      </c>
      <c r="E122" s="352" t="inlineStr">
        <is>
          <t>MAS ACIERTOS EN 2 MARCAS</t>
        </is>
      </c>
      <c r="F122" s="352" t="n"/>
      <c r="G122" s="352" t="n"/>
      <c r="H122" s="352" t="n"/>
      <c r="I122" s="352" t="n"/>
      <c r="J122" s="384" t="n"/>
      <c r="K122" s="467">
        <f>_xlfn.XLOOKUP(C122,'SEM 3'!$C$8:$C$57,'SEM 3'!$CK$8:$CK$57,"")</f>
        <v/>
      </c>
      <c r="L122" s="388" t="n"/>
      <c r="M122" s="363" t="n"/>
      <c r="N122" s="363" t="n"/>
      <c r="O122" s="364" t="n"/>
      <c r="P122" s="364" t="n"/>
      <c r="Q122" s="330" t="n"/>
      <c r="R122" s="3" t="n"/>
      <c r="U122" s="393" t="inlineStr">
        <is>
          <t>COD 09</t>
        </is>
      </c>
      <c r="V122" s="393" t="inlineStr">
        <is>
          <t>JESUS ARASME</t>
        </is>
      </c>
      <c r="Y122" s="393" t="inlineStr">
        <is>
          <t>COD 09</t>
        </is>
      </c>
      <c r="Z122" s="393" t="inlineStr">
        <is>
          <t>JESUS ARASME</t>
        </is>
      </c>
      <c r="AC122" s="393" t="inlineStr">
        <is>
          <t>COD 09</t>
        </is>
      </c>
      <c r="AD122" s="393" t="inlineStr">
        <is>
          <t>JESUS ARASME</t>
        </is>
      </c>
      <c r="AG122" s="393" t="inlineStr">
        <is>
          <t>COD 09</t>
        </is>
      </c>
      <c r="AH122" s="393" t="inlineStr">
        <is>
          <t>JESUS ARASME</t>
        </is>
      </c>
    </row>
    <row r="123" ht="23.1" customFormat="1" customHeight="1" s="393">
      <c r="A123" s="295" t="n"/>
      <c r="B123" s="618" t="n"/>
      <c r="C123" s="619">
        <f>AG114</f>
        <v/>
      </c>
      <c r="D123" s="357">
        <f>_xlfn.XLOOKUP(C123,CODIGOS_Y_PAGOS[CODIGO],CODIGOS_Y_PAGOS[NOMBRE PARTICIPANTE],"")</f>
        <v/>
      </c>
      <c r="E123" s="352" t="inlineStr">
        <is>
          <t>MAS ACIERTOS EN 3 MARCAS</t>
        </is>
      </c>
      <c r="F123" s="353" t="n"/>
      <c r="G123" s="353" t="n"/>
      <c r="H123" s="353" t="n"/>
      <c r="I123" s="353" t="n"/>
      <c r="J123" s="385" t="n"/>
      <c r="K123" s="467">
        <f>_xlfn.XLOOKUP(C123,'SEM 3'!$C$8:$C$57,'SEM 3'!$CN$8:$CN$57,"")</f>
        <v/>
      </c>
      <c r="L123" s="615" t="n"/>
      <c r="M123" s="365" t="n"/>
      <c r="N123" s="365" t="n"/>
      <c r="O123" s="366" t="n"/>
      <c r="P123" s="366" t="n"/>
      <c r="Q123" s="367" t="n"/>
      <c r="R123" s="3" t="n"/>
      <c r="U123" s="393" t="inlineStr">
        <is>
          <t>COD 10</t>
        </is>
      </c>
      <c r="V123" s="393" t="inlineStr">
        <is>
          <t>JESUS CARAYACA</t>
        </is>
      </c>
      <c r="Y123" s="393" t="inlineStr">
        <is>
          <t>COD 10</t>
        </is>
      </c>
      <c r="Z123" s="393" t="inlineStr">
        <is>
          <t>JESUS CARAYACA</t>
        </is>
      </c>
      <c r="AC123" s="393" t="inlineStr">
        <is>
          <t>COD 10</t>
        </is>
      </c>
      <c r="AD123" s="393" t="inlineStr">
        <is>
          <t>JESUS CARAYACA</t>
        </is>
      </c>
      <c r="AG123" s="393" t="inlineStr">
        <is>
          <t>COD 10</t>
        </is>
      </c>
      <c r="AH123" s="393" t="inlineStr">
        <is>
          <t>JESUS CARAYACA</t>
        </is>
      </c>
    </row>
    <row r="124" ht="23.1" customFormat="1" customHeight="1" s="393">
      <c r="A124" s="295" t="n"/>
      <c r="B124" s="618" t="n"/>
      <c r="C124" s="619">
        <f>AG115</f>
        <v/>
      </c>
      <c r="D124" s="357">
        <f>_xlfn.XLOOKUP(C124,CODIGOS_Y_PAGOS[CODIGO],CODIGOS_Y_PAGOS[NOMBRE PARTICIPANTE],"")</f>
        <v/>
      </c>
      <c r="E124" s="352" t="inlineStr">
        <is>
          <t>MAS ACIERTOS EN 3 MARCAS</t>
        </is>
      </c>
      <c r="F124" s="353" t="n"/>
      <c r="G124" s="353" t="n"/>
      <c r="H124" s="353" t="n"/>
      <c r="I124" s="353" t="n"/>
      <c r="J124" s="385" t="n"/>
      <c r="K124" s="467">
        <f>_xlfn.XLOOKUP(C124,'SEM 3'!$C$8:$C$57,'SEM 3'!$CN$8:$CN$57,"")</f>
        <v/>
      </c>
      <c r="L124" s="403" t="n"/>
      <c r="M124" s="363" t="n"/>
      <c r="N124" s="363" t="n"/>
      <c r="O124" s="364" t="n"/>
      <c r="P124" s="364" t="n"/>
      <c r="Q124" s="330" t="n"/>
      <c r="R124" s="3" t="n"/>
      <c r="U124" s="393" t="inlineStr">
        <is>
          <t>COD 11</t>
        </is>
      </c>
      <c r="V124" s="393" t="inlineStr">
        <is>
          <t>ANDERSON ZERPA</t>
        </is>
      </c>
      <c r="Y124" s="393" t="inlineStr">
        <is>
          <t>COD 11</t>
        </is>
      </c>
      <c r="Z124" s="393" t="inlineStr">
        <is>
          <t>ANDERSON ZERPA</t>
        </is>
      </c>
      <c r="AC124" s="393" t="inlineStr">
        <is>
          <t>COD 11</t>
        </is>
      </c>
      <c r="AD124" s="393" t="inlineStr">
        <is>
          <t>ANDERSON ZERPA</t>
        </is>
      </c>
      <c r="AG124" s="393" t="inlineStr">
        <is>
          <t>COD 11</t>
        </is>
      </c>
      <c r="AH124" s="393" t="inlineStr">
        <is>
          <t>ANDERSON ZERPA</t>
        </is>
      </c>
    </row>
    <row r="125" outlineLevel="1" ht="23.1" customFormat="1" customHeight="1" s="393">
      <c r="A125" s="295" t="n"/>
      <c r="B125" s="618" t="n"/>
      <c r="C125" s="619">
        <f>AG116</f>
        <v/>
      </c>
      <c r="D125" s="357">
        <f>_xlfn.XLOOKUP(C125,CODIGOS_Y_PAGOS[CODIGO],CODIGOS_Y_PAGOS[NOMBRE PARTICIPANTE],"")</f>
        <v/>
      </c>
      <c r="E125" s="352" t="inlineStr">
        <is>
          <t>MAS ACIERTOS EN 3 MARCAS</t>
        </is>
      </c>
      <c r="F125" s="353" t="n"/>
      <c r="G125" s="353" t="n"/>
      <c r="H125" s="353" t="n"/>
      <c r="I125" s="353" t="n"/>
      <c r="J125" s="385" t="n"/>
      <c r="K125" s="467">
        <f>_xlfn.XLOOKUP(C125,'SEM 3'!$C$8:$C$57,'SEM 3'!$CN$8:$CN$57,"")</f>
        <v/>
      </c>
      <c r="L125" s="388" t="n"/>
      <c r="M125" s="363" t="n"/>
      <c r="N125" s="363" t="n"/>
      <c r="O125" s="364" t="n"/>
      <c r="P125" s="364" t="n"/>
      <c r="Q125" s="330" t="n"/>
      <c r="R125" s="3" t="n"/>
      <c r="U125" s="393" t="inlineStr">
        <is>
          <t>COD 12</t>
        </is>
      </c>
      <c r="V125" s="393" t="n">
        <v>0</v>
      </c>
      <c r="Y125" s="393" t="inlineStr">
        <is>
          <t>COD 12</t>
        </is>
      </c>
      <c r="Z125" s="393" t="n">
        <v>0</v>
      </c>
      <c r="AC125" s="393" t="inlineStr">
        <is>
          <t>COD 12</t>
        </is>
      </c>
      <c r="AD125" s="393" t="n">
        <v>0</v>
      </c>
      <c r="AG125" s="393" t="inlineStr">
        <is>
          <t>COD 12</t>
        </is>
      </c>
      <c r="AH125" s="393" t="n">
        <v>0</v>
      </c>
    </row>
    <row r="126" ht="23.1" customFormat="1" customHeight="1" s="393">
      <c r="A126" s="295" t="n"/>
      <c r="B126" s="618" t="n"/>
      <c r="C126" s="619">
        <f>AL114</f>
        <v/>
      </c>
      <c r="D126" s="357">
        <f>_xlfn.XLOOKUP(C126,CODIGOS_Y_PAGOS[CODIGO],CODIGOS_Y_PAGOS[NOMBRE PARTICIPANTE],"")</f>
        <v/>
      </c>
      <c r="E126" s="573" t="inlineStr">
        <is>
          <t>MAYOR DIVIDENDO DEL DIA</t>
        </is>
      </c>
      <c r="F126" s="553" t="n"/>
      <c r="G126" s="553" t="n"/>
      <c r="H126" s="553" t="n"/>
      <c r="I126" s="553" t="n"/>
      <c r="J126" s="574" t="n"/>
      <c r="K126" s="464">
        <f>IF(D126="","",'SEM 3'!$CZ$24)</f>
        <v/>
      </c>
      <c r="L126" s="615" t="n"/>
      <c r="M126" s="620">
        <f>AK114</f>
        <v/>
      </c>
      <c r="N126" s="368">
        <f>IF(M126="","",'SEM 3'!$DA$25)</f>
        <v/>
      </c>
      <c r="O126" s="465">
        <f t="array" ref="O126">_xlfn._xlws.FILTER('[1]ALFABETICO SEM'!$M$1:$M$196, ('[1]ALFABETICO SEM'!$L$1:$L$196 = $M$126) * ('[1]ALFABETICO SEM'!$N$1:$N$196 = N126), " - ")</f>
        <v/>
      </c>
      <c r="P126" s="390" t="n"/>
      <c r="Q126" s="391" t="n"/>
      <c r="R126" s="3" t="n"/>
      <c r="T126" s="465" t="inlineStr">
        <is>
          <t>GRAN ANDRES</t>
        </is>
      </c>
      <c r="U126" s="390" t="inlineStr">
        <is>
          <t>COD 13</t>
        </is>
      </c>
      <c r="V126" s="391" t="inlineStr">
        <is>
          <t>NOTAS HIPICAS</t>
        </is>
      </c>
      <c r="Y126" s="393" t="inlineStr">
        <is>
          <t>COD 13</t>
        </is>
      </c>
      <c r="Z126" s="393" t="inlineStr">
        <is>
          <t>NOTAS HIPICAS</t>
        </is>
      </c>
      <c r="AC126" s="393" t="inlineStr">
        <is>
          <t>COD 13</t>
        </is>
      </c>
      <c r="AD126" s="393" t="inlineStr">
        <is>
          <t>NOTAS HIPICAS</t>
        </is>
      </c>
      <c r="AG126" s="393" t="inlineStr">
        <is>
          <t>COD 13</t>
        </is>
      </c>
      <c r="AH126" s="393" t="inlineStr">
        <is>
          <t>NOTAS HIPICAS</t>
        </is>
      </c>
    </row>
    <row r="127" outlineLevel="1" ht="23.1" customFormat="1" customHeight="1" s="393">
      <c r="A127" s="295" t="n"/>
      <c r="B127" s="618" t="n"/>
      <c r="C127" s="619">
        <f>AL115</f>
        <v/>
      </c>
      <c r="D127" s="357">
        <f>_xlfn.XLOOKUP(C127,CODIGOS_Y_PAGOS[CODIGO],CODIGOS_Y_PAGOS[NOMBRE PARTICIPANTE],"")</f>
        <v/>
      </c>
      <c r="E127" s="573" t="inlineStr">
        <is>
          <t>MAYOR DIVIDENDO DEL DIA</t>
        </is>
      </c>
      <c r="F127" s="553" t="n"/>
      <c r="G127" s="553" t="n"/>
      <c r="H127" s="553" t="n"/>
      <c r="I127" s="553" t="n"/>
      <c r="J127" s="574" t="n"/>
      <c r="K127" s="464">
        <f>IF(D127="","",'SEM 3'!$CZ$24)</f>
        <v/>
      </c>
      <c r="L127" s="615" t="n"/>
      <c r="M127" s="620">
        <f>IF(D127="","",'SEM 3'!$CZ$25)</f>
        <v/>
      </c>
      <c r="N127" s="368">
        <f>IF(M127="","",'SEM 3'!$DA$25)</f>
        <v/>
      </c>
      <c r="O127" s="465">
        <f t="array" ref="O127">_xlfn._xlws.FILTER('[1]ALFABETICO SEM'!$M$1:$M$196, ('[1]ALFABETICO SEM'!$L$1:$L$196 = $M$126) * ('[1]ALFABETICO SEM'!$N$1:$N$196 = N127), " - ")</f>
        <v/>
      </c>
      <c r="P127" s="390" t="n"/>
      <c r="Q127" s="391" t="n"/>
      <c r="R127" s="3" t="n"/>
      <c r="T127" s="465" t="inlineStr">
        <is>
          <t xml:space="preserve"> - </t>
        </is>
      </c>
      <c r="U127" s="390" t="inlineStr">
        <is>
          <t>COD 14</t>
        </is>
      </c>
      <c r="V127" s="391" t="inlineStr">
        <is>
          <t>PEDRO ALVAREZ</t>
        </is>
      </c>
      <c r="Y127" s="393" t="inlineStr">
        <is>
          <t>COD 14</t>
        </is>
      </c>
      <c r="Z127" s="393" t="inlineStr">
        <is>
          <t>PEDRO ALVAREZ</t>
        </is>
      </c>
      <c r="AC127" s="393" t="inlineStr">
        <is>
          <t>COD 14</t>
        </is>
      </c>
      <c r="AD127" s="393" t="inlineStr">
        <is>
          <t>PEDRO ALVAREZ</t>
        </is>
      </c>
      <c r="AG127" s="393" t="inlineStr">
        <is>
          <t>COD 14</t>
        </is>
      </c>
      <c r="AH127" s="393" t="inlineStr">
        <is>
          <t>PEDRO ALVAREZ</t>
        </is>
      </c>
    </row>
    <row r="128" outlineLevel="1" ht="23.1" customFormat="1" customHeight="1" s="393">
      <c r="A128" s="295" t="n"/>
      <c r="B128" s="618" t="n"/>
      <c r="C128" s="619">
        <f>AL116</f>
        <v/>
      </c>
      <c r="D128" s="357">
        <f>_xlfn.XLOOKUP(C128,CODIGOS_Y_PAGOS[CODIGO],CODIGOS_Y_PAGOS[NOMBRE PARTICIPANTE],"")</f>
        <v/>
      </c>
      <c r="E128" s="573" t="inlineStr">
        <is>
          <t>MAYOR DIVIDENDO DEL DIA</t>
        </is>
      </c>
      <c r="F128" s="553" t="n"/>
      <c r="G128" s="553" t="n"/>
      <c r="H128" s="553" t="n"/>
      <c r="I128" s="553" t="n"/>
      <c r="J128" s="574" t="n"/>
      <c r="K128" s="464">
        <f>IF(D128="","",'SEM 3'!$CZ$24)</f>
        <v/>
      </c>
      <c r="L128" s="615" t="n"/>
      <c r="M128" s="620">
        <f>IF(D128="","",'SEM 3'!$CZ$25)</f>
        <v/>
      </c>
      <c r="N128" s="368">
        <f>IF(M128="","",'SEM 3'!$DA$25)</f>
        <v/>
      </c>
      <c r="O128" s="465">
        <f t="array" ref="O128">_xlfn._xlws.FILTER('[1]ALFABETICO SEM'!$M$1:$M$196, ('[1]ALFABETICO SEM'!$L$1:$L$196 = $M$126) * ('[1]ALFABETICO SEM'!$N$1:$N$196 = N128), " - ")</f>
        <v/>
      </c>
      <c r="P128" s="390" t="n"/>
      <c r="Q128" s="391" t="n"/>
      <c r="R128" s="3" t="n"/>
      <c r="T128" s="465" t="inlineStr">
        <is>
          <t xml:space="preserve"> - </t>
        </is>
      </c>
      <c r="U128" s="390" t="inlineStr">
        <is>
          <t>COD 15</t>
        </is>
      </c>
      <c r="V128" s="391" t="inlineStr">
        <is>
          <t>CARLOS SUAREZ</t>
        </is>
      </c>
      <c r="Y128" s="393" t="inlineStr">
        <is>
          <t>COD 15</t>
        </is>
      </c>
      <c r="Z128" s="393" t="inlineStr">
        <is>
          <t>CARLOS SUAREZ</t>
        </is>
      </c>
      <c r="AC128" s="393" t="inlineStr">
        <is>
          <t>COD 15</t>
        </is>
      </c>
      <c r="AD128" s="393" t="inlineStr">
        <is>
          <t>CARLOS SUAREZ</t>
        </is>
      </c>
      <c r="AG128" s="393" t="inlineStr">
        <is>
          <t>COD 15</t>
        </is>
      </c>
      <c r="AH128" s="393" t="inlineStr">
        <is>
          <t>CARLOS SUAREZ</t>
        </is>
      </c>
    </row>
    <row r="129" outlineLevel="1" ht="23.1" customFormat="1" customHeight="1" s="393">
      <c r="A129" s="295" t="n"/>
      <c r="B129" s="618" t="n"/>
      <c r="C129" s="619" t="n"/>
      <c r="D129" s="357">
        <f>_xlfn.XLOOKUP(C129,CODIGOS_Y_PAGOS[CODIGO],CODIGOS_Y_PAGOS[NOMBRE PARTICIPANTE],"")</f>
        <v/>
      </c>
      <c r="E129" s="573" t="inlineStr">
        <is>
          <t>MARCA MAYOR DIVIDENDO</t>
        </is>
      </c>
      <c r="F129" s="553" t="n"/>
      <c r="G129" s="553" t="n"/>
      <c r="H129" s="553" t="n"/>
      <c r="I129" s="553" t="n"/>
      <c r="J129" s="574" t="n"/>
      <c r="K129" s="614" t="n"/>
      <c r="L129" s="615" t="n"/>
      <c r="M129" s="620" t="n"/>
      <c r="N129" s="368" t="n"/>
      <c r="O129" s="370" t="n"/>
      <c r="P129" s="369" t="n"/>
      <c r="Q129" s="371" t="n"/>
      <c r="R129" s="3" t="n"/>
      <c r="T129" s="370" t="n"/>
      <c r="U129" s="369" t="inlineStr">
        <is>
          <t>COD 16</t>
        </is>
      </c>
      <c r="V129" s="371" t="inlineStr">
        <is>
          <t>PODER HIPICO</t>
        </is>
      </c>
      <c r="Y129" s="393" t="inlineStr">
        <is>
          <t>COD 16</t>
        </is>
      </c>
      <c r="Z129" s="393" t="inlineStr">
        <is>
          <t>PODER HIPICO</t>
        </is>
      </c>
      <c r="AC129" s="393" t="inlineStr">
        <is>
          <t>COD 16</t>
        </is>
      </c>
      <c r="AD129" s="393" t="inlineStr">
        <is>
          <t>PODER HIPICO</t>
        </is>
      </c>
      <c r="AG129" s="393" t="inlineStr">
        <is>
          <t>COD 16</t>
        </is>
      </c>
      <c r="AH129" s="393" t="inlineStr">
        <is>
          <t>PODER HIPICO</t>
        </is>
      </c>
    </row>
    <row r="130" outlineLevel="1" ht="23.1" customFormat="1" customHeight="1" s="393">
      <c r="A130" s="295" t="n"/>
      <c r="B130" s="618" t="n"/>
      <c r="C130" s="619" t="n"/>
      <c r="D130" s="357">
        <f>_xlfn.XLOOKUP(C130,CODIGOS_Y_PAGOS[CODIGO],CODIGOS_Y_PAGOS[NOMBRE PARTICIPANTE],"")</f>
        <v/>
      </c>
      <c r="E130" s="573" t="inlineStr">
        <is>
          <t>MARCA MAYOR DIVIDENDO</t>
        </is>
      </c>
      <c r="F130" s="553" t="n"/>
      <c r="G130" s="553" t="n"/>
      <c r="H130" s="553" t="n"/>
      <c r="I130" s="553" t="n"/>
      <c r="J130" s="574" t="n"/>
      <c r="K130" s="614" t="n"/>
      <c r="L130" s="615" t="n"/>
      <c r="M130" s="620" t="n"/>
      <c r="N130" s="368" t="n"/>
      <c r="O130" s="389" t="n"/>
      <c r="P130" s="390" t="n"/>
      <c r="Q130" s="391" t="n"/>
      <c r="R130" s="3" t="n"/>
      <c r="T130" s="389" t="n"/>
      <c r="U130" s="390" t="inlineStr">
        <is>
          <t>COD 17</t>
        </is>
      </c>
      <c r="V130" s="391" t="inlineStr">
        <is>
          <t>FERNANDO VALDIRIO</t>
        </is>
      </c>
      <c r="Y130" s="393" t="inlineStr">
        <is>
          <t>COD 17</t>
        </is>
      </c>
      <c r="Z130" s="393" t="inlineStr">
        <is>
          <t>FERNANDO VALDIRIO</t>
        </is>
      </c>
      <c r="AC130" s="393" t="inlineStr">
        <is>
          <t>COD 17</t>
        </is>
      </c>
      <c r="AD130" s="393" t="inlineStr">
        <is>
          <t>FERNANDO VALDIRIO</t>
        </is>
      </c>
      <c r="AG130" s="393" t="inlineStr">
        <is>
          <t>COD 17</t>
        </is>
      </c>
      <c r="AH130" s="393" t="inlineStr">
        <is>
          <t>FERNANDO VALDIRIO</t>
        </is>
      </c>
    </row>
    <row r="131" outlineLevel="1" ht="23.1" customFormat="1" customHeight="1" s="393">
      <c r="A131" s="295" t="n"/>
      <c r="B131" s="618" t="n"/>
      <c r="C131" s="619" t="n"/>
      <c r="D131" s="357">
        <f>_xlfn.XLOOKUP(C131,CODIGOS_Y_PAGOS[CODIGO],CODIGOS_Y_PAGOS[NOMBRE PARTICIPANTE],"")</f>
        <v/>
      </c>
      <c r="E131" s="573" t="inlineStr">
        <is>
          <t>MARCA MAYOR DIVIDENDO</t>
        </is>
      </c>
      <c r="F131" s="553" t="n"/>
      <c r="G131" s="553" t="n"/>
      <c r="H131" s="553" t="n"/>
      <c r="I131" s="553" t="n"/>
      <c r="J131" s="574" t="n"/>
      <c r="K131" s="614" t="n"/>
      <c r="L131" s="615" t="n"/>
      <c r="M131" s="620" t="n"/>
      <c r="N131" s="368" t="n"/>
      <c r="O131" s="370" t="n"/>
      <c r="P131" s="369" t="n"/>
      <c r="Q131" s="371" t="n"/>
      <c r="R131" s="3" t="n"/>
      <c r="T131" s="370" t="n"/>
      <c r="U131" s="369" t="inlineStr">
        <is>
          <t>COD 18</t>
        </is>
      </c>
      <c r="V131" s="371" t="inlineStr">
        <is>
          <t>CASTOR CHIRINOS</t>
        </is>
      </c>
      <c r="Y131" s="393" t="inlineStr">
        <is>
          <t>COD 18</t>
        </is>
      </c>
      <c r="Z131" s="393" t="inlineStr">
        <is>
          <t>CASTOR CHIRINOS</t>
        </is>
      </c>
      <c r="AC131" s="393" t="inlineStr">
        <is>
          <t>COD 18</t>
        </is>
      </c>
      <c r="AD131" s="393" t="inlineStr">
        <is>
          <t>CASTOR CHIRINOS</t>
        </is>
      </c>
      <c r="AG131" s="393" t="inlineStr">
        <is>
          <t>COD 18</t>
        </is>
      </c>
      <c r="AH131" s="393" t="inlineStr">
        <is>
          <t>CASTOR CHIRINOS</t>
        </is>
      </c>
    </row>
    <row r="132" ht="23.1" customFormat="1" customHeight="1" s="393">
      <c r="A132" s="295" t="n"/>
      <c r="B132" s="618" t="n"/>
      <c r="C132" s="619">
        <f>AO114</f>
        <v/>
      </c>
      <c r="D132" s="357">
        <f>_xlfn.XLOOKUP(C132,CODIGOS_Y_PAGOS[CODIGO],CODIGOS_Y_PAGOS[NOMBRE PARTICIPANTE],"")</f>
        <v/>
      </c>
      <c r="E132" s="573" t="inlineStr">
        <is>
          <t>SUPERFIJA MAYOR DIVIDENDO</t>
        </is>
      </c>
      <c r="F132" s="553" t="n"/>
      <c r="G132" s="553" t="n"/>
      <c r="H132" s="553" t="n"/>
      <c r="I132" s="553" t="n"/>
      <c r="J132" s="574" t="n"/>
      <c r="K132" s="464">
        <f>IF(D132="","",'SEM 3'!EH59)</f>
        <v/>
      </c>
      <c r="L132" s="615" t="n"/>
      <c r="M132" s="620">
        <f>IF(D132="","",'SEM 3'!EJ59)</f>
        <v/>
      </c>
      <c r="N132" s="368">
        <f>IF(M132="","",'SEM 3'!$EG$59)</f>
        <v/>
      </c>
      <c r="O132" s="465">
        <f t="array" ref="O132">_xlfn._xlws.FILTER('[1]ALFABETICO SEM'!$M$1:$M$196, ('[1]ALFABETICO SEM'!$L$1:$L$196 = $M$132) * ('[1]ALFABETICO SEM'!$N$1:$N$196 = N132), " - ")</f>
        <v/>
      </c>
      <c r="P132" s="390" t="n"/>
      <c r="Q132" s="391" t="n"/>
      <c r="R132" s="3" t="n"/>
      <c r="T132" s="465" t="inlineStr">
        <is>
          <t>BLACK STONE</t>
        </is>
      </c>
      <c r="U132" s="390" t="inlineStr">
        <is>
          <t>COD 19</t>
        </is>
      </c>
      <c r="V132" s="391" t="inlineStr">
        <is>
          <t>EL SAMURAI HIPICO</t>
        </is>
      </c>
      <c r="Y132" s="393" t="inlineStr">
        <is>
          <t>COD 19</t>
        </is>
      </c>
      <c r="Z132" s="393" t="inlineStr">
        <is>
          <t>EL SAMURAI HIPICO</t>
        </is>
      </c>
      <c r="AC132" s="393" t="inlineStr">
        <is>
          <t>COD 19</t>
        </is>
      </c>
      <c r="AD132" s="393" t="inlineStr">
        <is>
          <t>EL SAMURAI HIPICO</t>
        </is>
      </c>
      <c r="AG132" s="393" t="inlineStr">
        <is>
          <t>COD 19</t>
        </is>
      </c>
      <c r="AH132" s="393" t="inlineStr">
        <is>
          <t>EL SAMURAI HIPICO</t>
        </is>
      </c>
    </row>
    <row r="133" outlineLevel="1" ht="23.1" customFormat="1" customHeight="1" s="393">
      <c r="A133" s="295" t="n"/>
      <c r="B133" s="618" t="n"/>
      <c r="C133" s="619">
        <f>AO115</f>
        <v/>
      </c>
      <c r="D133" s="357">
        <f>_xlfn.XLOOKUP(C133,CODIGOS_Y_PAGOS[CODIGO],CODIGOS_Y_PAGOS[NOMBRE PARTICIPANTE],"")</f>
        <v/>
      </c>
      <c r="E133" s="573" t="inlineStr">
        <is>
          <t>SUPERFIJA MAYOR DIVIDENDO</t>
        </is>
      </c>
      <c r="F133" s="553" t="n"/>
      <c r="G133" s="553" t="n"/>
      <c r="H133" s="553" t="n"/>
      <c r="I133" s="553" t="n"/>
      <c r="J133" s="574" t="n"/>
      <c r="K133" s="464">
        <f>IF(D133="","",'SEM 3'!EH60)</f>
        <v/>
      </c>
      <c r="L133" s="615" t="n"/>
      <c r="M133" s="620">
        <f>IF(D133="","",'SEM 3'!EJ60)</f>
        <v/>
      </c>
      <c r="N133" s="368">
        <f>IF(M133="","",'SEM 3'!$EG$59)</f>
        <v/>
      </c>
      <c r="O133" s="465">
        <f t="array" ref="O133">_xlfn._xlws.FILTER('[1]ALFABETICO SEM'!$M$1:$M$196, ('[1]ALFABETICO SEM'!$L$1:$L$196 = $M$132) * ('[1]ALFABETICO SEM'!$N$1:$N$196 = N133), " - ")</f>
        <v/>
      </c>
      <c r="P133" s="369" t="n"/>
      <c r="Q133" s="371" t="n"/>
      <c r="R133" s="3" t="n"/>
      <c r="T133" s="465" t="inlineStr">
        <is>
          <t xml:space="preserve"> - </t>
        </is>
      </c>
      <c r="U133" s="369" t="inlineStr">
        <is>
          <t>COD 20</t>
        </is>
      </c>
      <c r="V133" s="371" t="inlineStr">
        <is>
          <t>CHINO</t>
        </is>
      </c>
      <c r="Y133" s="393" t="inlineStr">
        <is>
          <t>COD 20</t>
        </is>
      </c>
      <c r="Z133" s="393" t="inlineStr">
        <is>
          <t>CHINO</t>
        </is>
      </c>
      <c r="AC133" s="393" t="inlineStr">
        <is>
          <t>COD 20</t>
        </is>
      </c>
      <c r="AD133" s="393" t="inlineStr">
        <is>
          <t>CHINO</t>
        </is>
      </c>
      <c r="AG133" s="393" t="inlineStr">
        <is>
          <t>COD 20</t>
        </is>
      </c>
      <c r="AH133" s="393" t="inlineStr">
        <is>
          <t>CHINO</t>
        </is>
      </c>
    </row>
    <row r="134" outlineLevel="1" ht="23.1" customFormat="1" customHeight="1" s="393">
      <c r="A134" s="295" t="n"/>
      <c r="B134" s="618" t="n"/>
      <c r="C134" s="619">
        <f>AO116</f>
        <v/>
      </c>
      <c r="D134" s="357">
        <f>_xlfn.XLOOKUP(C134,CODIGOS_Y_PAGOS[CODIGO],CODIGOS_Y_PAGOS[NOMBRE PARTICIPANTE],"")</f>
        <v/>
      </c>
      <c r="E134" s="573" t="inlineStr">
        <is>
          <t>SUPERFIJA MAYOR DIVIDENDO</t>
        </is>
      </c>
      <c r="F134" s="553" t="n"/>
      <c r="G134" s="553" t="n"/>
      <c r="H134" s="553" t="n"/>
      <c r="I134" s="553" t="n"/>
      <c r="J134" s="574" t="n"/>
      <c r="K134" s="464">
        <f>IF(D134="","",'SEM 3'!EH61)</f>
        <v/>
      </c>
      <c r="L134" s="615" t="n"/>
      <c r="M134" s="620">
        <f>IF(D134="","",'SEM 3'!EJ61)</f>
        <v/>
      </c>
      <c r="N134" s="368">
        <f>IF(M134="","",'SEM 3'!$EG$59)</f>
        <v/>
      </c>
      <c r="O134" s="465">
        <f t="array" ref="O134">_xlfn._xlws.FILTER('[1]ALFABETICO SEM'!$M$1:$M$196, ('[1]ALFABETICO SEM'!$L$1:$L$196 = $M$132) * ('[1]ALFABETICO SEM'!$N$1:$N$196 = N134), " - ")</f>
        <v/>
      </c>
      <c r="P134" s="390" t="n"/>
      <c r="Q134" s="391" t="n"/>
      <c r="R134" s="3" t="n"/>
      <c r="T134" s="465" t="inlineStr">
        <is>
          <t xml:space="preserve"> - </t>
        </is>
      </c>
      <c r="U134" s="390" t="inlineStr">
        <is>
          <t>COD 21</t>
        </is>
      </c>
      <c r="V134" s="391" t="inlineStr">
        <is>
          <t>WILMER</t>
        </is>
      </c>
      <c r="Y134" s="393" t="inlineStr">
        <is>
          <t>COD 21</t>
        </is>
      </c>
      <c r="Z134" s="393" t="inlineStr">
        <is>
          <t>WILMER</t>
        </is>
      </c>
      <c r="AC134" s="393" t="inlineStr">
        <is>
          <t>COD 21</t>
        </is>
      </c>
      <c r="AD134" s="393" t="inlineStr">
        <is>
          <t>WILMER</t>
        </is>
      </c>
      <c r="AG134" s="393" t="inlineStr">
        <is>
          <t>COD 21</t>
        </is>
      </c>
      <c r="AH134" s="393" t="inlineStr">
        <is>
          <t>WILMER</t>
        </is>
      </c>
    </row>
    <row r="135" ht="23.1" customFormat="1" customHeight="1" s="393">
      <c r="A135" s="295" t="n"/>
      <c r="B135" s="618" t="n"/>
      <c r="C135" s="619">
        <f>'SEM 2'!DQ59</f>
        <v/>
      </c>
      <c r="D135" s="357">
        <f>_xlfn.XLOOKUP(C135,CODIGOS_Y_PAGOS[CODIGO],CODIGOS_Y_PAGOS[NOMBRE PARTICIPANTE],"")</f>
        <v/>
      </c>
      <c r="E135" s="573" t="inlineStr">
        <is>
          <t>FIJA MAYOR DIVIDENDO</t>
        </is>
      </c>
      <c r="F135" s="553" t="n"/>
      <c r="G135" s="553" t="n"/>
      <c r="H135" s="553" t="n"/>
      <c r="I135" s="553" t="n"/>
      <c r="J135" s="574" t="n"/>
      <c r="K135" s="464">
        <f>IF(D135="","",'SEM 3'!DP59)</f>
        <v/>
      </c>
      <c r="L135" s="615" t="n"/>
      <c r="M135" s="620">
        <f>IF(D135="","",'SEM 3'!DR59)</f>
        <v/>
      </c>
      <c r="N135" s="368">
        <f>IF(M135="","",'SEM 3'!$DO$59)</f>
        <v/>
      </c>
      <c r="O135" s="465">
        <f t="array" ref="O135">_xlfn._xlws.FILTER('[1]ALFABETICO SEM'!$M$1:$M$196, ('[1]ALFABETICO SEM'!$L$1:$L$196 = $M$135) * ('[1]ALFABETICO SEM'!$N$1:$N$196 = N135), " - ")</f>
        <v/>
      </c>
      <c r="P135" s="372" t="n"/>
      <c r="Q135" s="373" t="n"/>
      <c r="R135" s="3" t="n"/>
      <c r="T135" s="465" t="inlineStr">
        <is>
          <t>TINTA FINA</t>
        </is>
      </c>
      <c r="U135" s="372" t="inlineStr">
        <is>
          <t>COD 22</t>
        </is>
      </c>
      <c r="V135" s="373" t="inlineStr">
        <is>
          <t>ROGER PIÑA</t>
        </is>
      </c>
      <c r="Y135" s="393" t="inlineStr">
        <is>
          <t>COD 22</t>
        </is>
      </c>
      <c r="Z135" s="393" t="inlineStr">
        <is>
          <t>ROGER PIÑA</t>
        </is>
      </c>
      <c r="AC135" s="393" t="inlineStr">
        <is>
          <t>COD 22</t>
        </is>
      </c>
      <c r="AD135" s="393" t="inlineStr">
        <is>
          <t>ROGER PIÑA</t>
        </is>
      </c>
      <c r="AG135" s="393" t="inlineStr">
        <is>
          <t>COD 22</t>
        </is>
      </c>
      <c r="AH135" s="393" t="inlineStr">
        <is>
          <t>ROGER PIÑA</t>
        </is>
      </c>
    </row>
    <row r="136" outlineLevel="1" ht="23.1" customHeight="1" s="568">
      <c r="A136" s="3" t="n"/>
      <c r="B136" s="618" t="n"/>
      <c r="C136" s="619">
        <f>'SEM 2'!DQ60</f>
        <v/>
      </c>
      <c r="D136" s="357">
        <f>_xlfn.XLOOKUP(C136,CODIGOS_Y_PAGOS[CODIGO],CODIGOS_Y_PAGOS[NOMBRE PARTICIPANTE],"")</f>
        <v/>
      </c>
      <c r="E136" s="573" t="inlineStr">
        <is>
          <t>FIJA MAYOR DIVIDENDO</t>
        </is>
      </c>
      <c r="F136" s="553" t="n"/>
      <c r="G136" s="553" t="n"/>
      <c r="H136" s="553" t="n"/>
      <c r="I136" s="553" t="n"/>
      <c r="J136" s="574" t="n"/>
      <c r="K136" s="464">
        <f>IF(D136="","",'SEM 2'!DP60)</f>
        <v/>
      </c>
      <c r="L136" s="615" t="n"/>
      <c r="M136" s="620">
        <f>IF(D136="","",'SEM 3'!DR60)</f>
        <v/>
      </c>
      <c r="N136" s="368">
        <f>IF(M136="","",'SEM 3'!$DO$59)</f>
        <v/>
      </c>
      <c r="O136" s="465">
        <f t="array" ref="O136">_xlfn._xlws.FILTER('[1]ALFABETICO SEM'!$M$1:$M$196, ('[1]ALFABETICO SEM'!$L$1:$L$196 = $M$135) * ('[1]ALFABETICO SEM'!$N$1:$N$196 = N136), " - ")</f>
        <v/>
      </c>
      <c r="P136" s="390" t="n"/>
      <c r="Q136" s="391" t="n"/>
      <c r="R136" s="3" t="n"/>
      <c r="U136" t="inlineStr">
        <is>
          <t>COD 23</t>
        </is>
      </c>
      <c r="V136" t="inlineStr">
        <is>
          <t>GILBERT</t>
        </is>
      </c>
      <c r="Y136" t="inlineStr">
        <is>
          <t>COD 23</t>
        </is>
      </c>
      <c r="Z136" t="inlineStr">
        <is>
          <t>GILBERT</t>
        </is>
      </c>
      <c r="AC136" t="inlineStr">
        <is>
          <t>COD 23</t>
        </is>
      </c>
      <c r="AD136" t="inlineStr">
        <is>
          <t>GILBERT</t>
        </is>
      </c>
      <c r="AG136" t="inlineStr">
        <is>
          <t>COD 23</t>
        </is>
      </c>
      <c r="AH136" t="inlineStr">
        <is>
          <t>GILBERT</t>
        </is>
      </c>
    </row>
    <row r="137" outlineLevel="1" ht="23.1" customHeight="1" s="568">
      <c r="A137" s="1" t="n"/>
      <c r="B137" s="618" t="n"/>
      <c r="C137" s="619">
        <f>'SEM 2'!DQ61</f>
        <v/>
      </c>
      <c r="D137" s="357">
        <f>_xlfn.XLOOKUP(C137,CODIGOS_Y_PAGOS[CODIGO],CODIGOS_Y_PAGOS[NOMBRE PARTICIPANTE],"")</f>
        <v/>
      </c>
      <c r="E137" s="573" t="inlineStr">
        <is>
          <t>FIJA MAYOR DIVIDENDO</t>
        </is>
      </c>
      <c r="F137" s="553" t="n"/>
      <c r="G137" s="553" t="n"/>
      <c r="H137" s="553" t="n"/>
      <c r="I137" s="553" t="n"/>
      <c r="J137" s="574" t="n"/>
      <c r="K137" s="464">
        <f>IF(D137="","",'SEM 2'!DP61)</f>
        <v/>
      </c>
      <c r="L137" s="615" t="n"/>
      <c r="M137" s="620">
        <f>IF(D137="","",'SEM 3'!DR61)</f>
        <v/>
      </c>
      <c r="N137" s="368">
        <f>IF(M137="","",'SEM 3'!$DO$59)</f>
        <v/>
      </c>
      <c r="O137" s="465">
        <f t="array" ref="O137">_xlfn._xlws.FILTER('[1]ALFABETICO SEM'!$M$1:$M$196, ('[1]ALFABETICO SEM'!$L$1:$L$196 = $M$135) * ('[1]ALFABETICO SEM'!$N$1:$N$196 = N137), " - ")</f>
        <v/>
      </c>
      <c r="P137" s="372" t="n"/>
      <c r="Q137" s="373" t="n"/>
      <c r="R137" s="3" t="n"/>
      <c r="U137" t="inlineStr">
        <is>
          <t>COD 24</t>
        </is>
      </c>
      <c r="V137" t="n">
        <v>0</v>
      </c>
      <c r="Y137" t="inlineStr">
        <is>
          <t>COD 24</t>
        </is>
      </c>
      <c r="Z137" t="n">
        <v>0</v>
      </c>
      <c r="AC137" t="inlineStr">
        <is>
          <t>COD 24</t>
        </is>
      </c>
      <c r="AD137" t="n">
        <v>0</v>
      </c>
      <c r="AG137" t="inlineStr">
        <is>
          <t>COD 24</t>
        </is>
      </c>
      <c r="AH137" t="n">
        <v>0</v>
      </c>
    </row>
    <row r="138" ht="10.5" customFormat="1" customHeight="1" s="393">
      <c r="A138" s="295" t="n"/>
      <c r="B138" s="331" t="n"/>
      <c r="C138" s="331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R138" s="316" t="n"/>
      <c r="U138" s="393" t="inlineStr">
        <is>
          <t>COD 25</t>
        </is>
      </c>
      <c r="V138" s="393" t="inlineStr">
        <is>
          <t>GLEY GARCIA</t>
        </is>
      </c>
      <c r="Y138" s="393" t="inlineStr">
        <is>
          <t>COD 25</t>
        </is>
      </c>
      <c r="Z138" s="393" t="inlineStr">
        <is>
          <t>GLEY GARCIA</t>
        </is>
      </c>
      <c r="AC138" s="393" t="inlineStr">
        <is>
          <t>COD 25</t>
        </is>
      </c>
      <c r="AD138" s="393" t="inlineStr">
        <is>
          <t>GLEY GARCIA</t>
        </is>
      </c>
      <c r="AG138" s="393" t="inlineStr">
        <is>
          <t>COD 25</t>
        </is>
      </c>
      <c r="AH138" s="393" t="inlineStr">
        <is>
          <t>GLEY GARCIA</t>
        </is>
      </c>
    </row>
    <row r="139" ht="21.75" customFormat="1" customHeight="1" s="393" thickBot="1">
      <c r="A139" s="295" t="n"/>
      <c r="B139" s="473" t="n"/>
      <c r="C139" s="474" t="n"/>
      <c r="D139" s="475">
        <f>L111</f>
        <v/>
      </c>
      <c r="E139" s="476" t="n"/>
      <c r="F139" s="477" t="n"/>
      <c r="G139" s="478">
        <f>+Q111</f>
        <v/>
      </c>
      <c r="H139" s="3" t="n"/>
      <c r="I139" s="376" t="n"/>
      <c r="J139" s="377" t="n"/>
      <c r="K139" s="377" t="n"/>
      <c r="L139" s="377" t="n"/>
      <c r="M139" s="377" t="n"/>
      <c r="N139" s="378">
        <f>D139</f>
        <v/>
      </c>
      <c r="O139" s="378" t="n"/>
      <c r="P139" s="377" t="n"/>
      <c r="Q139" s="379">
        <f>+G139</f>
        <v/>
      </c>
      <c r="R139" s="316" t="n"/>
      <c r="U139" s="393" t="inlineStr">
        <is>
          <t>COD 26</t>
        </is>
      </c>
      <c r="V139" s="393" t="inlineStr">
        <is>
          <t>PEDRO TABEROA</t>
        </is>
      </c>
      <c r="Y139" s="393" t="inlineStr">
        <is>
          <t>COD 26</t>
        </is>
      </c>
      <c r="Z139" s="393" t="inlineStr">
        <is>
          <t>PEDRO TABEROA</t>
        </is>
      </c>
      <c r="AC139" s="393" t="inlineStr">
        <is>
          <t>COD 26</t>
        </is>
      </c>
      <c r="AD139" s="393" t="inlineStr">
        <is>
          <t>PEDRO TABEROA</t>
        </is>
      </c>
      <c r="AG139" s="393" t="inlineStr">
        <is>
          <t>COD 26</t>
        </is>
      </c>
      <c r="AH139" s="393" t="inlineStr">
        <is>
          <t>PEDRO TABEROA</t>
        </is>
      </c>
    </row>
    <row r="140" ht="21" customFormat="1" customHeight="1" s="393">
      <c r="A140" s="295" t="n"/>
      <c r="B140" s="479" t="n"/>
      <c r="C140" s="375" t="n"/>
      <c r="D140" s="375" t="n"/>
      <c r="E140" s="375" t="n"/>
      <c r="F140" s="375" t="n"/>
      <c r="G140" s="480" t="inlineStr">
        <is>
          <t>RANKING GANADORES ACERTADOS</t>
        </is>
      </c>
      <c r="H140" s="3" t="n"/>
      <c r="I140" s="380" t="n"/>
      <c r="J140" s="374" t="n"/>
      <c r="K140" s="374" t="n"/>
      <c r="L140" s="374" t="n"/>
      <c r="M140" s="374" t="n"/>
      <c r="N140" s="374" t="n"/>
      <c r="O140" s="374" t="n"/>
      <c r="P140" s="374" t="n"/>
      <c r="Q140" s="381" t="inlineStr">
        <is>
          <t>RANKING FIJAS ACERTADAS</t>
        </is>
      </c>
      <c r="R140" s="316" t="n"/>
      <c r="U140" s="393" t="inlineStr">
        <is>
          <t>COD 27</t>
        </is>
      </c>
      <c r="V140" s="393" t="inlineStr">
        <is>
          <t>ANDERSON HERNANDEZ</t>
        </is>
      </c>
      <c r="Y140" s="393" t="inlineStr">
        <is>
          <t>COD 27</t>
        </is>
      </c>
      <c r="Z140" s="393" t="inlineStr">
        <is>
          <t>ANDERSON HERNANDEZ</t>
        </is>
      </c>
      <c r="AC140" s="393" t="inlineStr">
        <is>
          <t>COD 27</t>
        </is>
      </c>
      <c r="AD140" s="393" t="inlineStr">
        <is>
          <t>ANDERSON HERNANDEZ</t>
        </is>
      </c>
      <c r="AG140" s="393" t="inlineStr">
        <is>
          <t>COD 27</t>
        </is>
      </c>
      <c r="AH140" s="393" t="inlineStr">
        <is>
          <t>ANDERSON HERNANDEZ</t>
        </is>
      </c>
    </row>
    <row r="141" ht="23.1" customFormat="1" customHeight="1" s="393">
      <c r="A141" s="295" t="n"/>
      <c r="B141" s="334" t="n">
        <v>0</v>
      </c>
      <c r="C141" s="287" t="inlineStr">
        <is>
          <t>CODIGO</t>
        </is>
      </c>
      <c r="D141" s="288" t="inlineStr">
        <is>
          <t>NOMBRE PARTICIPANTE</t>
        </is>
      </c>
      <c r="E141" s="335" t="inlineStr">
        <is>
          <t>CARRERAS</t>
        </is>
      </c>
      <c r="F141" s="335" t="inlineStr">
        <is>
          <t>ACIERTOS</t>
        </is>
      </c>
      <c r="G141" s="335" t="inlineStr">
        <is>
          <t>RENDIMIEN   TO</t>
        </is>
      </c>
      <c r="H141" s="295" t="n"/>
      <c r="I141" s="382" t="n">
        <v>0</v>
      </c>
      <c r="J141" s="336" t="inlineStr">
        <is>
          <t>CODIGO</t>
        </is>
      </c>
      <c r="K141" s="337" t="inlineStr">
        <is>
          <t>NOMBRE PARTICIPANTE</t>
        </is>
      </c>
      <c r="L141" s="338" t="n"/>
      <c r="M141" s="338" t="n"/>
      <c r="N141" s="339" t="n"/>
      <c r="O141" s="340" t="inlineStr">
        <is>
          <t>CARRERAS</t>
        </is>
      </c>
      <c r="P141" s="335" t="inlineStr">
        <is>
          <t>ACIERTOS</t>
        </is>
      </c>
      <c r="Q141" s="335" t="inlineStr">
        <is>
          <t>RENDIMIENTO</t>
        </is>
      </c>
      <c r="R141" s="316" t="n"/>
      <c r="U141" s="393" t="inlineStr">
        <is>
          <t>COD 28</t>
        </is>
      </c>
      <c r="V141" s="393" t="inlineStr">
        <is>
          <t>FRANKLIN DELGADO</t>
        </is>
      </c>
      <c r="Y141" s="393" t="inlineStr">
        <is>
          <t>COD 28</t>
        </is>
      </c>
      <c r="Z141" s="393" t="inlineStr">
        <is>
          <t>FRANKLIN DELGADO</t>
        </is>
      </c>
      <c r="AC141" s="393" t="inlineStr">
        <is>
          <t>COD 28</t>
        </is>
      </c>
      <c r="AD141" s="393" t="inlineStr">
        <is>
          <t>FRANKLIN DELGADO</t>
        </is>
      </c>
      <c r="AG141" s="393" t="inlineStr">
        <is>
          <t>COD 28</t>
        </is>
      </c>
      <c r="AH141" s="393" t="inlineStr">
        <is>
          <t>FRANKLIN DELGADO</t>
        </is>
      </c>
    </row>
    <row r="142" ht="23.1" customFormat="1" customHeight="1" s="393">
      <c r="A142" s="295" t="n"/>
      <c r="B142" s="307">
        <f>+B141+1</f>
        <v/>
      </c>
      <c r="C142" s="621">
        <f t="array" ref="C142:C191">_xlfn.SORTBY($C$5:$C$54,$L$5:$L$54,-1)</f>
        <v/>
      </c>
      <c r="D142" s="468">
        <f>_xlfn.XLOOKUP(C142,CODIGOS_Y_PAGOS[CODIGO],CODIGOS_Y_PAGOS[NOMBRE PARTICIPANTE],"")</f>
        <v/>
      </c>
      <c r="E142" s="341">
        <f>_xlfn.XLOOKUP(C142,$C$5:$C$54,$K$5:$K$54)</f>
        <v/>
      </c>
      <c r="F142" s="341">
        <f>_xlfn.XLOOKUP(C142,$C$5:$C$54,$L$5:$L$54)</f>
        <v/>
      </c>
      <c r="G142" s="383">
        <f>+F142/E142</f>
        <v/>
      </c>
      <c r="H142" s="316" t="n"/>
      <c r="I142" s="307">
        <f>+I141+1</f>
        <v/>
      </c>
      <c r="J142" s="621">
        <f t="array" ref="J142:J191">_xlfn.SORTBY($C$5:$C$54,$P$5:$P$54,-1)</f>
        <v/>
      </c>
      <c r="K142" s="468">
        <f>_xlfn.XLOOKUP(J142,CODIGOS_Y_PAGOS[CODIGO],CODIGOS_Y_PAGOS[NOMBRE PARTICIPANTE],"")</f>
        <v/>
      </c>
      <c r="L142" s="343" t="n"/>
      <c r="M142" s="343" t="n"/>
      <c r="N142" s="344" t="n"/>
      <c r="O142" s="345">
        <f>_xlfn.XLOOKUP(J142,$C$5:$C$54,$N$5:$N$54)</f>
        <v/>
      </c>
      <c r="P142" s="345">
        <f>_xlfn.XLOOKUP(J142,$C$5:$C$54,$O$5:$O$54)</f>
        <v/>
      </c>
      <c r="Q142" s="383">
        <f>+P142/O142</f>
        <v/>
      </c>
      <c r="R142" s="316" t="n"/>
      <c r="U142" s="393" t="inlineStr">
        <is>
          <t>COD 29</t>
        </is>
      </c>
      <c r="V142" s="393" t="n">
        <v>0</v>
      </c>
      <c r="Y142" s="393" t="inlineStr">
        <is>
          <t>COD 29</t>
        </is>
      </c>
      <c r="Z142" s="393" t="n">
        <v>0</v>
      </c>
      <c r="AC142" s="393" t="inlineStr">
        <is>
          <t>COD 29</t>
        </is>
      </c>
      <c r="AD142" s="393" t="n">
        <v>0</v>
      </c>
      <c r="AG142" s="393" t="inlineStr">
        <is>
          <t>COD 29</t>
        </is>
      </c>
      <c r="AH142" s="393" t="n">
        <v>0</v>
      </c>
    </row>
    <row r="143" ht="23.1" customFormat="1" customHeight="1" s="393">
      <c r="A143" s="295" t="n"/>
      <c r="B143" s="307">
        <f>+B142+1</f>
        <v/>
      </c>
      <c r="C143" s="621" t="inlineStr">
        <is>
          <t>COD 05</t>
        </is>
      </c>
      <c r="D143" s="468">
        <f>_xlfn.XLOOKUP(C143,CODIGOS_Y_PAGOS[CODIGO],CODIGOS_Y_PAGOS[NOMBRE PARTICIPANTE],"")</f>
        <v/>
      </c>
      <c r="E143" s="341">
        <f>_xlfn.XLOOKUP(C143,$C$5:$C$54,$K$5:$K$54)</f>
        <v/>
      </c>
      <c r="F143" s="341">
        <f>_xlfn.XLOOKUP(C143,$C$5:$C$54,$L$5:$L$54)</f>
        <v/>
      </c>
      <c r="G143" s="383">
        <f>+F143/E143</f>
        <v/>
      </c>
      <c r="H143" s="316" t="n"/>
      <c r="I143" s="307">
        <f>+I142+1</f>
        <v/>
      </c>
      <c r="J143" s="621" t="inlineStr">
        <is>
          <t>COD 15</t>
        </is>
      </c>
      <c r="K143" s="468">
        <f>_xlfn.XLOOKUP(J143,CODIGOS_Y_PAGOS[CODIGO],CODIGOS_Y_PAGOS[NOMBRE PARTICIPANTE],"")</f>
        <v/>
      </c>
      <c r="L143" s="346" t="n"/>
      <c r="M143" s="346" t="n"/>
      <c r="N143" s="347" t="n"/>
      <c r="O143" s="345">
        <f>_xlfn.XLOOKUP(J143,$C$5:$C$54,$N$5:$N$54)</f>
        <v/>
      </c>
      <c r="P143" s="345">
        <f>_xlfn.XLOOKUP(J143,$C$5:$C$54,$O$5:$O$54)</f>
        <v/>
      </c>
      <c r="Q143" s="383">
        <f>+P143/O143</f>
        <v/>
      </c>
      <c r="R143" s="316" t="n"/>
      <c r="U143" s="393" t="inlineStr">
        <is>
          <t>COD 30</t>
        </is>
      </c>
      <c r="V143" s="393" t="inlineStr">
        <is>
          <t>CARIACO</t>
        </is>
      </c>
      <c r="Y143" s="393" t="inlineStr">
        <is>
          <t>COD 30</t>
        </is>
      </c>
      <c r="Z143" s="393" t="inlineStr">
        <is>
          <t>CARIACO</t>
        </is>
      </c>
      <c r="AC143" s="393" t="inlineStr">
        <is>
          <t>COD 30</t>
        </is>
      </c>
      <c r="AD143" s="393" t="inlineStr">
        <is>
          <t>CARIACO</t>
        </is>
      </c>
      <c r="AG143" s="393" t="inlineStr">
        <is>
          <t>COD 30</t>
        </is>
      </c>
      <c r="AH143" s="393" t="inlineStr">
        <is>
          <t>CARIACO</t>
        </is>
      </c>
    </row>
    <row r="144" ht="23.1" customFormat="1" customHeight="1" s="393">
      <c r="A144" s="295" t="n"/>
      <c r="B144" s="307">
        <f>+B143+1</f>
        <v/>
      </c>
      <c r="C144" s="621" t="inlineStr">
        <is>
          <t>COD 21</t>
        </is>
      </c>
      <c r="D144" s="468">
        <f>_xlfn.XLOOKUP(C144,CODIGOS_Y_PAGOS[CODIGO],CODIGOS_Y_PAGOS[NOMBRE PARTICIPANTE],"")</f>
        <v/>
      </c>
      <c r="E144" s="341">
        <f>_xlfn.XLOOKUP(C144,$C$5:$C$54,$K$5:$K$54)</f>
        <v/>
      </c>
      <c r="F144" s="341">
        <f>_xlfn.XLOOKUP(C144,$C$5:$C$54,$L$5:$L$54)</f>
        <v/>
      </c>
      <c r="G144" s="383">
        <f>+F144/E144</f>
        <v/>
      </c>
      <c r="H144" s="316" t="n"/>
      <c r="I144" s="307">
        <f>+I143+1</f>
        <v/>
      </c>
      <c r="J144" s="621" t="inlineStr">
        <is>
          <t>COD 13</t>
        </is>
      </c>
      <c r="K144" s="468">
        <f>_xlfn.XLOOKUP(J144,CODIGOS_Y_PAGOS[CODIGO],CODIGOS_Y_PAGOS[NOMBRE PARTICIPANTE],"")</f>
        <v/>
      </c>
      <c r="L144" s="346" t="n"/>
      <c r="M144" s="346" t="n"/>
      <c r="N144" s="347" t="n"/>
      <c r="O144" s="345">
        <f>_xlfn.XLOOKUP(J144,$C$5:$C$54,$N$5:$N$54)</f>
        <v/>
      </c>
      <c r="P144" s="345">
        <f>_xlfn.XLOOKUP(J144,$C$5:$C$54,$O$5:$O$54)</f>
        <v/>
      </c>
      <c r="Q144" s="383">
        <f>+P144/O144</f>
        <v/>
      </c>
      <c r="R144" s="316" t="n"/>
      <c r="U144" s="393" t="inlineStr">
        <is>
          <t>COD 31</t>
        </is>
      </c>
      <c r="V144" s="393" t="inlineStr">
        <is>
          <t>ALBIN</t>
        </is>
      </c>
      <c r="Y144" s="393" t="inlineStr">
        <is>
          <t>COD 31</t>
        </is>
      </c>
      <c r="Z144" s="393" t="inlineStr">
        <is>
          <t>ALBIN</t>
        </is>
      </c>
      <c r="AC144" s="393" t="inlineStr">
        <is>
          <t>COD 31</t>
        </is>
      </c>
      <c r="AD144" s="393" t="inlineStr">
        <is>
          <t>ALBIN</t>
        </is>
      </c>
      <c r="AG144" s="393" t="inlineStr">
        <is>
          <t>COD 31</t>
        </is>
      </c>
      <c r="AH144" s="393" t="inlineStr">
        <is>
          <t>ALBIN</t>
        </is>
      </c>
    </row>
    <row r="145" ht="23.1" customFormat="1" customHeight="1" s="393">
      <c r="A145" s="295" t="n"/>
      <c r="B145" s="307">
        <f>+B144+1</f>
        <v/>
      </c>
      <c r="C145" s="621" t="inlineStr">
        <is>
          <t>COD 25</t>
        </is>
      </c>
      <c r="D145" s="468">
        <f>_xlfn.XLOOKUP(C145,CODIGOS_Y_PAGOS[CODIGO],CODIGOS_Y_PAGOS[NOMBRE PARTICIPANTE],"")</f>
        <v/>
      </c>
      <c r="E145" s="341">
        <f>_xlfn.XLOOKUP(C145,$C$5:$C$54,$K$5:$K$54)</f>
        <v/>
      </c>
      <c r="F145" s="341">
        <f>_xlfn.XLOOKUP(C145,$C$5:$C$54,$L$5:$L$54)</f>
        <v/>
      </c>
      <c r="G145" s="383">
        <f>+F145/E145</f>
        <v/>
      </c>
      <c r="H145" s="316" t="n"/>
      <c r="I145" s="307">
        <f>+I144+1</f>
        <v/>
      </c>
      <c r="J145" s="621" t="inlineStr">
        <is>
          <t>COD 02</t>
        </is>
      </c>
      <c r="K145" s="468">
        <f>_xlfn.XLOOKUP(J145,CODIGOS_Y_PAGOS[CODIGO],CODIGOS_Y_PAGOS[NOMBRE PARTICIPANTE],"")</f>
        <v/>
      </c>
      <c r="L145" s="346" t="n"/>
      <c r="M145" s="346" t="n"/>
      <c r="N145" s="347" t="n"/>
      <c r="O145" s="345">
        <f>_xlfn.XLOOKUP(J145,$C$5:$C$54,$N$5:$N$54)</f>
        <v/>
      </c>
      <c r="P145" s="345">
        <f>_xlfn.XLOOKUP(J145,$C$5:$C$54,$O$5:$O$54)</f>
        <v/>
      </c>
      <c r="Q145" s="383">
        <f>+P145/O145</f>
        <v/>
      </c>
      <c r="R145" s="316" t="n"/>
      <c r="U145" s="393" t="inlineStr">
        <is>
          <t>COD 32</t>
        </is>
      </c>
      <c r="V145" s="393" t="inlineStr">
        <is>
          <t>TONY CURTIS</t>
        </is>
      </c>
      <c r="Y145" s="393" t="inlineStr">
        <is>
          <t>COD 32</t>
        </is>
      </c>
      <c r="Z145" s="393" t="inlineStr">
        <is>
          <t>TONY CURTIS</t>
        </is>
      </c>
      <c r="AC145" s="393" t="inlineStr">
        <is>
          <t>COD 32</t>
        </is>
      </c>
      <c r="AD145" s="393" t="inlineStr">
        <is>
          <t>TONY CURTIS</t>
        </is>
      </c>
      <c r="AG145" s="393" t="inlineStr">
        <is>
          <t>COD 32</t>
        </is>
      </c>
      <c r="AH145" s="393" t="inlineStr">
        <is>
          <t>TONY CURTIS</t>
        </is>
      </c>
    </row>
    <row r="146" ht="23.1" customFormat="1" customHeight="1" s="393">
      <c r="A146" s="295" t="n"/>
      <c r="B146" s="307">
        <f>+B145+1</f>
        <v/>
      </c>
      <c r="C146" s="621" t="inlineStr">
        <is>
          <t>COD 09</t>
        </is>
      </c>
      <c r="D146" s="468">
        <f>_xlfn.XLOOKUP(C146,CODIGOS_Y_PAGOS[CODIGO],CODIGOS_Y_PAGOS[NOMBRE PARTICIPANTE],"")</f>
        <v/>
      </c>
      <c r="E146" s="341">
        <f>_xlfn.XLOOKUP(C146,$C$5:$C$54,$K$5:$K$54)</f>
        <v/>
      </c>
      <c r="F146" s="341">
        <f>_xlfn.XLOOKUP(C146,$C$5:$C$54,$L$5:$L$54)</f>
        <v/>
      </c>
      <c r="G146" s="383">
        <f>+F146/E146</f>
        <v/>
      </c>
      <c r="H146" s="316" t="n"/>
      <c r="I146" s="307">
        <f>+I145+1</f>
        <v/>
      </c>
      <c r="J146" s="621" t="inlineStr">
        <is>
          <t>COD 21</t>
        </is>
      </c>
      <c r="K146" s="468">
        <f>_xlfn.XLOOKUP(J146,CODIGOS_Y_PAGOS[CODIGO],CODIGOS_Y_PAGOS[NOMBRE PARTICIPANTE],"")</f>
        <v/>
      </c>
      <c r="L146" s="346" t="n"/>
      <c r="M146" s="346" t="n"/>
      <c r="N146" s="347" t="n"/>
      <c r="O146" s="345">
        <f>_xlfn.XLOOKUP(J146,$C$5:$C$54,$N$5:$N$54)</f>
        <v/>
      </c>
      <c r="P146" s="345">
        <f>_xlfn.XLOOKUP(J146,$C$5:$C$54,$O$5:$O$54)</f>
        <v/>
      </c>
      <c r="Q146" s="383">
        <f>+P146/O146</f>
        <v/>
      </c>
      <c r="R146" s="316" t="n"/>
      <c r="U146" s="393" t="inlineStr">
        <is>
          <t>COD 33</t>
        </is>
      </c>
      <c r="V146" s="393" t="inlineStr">
        <is>
          <t>JOSE LUIS ANTUNEZ</t>
        </is>
      </c>
      <c r="Y146" s="393" t="inlineStr">
        <is>
          <t>COD 33</t>
        </is>
      </c>
      <c r="Z146" s="393" t="inlineStr">
        <is>
          <t>JOSE LUIS ANTUNEZ</t>
        </is>
      </c>
      <c r="AC146" s="393" t="inlineStr">
        <is>
          <t>COD 33</t>
        </is>
      </c>
      <c r="AD146" s="393" t="inlineStr">
        <is>
          <t>JOSE LUIS ANTUNEZ</t>
        </is>
      </c>
      <c r="AG146" s="393" t="inlineStr">
        <is>
          <t>COD 33</t>
        </is>
      </c>
      <c r="AH146" s="393" t="inlineStr">
        <is>
          <t>JOSE LUIS ANTUNEZ</t>
        </is>
      </c>
    </row>
    <row r="147" ht="23.1" customFormat="1" customHeight="1" s="393">
      <c r="A147" s="295" t="n"/>
      <c r="B147" s="307">
        <f>+B146+1</f>
        <v/>
      </c>
      <c r="C147" s="621" t="inlineStr">
        <is>
          <t>COD 16</t>
        </is>
      </c>
      <c r="D147" s="468">
        <f>_xlfn.XLOOKUP(C147,CODIGOS_Y_PAGOS[CODIGO],CODIGOS_Y_PAGOS[NOMBRE PARTICIPANTE],"")</f>
        <v/>
      </c>
      <c r="E147" s="341">
        <f>_xlfn.XLOOKUP(C147,$C$5:$C$54,$K$5:$K$54)</f>
        <v/>
      </c>
      <c r="F147" s="341">
        <f>_xlfn.XLOOKUP(C147,$C$5:$C$54,$L$5:$L$54)</f>
        <v/>
      </c>
      <c r="G147" s="383">
        <f>+F147/E147</f>
        <v/>
      </c>
      <c r="H147" s="316" t="n"/>
      <c r="I147" s="307">
        <f>+I146+1</f>
        <v/>
      </c>
      <c r="J147" s="621" t="inlineStr">
        <is>
          <t>COD 10</t>
        </is>
      </c>
      <c r="K147" s="468">
        <f>_xlfn.XLOOKUP(J147,CODIGOS_Y_PAGOS[CODIGO],CODIGOS_Y_PAGOS[NOMBRE PARTICIPANTE],"")</f>
        <v/>
      </c>
      <c r="L147" s="346" t="n"/>
      <c r="M147" s="346" t="n"/>
      <c r="N147" s="347" t="n"/>
      <c r="O147" s="345">
        <f>_xlfn.XLOOKUP(J147,$C$5:$C$54,$N$5:$N$54)</f>
        <v/>
      </c>
      <c r="P147" s="345">
        <f>_xlfn.XLOOKUP(J147,$C$5:$C$54,$O$5:$O$54)</f>
        <v/>
      </c>
      <c r="Q147" s="383">
        <f>+P147/O147</f>
        <v/>
      </c>
      <c r="R147" s="316" t="n"/>
      <c r="U147" s="393" t="inlineStr">
        <is>
          <t>COD 34</t>
        </is>
      </c>
      <c r="V147" s="393" t="inlineStr">
        <is>
          <t>ROBERTO CARLOS</t>
        </is>
      </c>
      <c r="Y147" s="393" t="inlineStr">
        <is>
          <t>COD 34</t>
        </is>
      </c>
      <c r="Z147" s="393" t="inlineStr">
        <is>
          <t>ROBERTO CARLOS</t>
        </is>
      </c>
      <c r="AC147" s="393" t="inlineStr">
        <is>
          <t>COD 34</t>
        </is>
      </c>
      <c r="AD147" s="393" t="inlineStr">
        <is>
          <t>ROBERTO CARLOS</t>
        </is>
      </c>
      <c r="AG147" s="393" t="inlineStr">
        <is>
          <t>COD 34</t>
        </is>
      </c>
      <c r="AH147" s="393" t="inlineStr">
        <is>
          <t>ROBERTO CARLOS</t>
        </is>
      </c>
    </row>
    <row r="148" ht="23.1" customHeight="1" s="568">
      <c r="A148" s="3" t="n"/>
      <c r="B148" s="307">
        <f>+B147+1</f>
        <v/>
      </c>
      <c r="C148" s="621" t="inlineStr">
        <is>
          <t>COD 28</t>
        </is>
      </c>
      <c r="D148" s="468">
        <f>_xlfn.XLOOKUP(C148,CODIGOS_Y_PAGOS[CODIGO],CODIGOS_Y_PAGOS[NOMBRE PARTICIPANTE],"")</f>
        <v/>
      </c>
      <c r="E148" s="341">
        <f>_xlfn.XLOOKUP(C148,$C$5:$C$54,$K$5:$K$54)</f>
        <v/>
      </c>
      <c r="F148" s="341">
        <f>_xlfn.XLOOKUP(C148,$C$5:$C$54,$L$5:$L$54)</f>
        <v/>
      </c>
      <c r="G148" s="383">
        <f>+F148/E148</f>
        <v/>
      </c>
      <c r="H148" s="316" t="n"/>
      <c r="I148" s="307">
        <f>+I147+1</f>
        <v/>
      </c>
      <c r="J148" s="621" t="inlineStr">
        <is>
          <t>COD 25</t>
        </is>
      </c>
      <c r="K148" s="468">
        <f>_xlfn.XLOOKUP(J148,CODIGOS_Y_PAGOS[CODIGO],CODIGOS_Y_PAGOS[NOMBRE PARTICIPANTE],"")</f>
        <v/>
      </c>
      <c r="L148" s="346" t="n"/>
      <c r="M148" s="346" t="n"/>
      <c r="N148" s="347" t="n"/>
      <c r="O148" s="345">
        <f>_xlfn.XLOOKUP(J148,$C$5:$C$54,$N$5:$N$54)</f>
        <v/>
      </c>
      <c r="P148" s="345">
        <f>_xlfn.XLOOKUP(J148,$C$5:$C$54,$O$5:$O$54)</f>
        <v/>
      </c>
      <c r="Q148" s="383">
        <f>+P148/O148</f>
        <v/>
      </c>
      <c r="R148" s="3" t="n"/>
      <c r="U148" t="inlineStr">
        <is>
          <t>COD 35</t>
        </is>
      </c>
      <c r="V148" t="inlineStr">
        <is>
          <t>YOVANNY</t>
        </is>
      </c>
      <c r="Y148" t="inlineStr">
        <is>
          <t>COD 35</t>
        </is>
      </c>
      <c r="Z148" t="inlineStr">
        <is>
          <t>YOVANNY</t>
        </is>
      </c>
      <c r="AC148" t="inlineStr">
        <is>
          <t>COD 35</t>
        </is>
      </c>
      <c r="AD148" t="inlineStr">
        <is>
          <t>YOVANNY</t>
        </is>
      </c>
      <c r="AG148" t="inlineStr">
        <is>
          <t>COD 35</t>
        </is>
      </c>
      <c r="AH148" t="inlineStr">
        <is>
          <t>YOVANNY</t>
        </is>
      </c>
    </row>
    <row r="149" ht="23.1" customHeight="1" s="568">
      <c r="B149" s="307">
        <f>+B148+1</f>
        <v/>
      </c>
      <c r="C149" s="621" t="inlineStr">
        <is>
          <t>COD 29</t>
        </is>
      </c>
      <c r="D149" s="468">
        <f>_xlfn.XLOOKUP(C149,CODIGOS_Y_PAGOS[CODIGO],CODIGOS_Y_PAGOS[NOMBRE PARTICIPANTE],"")</f>
        <v/>
      </c>
      <c r="E149" s="341">
        <f>_xlfn.XLOOKUP(C149,$C$5:$C$54,$K$5:$K$54)</f>
        <v/>
      </c>
      <c r="F149" s="341">
        <f>_xlfn.XLOOKUP(C149,$C$5:$C$54,$L$5:$L$54)</f>
        <v/>
      </c>
      <c r="G149" s="383">
        <f>+F149/E149</f>
        <v/>
      </c>
      <c r="H149" s="316" t="n"/>
      <c r="I149" s="307">
        <f>+I148+1</f>
        <v/>
      </c>
      <c r="J149" s="621" t="inlineStr">
        <is>
          <t>COD 05</t>
        </is>
      </c>
      <c r="K149" s="468">
        <f>_xlfn.XLOOKUP(J149,CODIGOS_Y_PAGOS[CODIGO],CODIGOS_Y_PAGOS[NOMBRE PARTICIPANTE],"")</f>
        <v/>
      </c>
      <c r="L149" s="346" t="n"/>
      <c r="M149" s="346" t="n"/>
      <c r="N149" s="347" t="n"/>
      <c r="O149" s="345">
        <f>_xlfn.XLOOKUP(J149,$C$5:$C$54,$N$5:$N$54)</f>
        <v/>
      </c>
      <c r="P149" s="345">
        <f>_xlfn.XLOOKUP(J149,$C$5:$C$54,$O$5:$O$54)</f>
        <v/>
      </c>
      <c r="Q149" s="383">
        <f>+P149/O149</f>
        <v/>
      </c>
      <c r="R149" s="3" t="n"/>
      <c r="U149" t="inlineStr">
        <is>
          <t>COD 36</t>
        </is>
      </c>
      <c r="V149" t="inlineStr">
        <is>
          <t>EDGAR ALEXANDER</t>
        </is>
      </c>
      <c r="Y149" t="inlineStr">
        <is>
          <t>COD 36</t>
        </is>
      </c>
      <c r="Z149" t="inlineStr">
        <is>
          <t>EDGAR ALEXANDER</t>
        </is>
      </c>
      <c r="AC149" t="inlineStr">
        <is>
          <t>COD 36</t>
        </is>
      </c>
      <c r="AD149" t="inlineStr">
        <is>
          <t>EDGAR ALEXANDER</t>
        </is>
      </c>
      <c r="AG149" t="inlineStr">
        <is>
          <t>COD 36</t>
        </is>
      </c>
      <c r="AH149" t="inlineStr">
        <is>
          <t>EDGAR ALEXANDER</t>
        </is>
      </c>
    </row>
    <row r="150" ht="23.1" customHeight="1" s="568">
      <c r="B150" s="307">
        <f>+B149+1</f>
        <v/>
      </c>
      <c r="C150" s="621" t="inlineStr">
        <is>
          <t>COD 02</t>
        </is>
      </c>
      <c r="D150" s="468">
        <f>_xlfn.XLOOKUP(C150,CODIGOS_Y_PAGOS[CODIGO],CODIGOS_Y_PAGOS[NOMBRE PARTICIPANTE],"")</f>
        <v/>
      </c>
      <c r="E150" s="341">
        <f>_xlfn.XLOOKUP(C150,$C$5:$C$54,$K$5:$K$54)</f>
        <v/>
      </c>
      <c r="F150" s="341">
        <f>_xlfn.XLOOKUP(C150,$C$5:$C$54,$L$5:$L$54)</f>
        <v/>
      </c>
      <c r="G150" s="383">
        <f>+F150/E150</f>
        <v/>
      </c>
      <c r="H150" s="316" t="n"/>
      <c r="I150" s="307">
        <f>+I149+1</f>
        <v/>
      </c>
      <c r="J150" s="621" t="inlineStr">
        <is>
          <t>COD 27</t>
        </is>
      </c>
      <c r="K150" s="468">
        <f>_xlfn.XLOOKUP(J150,CODIGOS_Y_PAGOS[CODIGO],CODIGOS_Y_PAGOS[NOMBRE PARTICIPANTE],"")</f>
        <v/>
      </c>
      <c r="L150" s="346" t="n"/>
      <c r="M150" s="346" t="n"/>
      <c r="N150" s="347" t="n"/>
      <c r="O150" s="345">
        <f>_xlfn.XLOOKUP(J150,$C$5:$C$54,$N$5:$N$54)</f>
        <v/>
      </c>
      <c r="P150" s="345">
        <f>_xlfn.XLOOKUP(J150,$C$5:$C$54,$O$5:$O$54)</f>
        <v/>
      </c>
      <c r="Q150" s="383">
        <f>+P150/O150</f>
        <v/>
      </c>
      <c r="R150" s="3" t="n"/>
      <c r="U150" t="inlineStr">
        <is>
          <t>COD 37</t>
        </is>
      </c>
      <c r="V150" t="inlineStr">
        <is>
          <t>GLADIADOR HIPICO</t>
        </is>
      </c>
      <c r="Y150" t="inlineStr">
        <is>
          <t>COD 37</t>
        </is>
      </c>
      <c r="Z150" t="inlineStr">
        <is>
          <t>GLADIADOR HIPICO</t>
        </is>
      </c>
      <c r="AC150" t="inlineStr">
        <is>
          <t>COD 37</t>
        </is>
      </c>
      <c r="AD150" t="inlineStr">
        <is>
          <t>GLADIADOR HIPICO</t>
        </is>
      </c>
      <c r="AG150" t="inlineStr">
        <is>
          <t>COD 37</t>
        </is>
      </c>
      <c r="AH150" t="inlineStr">
        <is>
          <t>GLADIADOR HIPICO</t>
        </is>
      </c>
    </row>
    <row r="151" ht="23.1" customHeight="1" s="568">
      <c r="B151" s="307">
        <f>+B150+1</f>
        <v/>
      </c>
      <c r="C151" s="621" t="inlineStr">
        <is>
          <t>COD 10</t>
        </is>
      </c>
      <c r="D151" s="468">
        <f>_xlfn.XLOOKUP(C151,CODIGOS_Y_PAGOS[CODIGO],CODIGOS_Y_PAGOS[NOMBRE PARTICIPANTE],"")</f>
        <v/>
      </c>
      <c r="E151" s="341">
        <f>_xlfn.XLOOKUP(C151,$C$5:$C$54,$K$5:$K$54)</f>
        <v/>
      </c>
      <c r="F151" s="341">
        <f>_xlfn.XLOOKUP(C151,$C$5:$C$54,$L$5:$L$54)</f>
        <v/>
      </c>
      <c r="G151" s="383">
        <f>+F151/E151</f>
        <v/>
      </c>
      <c r="H151" s="316" t="n"/>
      <c r="I151" s="307">
        <f>+I150+1</f>
        <v/>
      </c>
      <c r="J151" s="621" t="inlineStr">
        <is>
          <t>COD 08</t>
        </is>
      </c>
      <c r="K151" s="468">
        <f>_xlfn.XLOOKUP(J151,CODIGOS_Y_PAGOS[CODIGO],CODIGOS_Y_PAGOS[NOMBRE PARTICIPANTE],"")</f>
        <v/>
      </c>
      <c r="L151" s="346" t="n"/>
      <c r="M151" s="346" t="n"/>
      <c r="N151" s="347" t="n"/>
      <c r="O151" s="345">
        <f>_xlfn.XLOOKUP(J151,$C$5:$C$54,$N$5:$N$54)</f>
        <v/>
      </c>
      <c r="P151" s="345">
        <f>_xlfn.XLOOKUP(J151,$C$5:$C$54,$O$5:$O$54)</f>
        <v/>
      </c>
      <c r="Q151" s="383">
        <f>+P151/O151</f>
        <v/>
      </c>
      <c r="R151" s="3" t="n"/>
      <c r="U151" t="inlineStr">
        <is>
          <t>COD 38</t>
        </is>
      </c>
      <c r="V151" t="inlineStr">
        <is>
          <t>DERVIN</t>
        </is>
      </c>
      <c r="Y151" t="inlineStr">
        <is>
          <t>COD 38</t>
        </is>
      </c>
      <c r="Z151" t="inlineStr">
        <is>
          <t>DERVIN</t>
        </is>
      </c>
      <c r="AC151" t="inlineStr">
        <is>
          <t>COD 38</t>
        </is>
      </c>
      <c r="AD151" t="inlineStr">
        <is>
          <t>DERVIN</t>
        </is>
      </c>
      <c r="AG151" t="inlineStr">
        <is>
          <t>COD 38</t>
        </is>
      </c>
      <c r="AH151" t="inlineStr">
        <is>
          <t>DERVIN</t>
        </is>
      </c>
    </row>
    <row r="152" ht="21" customHeight="1" s="568">
      <c r="B152" s="331" t="n"/>
      <c r="C152" s="351" t="inlineStr">
        <is>
          <t>COD 11</t>
        </is>
      </c>
      <c r="D152" s="481">
        <f>_xlfn.XLOOKUP(C152,CODIGOS_Y_PAGOS[CODIGO],CODIGOS_Y_PAGOS[NOMBRE PARTICIPANTE],"")</f>
        <v/>
      </c>
      <c r="E152" s="471">
        <f>_xlfn.XLOOKUP(C152,$C$5:$C$54,$K$5:$K$54)</f>
        <v/>
      </c>
      <c r="F152" s="471">
        <f>_xlfn.XLOOKUP(C152,$C$5:$C$54,$L$5:$L$54)</f>
        <v/>
      </c>
      <c r="G152" s="472">
        <f>+F152/E152</f>
        <v/>
      </c>
      <c r="H152" s="3" t="n"/>
      <c r="I152" s="3" t="n"/>
      <c r="J152" s="351" t="inlineStr">
        <is>
          <t>COD 16</t>
        </is>
      </c>
      <c r="K152" s="3" t="n"/>
      <c r="L152" s="3" t="n"/>
      <c r="M152" s="3" t="n"/>
      <c r="N152" s="3" t="n"/>
      <c r="O152" s="3" t="n"/>
      <c r="P152" s="3" t="n"/>
      <c r="Q152" s="3" t="n"/>
      <c r="R152" s="3" t="n"/>
      <c r="U152" t="inlineStr">
        <is>
          <t>COD 39</t>
        </is>
      </c>
      <c r="V152" t="inlineStr">
        <is>
          <t>EL TAMAO</t>
        </is>
      </c>
      <c r="Y152" t="inlineStr">
        <is>
          <t>COD 39</t>
        </is>
      </c>
      <c r="Z152" t="inlineStr">
        <is>
          <t>EL TAMAO</t>
        </is>
      </c>
      <c r="AC152" t="inlineStr">
        <is>
          <t>COD 39</t>
        </is>
      </c>
      <c r="AD152" t="inlineStr">
        <is>
          <t>EL TAMAO</t>
        </is>
      </c>
      <c r="AG152" t="inlineStr">
        <is>
          <t>COD 39</t>
        </is>
      </c>
      <c r="AH152" t="inlineStr">
        <is>
          <t>EL TAMAO</t>
        </is>
      </c>
    </row>
    <row r="153" ht="21" customHeight="1" s="568">
      <c r="C153" s="73" t="inlineStr">
        <is>
          <t>COD 37</t>
        </is>
      </c>
      <c r="D153" s="481">
        <f>_xlfn.XLOOKUP(C153,CODIGOS_Y_PAGOS[CODIGO],CODIGOS_Y_PAGOS[NOMBRE PARTICIPANTE],"")</f>
        <v/>
      </c>
      <c r="E153" s="471">
        <f>_xlfn.XLOOKUP(C153,$C$5:$C$54,$K$5:$K$54)</f>
        <v/>
      </c>
      <c r="F153" s="471">
        <f>_xlfn.XLOOKUP(C153,$C$5:$C$54,$L$5:$L$54)</f>
        <v/>
      </c>
      <c r="G153" s="472">
        <f>+F153/E153</f>
        <v/>
      </c>
      <c r="J153" s="73" t="inlineStr">
        <is>
          <t>COD 34</t>
        </is>
      </c>
      <c r="R153" s="3" t="n"/>
      <c r="U153" t="inlineStr">
        <is>
          <t>COD 40</t>
        </is>
      </c>
      <c r="V153" t="inlineStr">
        <is>
          <t>FRED</t>
        </is>
      </c>
      <c r="Y153" t="inlineStr">
        <is>
          <t>COD 40</t>
        </is>
      </c>
      <c r="Z153" t="inlineStr">
        <is>
          <t>FRED</t>
        </is>
      </c>
      <c r="AC153" t="inlineStr">
        <is>
          <t>COD 40</t>
        </is>
      </c>
      <c r="AD153" t="inlineStr">
        <is>
          <t>FRED</t>
        </is>
      </c>
      <c r="AG153" t="inlineStr">
        <is>
          <t>COD 40</t>
        </is>
      </c>
      <c r="AH153" t="inlineStr">
        <is>
          <t>FRED</t>
        </is>
      </c>
    </row>
    <row r="154" ht="21" customHeight="1" s="568">
      <c r="C154" s="73" t="inlineStr">
        <is>
          <t>COD 14</t>
        </is>
      </c>
      <c r="D154" s="481">
        <f>_xlfn.XLOOKUP(C154,CODIGOS_Y_PAGOS[CODIGO],CODIGOS_Y_PAGOS[NOMBRE PARTICIPANTE],"")</f>
        <v/>
      </c>
      <c r="E154" s="471">
        <f>_xlfn.XLOOKUP(C154,$C$5:$C$54,$K$5:$K$54)</f>
        <v/>
      </c>
      <c r="F154" s="471">
        <f>_xlfn.XLOOKUP(C154,$C$5:$C$54,$L$5:$L$54)</f>
        <v/>
      </c>
      <c r="G154" s="472">
        <f>+F154/E154</f>
        <v/>
      </c>
      <c r="J154" s="73" t="inlineStr">
        <is>
          <t>COD 37</t>
        </is>
      </c>
      <c r="R154" s="3" t="n"/>
      <c r="U154" t="inlineStr">
        <is>
          <t>COD 41</t>
        </is>
      </c>
      <c r="V154" t="inlineStr">
        <is>
          <t>ENRIQUE LEFEBRE</t>
        </is>
      </c>
      <c r="Y154" t="inlineStr">
        <is>
          <t>COD 41</t>
        </is>
      </c>
      <c r="Z154" t="inlineStr">
        <is>
          <t>ENRIQUE LEFEBRE</t>
        </is>
      </c>
      <c r="AC154" t="inlineStr">
        <is>
          <t>COD 41</t>
        </is>
      </c>
      <c r="AD154" t="inlineStr">
        <is>
          <t>ENRIQUE LEFEBRE</t>
        </is>
      </c>
      <c r="AG154" t="inlineStr">
        <is>
          <t>COD 41</t>
        </is>
      </c>
      <c r="AH154" t="inlineStr">
        <is>
          <t>ENRIQUE LEFEBRE</t>
        </is>
      </c>
    </row>
    <row r="155" ht="21" customHeight="1" s="568">
      <c r="C155" s="73" t="inlineStr">
        <is>
          <t>COD 18</t>
        </is>
      </c>
      <c r="D155" s="481">
        <f>_xlfn.XLOOKUP(C155,CODIGOS_Y_PAGOS[CODIGO],CODIGOS_Y_PAGOS[NOMBRE PARTICIPANTE],"")</f>
        <v/>
      </c>
      <c r="E155" s="471">
        <f>_xlfn.XLOOKUP(C155,$C$5:$C$54,$K$5:$K$54)</f>
        <v/>
      </c>
      <c r="F155" s="471">
        <f>_xlfn.XLOOKUP(C155,$C$5:$C$54,$L$5:$L$54)</f>
        <v/>
      </c>
      <c r="G155" s="472">
        <f>+F155/E155</f>
        <v/>
      </c>
      <c r="J155" s="73" t="inlineStr">
        <is>
          <t>COD 07</t>
        </is>
      </c>
      <c r="R155" s="3" t="n"/>
      <c r="U155" t="inlineStr">
        <is>
          <t>COD 42</t>
        </is>
      </c>
      <c r="V155" t="n">
        <v>0</v>
      </c>
      <c r="Y155" t="inlineStr">
        <is>
          <t>COD 42</t>
        </is>
      </c>
      <c r="Z155" t="n">
        <v>0</v>
      </c>
      <c r="AC155" t="inlineStr">
        <is>
          <t>COD 42</t>
        </is>
      </c>
      <c r="AD155" t="n">
        <v>0</v>
      </c>
      <c r="AG155" t="inlineStr">
        <is>
          <t>COD 42</t>
        </is>
      </c>
      <c r="AH155" t="n">
        <v>0</v>
      </c>
    </row>
    <row r="156" ht="21" customHeight="1" s="568">
      <c r="C156" s="73" t="inlineStr">
        <is>
          <t>COD 26</t>
        </is>
      </c>
      <c r="D156" s="481">
        <f>_xlfn.XLOOKUP(C156,CODIGOS_Y_PAGOS[CODIGO],CODIGOS_Y_PAGOS[NOMBRE PARTICIPANTE],"")</f>
        <v/>
      </c>
      <c r="E156" s="471">
        <f>_xlfn.XLOOKUP(C156,$C$5:$C$54,$K$5:$K$54)</f>
        <v/>
      </c>
      <c r="F156" s="471">
        <f>_xlfn.XLOOKUP(C156,$C$5:$C$54,$L$5:$L$54)</f>
        <v/>
      </c>
      <c r="G156" s="472">
        <f>+F156/E156</f>
        <v/>
      </c>
      <c r="J156" s="73" t="inlineStr">
        <is>
          <t>COD 35</t>
        </is>
      </c>
      <c r="R156" s="3" t="n"/>
      <c r="U156" t="inlineStr">
        <is>
          <t>COD 43</t>
        </is>
      </c>
      <c r="V156" t="n">
        <v>0</v>
      </c>
      <c r="Y156" t="inlineStr">
        <is>
          <t>COD 43</t>
        </is>
      </c>
      <c r="Z156" t="n">
        <v>0</v>
      </c>
      <c r="AC156" t="inlineStr">
        <is>
          <t>COD 43</t>
        </is>
      </c>
      <c r="AD156" t="n">
        <v>0</v>
      </c>
      <c r="AG156" t="inlineStr">
        <is>
          <t>COD 43</t>
        </is>
      </c>
      <c r="AH156" t="n">
        <v>0</v>
      </c>
    </row>
    <row r="157" ht="21" customHeight="1" s="568">
      <c r="C157" s="73" t="inlineStr">
        <is>
          <t>COD 22</t>
        </is>
      </c>
      <c r="D157" s="481">
        <f>_xlfn.XLOOKUP(C157,CODIGOS_Y_PAGOS[CODIGO],CODIGOS_Y_PAGOS[NOMBRE PARTICIPANTE],"")</f>
        <v/>
      </c>
      <c r="E157" s="471">
        <f>_xlfn.XLOOKUP(C157,$C$5:$C$54,$K$5:$K$54)</f>
        <v/>
      </c>
      <c r="F157" s="471">
        <f>_xlfn.XLOOKUP(C157,$C$5:$C$54,$L$5:$L$54)</f>
        <v/>
      </c>
      <c r="G157" s="472">
        <f>+F157/E157</f>
        <v/>
      </c>
      <c r="J157" s="73" t="inlineStr">
        <is>
          <t>COD 17</t>
        </is>
      </c>
      <c r="R157" s="3" t="n"/>
      <c r="U157" t="inlineStr">
        <is>
          <t>COD 44</t>
        </is>
      </c>
      <c r="V157" t="n">
        <v>0</v>
      </c>
      <c r="Y157" t="inlineStr">
        <is>
          <t>COD 44</t>
        </is>
      </c>
      <c r="Z157" t="n">
        <v>0</v>
      </c>
      <c r="AC157" t="inlineStr">
        <is>
          <t>COD 44</t>
        </is>
      </c>
      <c r="AD157" t="n">
        <v>0</v>
      </c>
      <c r="AG157" t="inlineStr">
        <is>
          <t>COD 44</t>
        </is>
      </c>
      <c r="AH157" t="n">
        <v>0</v>
      </c>
    </row>
    <row r="158" ht="21" customHeight="1" s="568">
      <c r="C158" s="73" t="inlineStr">
        <is>
          <t>COD 23</t>
        </is>
      </c>
      <c r="D158" s="481">
        <f>_xlfn.XLOOKUP(C158,CODIGOS_Y_PAGOS[CODIGO],CODIGOS_Y_PAGOS[NOMBRE PARTICIPANTE],"")</f>
        <v/>
      </c>
      <c r="E158" s="471">
        <f>_xlfn.XLOOKUP(C158,$C$5:$C$54,$K$5:$K$54)</f>
        <v/>
      </c>
      <c r="F158" s="471">
        <f>_xlfn.XLOOKUP(C158,$C$5:$C$54,$L$5:$L$54)</f>
        <v/>
      </c>
      <c r="G158" s="472">
        <f>+F158/E158</f>
        <v/>
      </c>
      <c r="J158" s="73" t="inlineStr">
        <is>
          <t>COD 18</t>
        </is>
      </c>
      <c r="R158" s="3" t="n"/>
      <c r="U158" t="inlineStr">
        <is>
          <t>COD 45</t>
        </is>
      </c>
      <c r="V158" t="inlineStr">
        <is>
          <t>GUADIZMI</t>
        </is>
      </c>
      <c r="Y158" t="inlineStr">
        <is>
          <t>COD 45</t>
        </is>
      </c>
      <c r="Z158" t="inlineStr">
        <is>
          <t>GUADIZMI</t>
        </is>
      </c>
      <c r="AC158" t="inlineStr">
        <is>
          <t>COD 45</t>
        </is>
      </c>
      <c r="AD158" t="inlineStr">
        <is>
          <t>GUADIZMI</t>
        </is>
      </c>
      <c r="AG158" t="inlineStr">
        <is>
          <t>COD 45</t>
        </is>
      </c>
      <c r="AH158" t="inlineStr">
        <is>
          <t>GUADIZMI</t>
        </is>
      </c>
    </row>
    <row r="159" ht="21" customHeight="1" s="568">
      <c r="C159" s="73" t="inlineStr">
        <is>
          <t>COD 03</t>
        </is>
      </c>
      <c r="D159" s="481">
        <f>_xlfn.XLOOKUP(C159,CODIGOS_Y_PAGOS[CODIGO],CODIGOS_Y_PAGOS[NOMBRE PARTICIPANTE],"")</f>
        <v/>
      </c>
      <c r="E159" s="471">
        <f>_xlfn.XLOOKUP(C159,$C$5:$C$54,$K$5:$K$54)</f>
        <v/>
      </c>
      <c r="F159" s="471">
        <f>_xlfn.XLOOKUP(C159,$C$5:$C$54,$L$5:$L$54)</f>
        <v/>
      </c>
      <c r="G159" s="472">
        <f>+F159/E159</f>
        <v/>
      </c>
      <c r="J159" s="73" t="inlineStr">
        <is>
          <t>COD 26</t>
        </is>
      </c>
      <c r="U159" t="inlineStr">
        <is>
          <t>COD 46</t>
        </is>
      </c>
      <c r="V159" t="n">
        <v>0</v>
      </c>
      <c r="Y159" t="inlineStr">
        <is>
          <t>COD 46</t>
        </is>
      </c>
      <c r="Z159" t="n">
        <v>0</v>
      </c>
      <c r="AC159" t="inlineStr">
        <is>
          <t>COD 46</t>
        </is>
      </c>
      <c r="AD159" t="n">
        <v>0</v>
      </c>
      <c r="AG159" t="inlineStr">
        <is>
          <t>COD 46</t>
        </is>
      </c>
      <c r="AH159" t="n">
        <v>0</v>
      </c>
    </row>
    <row r="160" ht="21" customHeight="1" s="568">
      <c r="C160" s="73" t="inlineStr">
        <is>
          <t>COD 15</t>
        </is>
      </c>
      <c r="D160" s="481">
        <f>_xlfn.XLOOKUP(C160,CODIGOS_Y_PAGOS[CODIGO],CODIGOS_Y_PAGOS[NOMBRE PARTICIPANTE],"")</f>
        <v/>
      </c>
      <c r="E160" s="471">
        <f>_xlfn.XLOOKUP(C160,$C$5:$C$54,$K$5:$K$54)</f>
        <v/>
      </c>
      <c r="F160" s="471">
        <f>_xlfn.XLOOKUP(C160,$C$5:$C$54,$L$5:$L$54)</f>
        <v/>
      </c>
      <c r="G160" s="472">
        <f>+F160/E160</f>
        <v/>
      </c>
      <c r="J160" s="73" t="inlineStr">
        <is>
          <t>COD 24</t>
        </is>
      </c>
      <c r="U160" t="inlineStr">
        <is>
          <t>COD 47</t>
        </is>
      </c>
      <c r="V160" t="n">
        <v>0</v>
      </c>
      <c r="Y160" t="inlineStr">
        <is>
          <t>COD 47</t>
        </is>
      </c>
      <c r="Z160" t="n">
        <v>0</v>
      </c>
      <c r="AC160" t="inlineStr">
        <is>
          <t>COD 47</t>
        </is>
      </c>
      <c r="AD160" t="n">
        <v>0</v>
      </c>
      <c r="AG160" t="inlineStr">
        <is>
          <t>COD 47</t>
        </is>
      </c>
      <c r="AH160" t="n">
        <v>0</v>
      </c>
    </row>
    <row r="161" ht="21" customHeight="1" s="568">
      <c r="C161" s="73" t="inlineStr">
        <is>
          <t>COD 34</t>
        </is>
      </c>
      <c r="D161" s="481">
        <f>_xlfn.XLOOKUP(C161,CODIGOS_Y_PAGOS[CODIGO],CODIGOS_Y_PAGOS[NOMBRE PARTICIPANTE],"")</f>
        <v/>
      </c>
      <c r="E161" s="471">
        <f>_xlfn.XLOOKUP(C161,$C$5:$C$54,$K$5:$K$54)</f>
        <v/>
      </c>
      <c r="F161" s="471">
        <f>_xlfn.XLOOKUP(C161,$C$5:$C$54,$L$5:$L$54)</f>
        <v/>
      </c>
      <c r="G161" s="472">
        <f>+F161/E161</f>
        <v/>
      </c>
      <c r="J161" s="73" t="inlineStr">
        <is>
          <t>COD 22</t>
        </is>
      </c>
      <c r="U161" t="inlineStr">
        <is>
          <t>COD 48</t>
        </is>
      </c>
      <c r="V161" t="n">
        <v>0</v>
      </c>
      <c r="Y161" t="inlineStr">
        <is>
          <t>COD 48</t>
        </is>
      </c>
      <c r="Z161" t="n">
        <v>0</v>
      </c>
      <c r="AC161" t="inlineStr">
        <is>
          <t>COD 48</t>
        </is>
      </c>
      <c r="AD161" t="n">
        <v>0</v>
      </c>
      <c r="AG161" t="inlineStr">
        <is>
          <t>COD 48</t>
        </is>
      </c>
      <c r="AH161" t="n">
        <v>0</v>
      </c>
    </row>
    <row r="162" ht="21" customHeight="1" s="568">
      <c r="C162" s="73" t="inlineStr">
        <is>
          <t>COD 35</t>
        </is>
      </c>
      <c r="D162" s="481">
        <f>_xlfn.XLOOKUP(C162,CODIGOS_Y_PAGOS[CODIGO],CODIGOS_Y_PAGOS[NOMBRE PARTICIPANTE],"")</f>
        <v/>
      </c>
      <c r="E162" s="471">
        <f>_xlfn.XLOOKUP(C162,$C$5:$C$54,$K$5:$K$54)</f>
        <v/>
      </c>
      <c r="F162" s="471">
        <f>_xlfn.XLOOKUP(C162,$C$5:$C$54,$L$5:$L$54)</f>
        <v/>
      </c>
      <c r="G162" s="472">
        <f>+F162/E162</f>
        <v/>
      </c>
      <c r="J162" s="73" t="inlineStr">
        <is>
          <t>COD 06</t>
        </is>
      </c>
      <c r="U162" t="inlineStr">
        <is>
          <t>COD 49</t>
        </is>
      </c>
      <c r="V162" t="n">
        <v>0</v>
      </c>
      <c r="Y162" t="inlineStr">
        <is>
          <t>COD 49</t>
        </is>
      </c>
      <c r="Z162" t="n">
        <v>0</v>
      </c>
      <c r="AC162" t="inlineStr">
        <is>
          <t>COD 49</t>
        </is>
      </c>
      <c r="AD162" t="n">
        <v>0</v>
      </c>
      <c r="AG162" t="inlineStr">
        <is>
          <t>COD 49</t>
        </is>
      </c>
      <c r="AH162" t="n">
        <v>0</v>
      </c>
    </row>
    <row r="163" ht="21" customHeight="1" s="568">
      <c r="C163" s="73" t="inlineStr">
        <is>
          <t>COD 20</t>
        </is>
      </c>
      <c r="D163" s="481">
        <f>_xlfn.XLOOKUP(C163,CODIGOS_Y_PAGOS[CODIGO],CODIGOS_Y_PAGOS[NOMBRE PARTICIPANTE],"")</f>
        <v/>
      </c>
      <c r="E163" s="471">
        <f>_xlfn.XLOOKUP(C163,$C$5:$C$54,$K$5:$K$54)</f>
        <v/>
      </c>
      <c r="F163" s="471">
        <f>_xlfn.XLOOKUP(C163,$C$5:$C$54,$L$5:$L$54)</f>
        <v/>
      </c>
      <c r="G163" s="472">
        <f>+F163/E163</f>
        <v/>
      </c>
      <c r="J163" s="73" t="inlineStr">
        <is>
          <t>COD 09</t>
        </is>
      </c>
      <c r="U163" t="inlineStr">
        <is>
          <t>COD 50</t>
        </is>
      </c>
      <c r="V163" t="n">
        <v>0</v>
      </c>
      <c r="Y163" t="inlineStr">
        <is>
          <t>COD 50</t>
        </is>
      </c>
      <c r="Z163" t="n">
        <v>0</v>
      </c>
      <c r="AC163" t="inlineStr">
        <is>
          <t>COD 50</t>
        </is>
      </c>
      <c r="AD163" t="n">
        <v>0</v>
      </c>
      <c r="AG163" t="inlineStr">
        <is>
          <t>COD 50</t>
        </is>
      </c>
      <c r="AH163" t="n">
        <v>0</v>
      </c>
    </row>
    <row r="164" ht="21" customHeight="1" s="568">
      <c r="C164" s="73" t="inlineStr">
        <is>
          <t>COD 27</t>
        </is>
      </c>
      <c r="D164" s="481">
        <f>_xlfn.XLOOKUP(C164,CODIGOS_Y_PAGOS[CODIGO],CODIGOS_Y_PAGOS[NOMBRE PARTICIPANTE],"")</f>
        <v/>
      </c>
      <c r="E164" s="471">
        <f>_xlfn.XLOOKUP(C164,$C$5:$C$54,$K$5:$K$54)</f>
        <v/>
      </c>
      <c r="F164" s="471">
        <f>_xlfn.XLOOKUP(C164,$C$5:$C$54,$L$5:$L$54)</f>
        <v/>
      </c>
      <c r="G164" s="472">
        <f>+F164/E164</f>
        <v/>
      </c>
      <c r="J164" s="73" t="inlineStr">
        <is>
          <t>COD 01</t>
        </is>
      </c>
    </row>
    <row r="165" ht="21" customHeight="1" s="568">
      <c r="C165" s="73" t="inlineStr">
        <is>
          <t>COD 19</t>
        </is>
      </c>
      <c r="D165" s="481">
        <f>_xlfn.XLOOKUP(C165,CODIGOS_Y_PAGOS[CODIGO],CODIGOS_Y_PAGOS[NOMBRE PARTICIPANTE],"")</f>
        <v/>
      </c>
      <c r="E165" s="471">
        <f>_xlfn.XLOOKUP(C165,$C$5:$C$54,$K$5:$K$54)</f>
        <v/>
      </c>
      <c r="F165" s="471">
        <f>_xlfn.XLOOKUP(C165,$C$5:$C$54,$L$5:$L$54)</f>
        <v/>
      </c>
      <c r="G165" s="472">
        <f>+F165/E165</f>
        <v/>
      </c>
      <c r="J165" s="73" t="inlineStr">
        <is>
          <t>COD 11</t>
        </is>
      </c>
    </row>
    <row r="166" ht="21" customHeight="1" s="568">
      <c r="C166" s="73" t="inlineStr">
        <is>
          <t>COD 32</t>
        </is>
      </c>
      <c r="D166" s="481">
        <f>_xlfn.XLOOKUP(C166,CODIGOS_Y_PAGOS[CODIGO],CODIGOS_Y_PAGOS[NOMBRE PARTICIPANTE],"")</f>
        <v/>
      </c>
      <c r="E166" s="471">
        <f>_xlfn.XLOOKUP(C166,$C$5:$C$54,$K$5:$K$54)</f>
        <v/>
      </c>
      <c r="F166" s="471">
        <f>_xlfn.XLOOKUP(C166,$C$5:$C$54,$L$5:$L$54)</f>
        <v/>
      </c>
      <c r="G166" s="472">
        <f>+F166/E166</f>
        <v/>
      </c>
      <c r="J166" s="73" t="inlineStr">
        <is>
          <t>COD 03</t>
        </is>
      </c>
    </row>
    <row r="167" ht="21" customHeight="1" s="568">
      <c r="C167" s="73" t="inlineStr">
        <is>
          <t>COD 07</t>
        </is>
      </c>
      <c r="D167" s="481">
        <f>_xlfn.XLOOKUP(C167,CODIGOS_Y_PAGOS[CODIGO],CODIGOS_Y_PAGOS[NOMBRE PARTICIPANTE],"")</f>
        <v/>
      </c>
      <c r="E167" s="471">
        <f>_xlfn.XLOOKUP(C167,$C$5:$C$54,$K$5:$K$54)</f>
        <v/>
      </c>
      <c r="F167" s="471">
        <f>_xlfn.XLOOKUP(C167,$C$5:$C$54,$L$5:$L$54)</f>
        <v/>
      </c>
      <c r="G167" s="472">
        <f>+F167/E167</f>
        <v/>
      </c>
      <c r="J167" s="73" t="inlineStr">
        <is>
          <t>COD 28</t>
        </is>
      </c>
    </row>
    <row r="168" ht="21" customHeight="1" s="568">
      <c r="C168" s="73" t="inlineStr">
        <is>
          <t>COD 31</t>
        </is>
      </c>
      <c r="D168" s="481">
        <f>_xlfn.XLOOKUP(C168,CODIGOS_Y_PAGOS[CODIGO],CODIGOS_Y_PAGOS[NOMBRE PARTICIPANTE],"")</f>
        <v/>
      </c>
      <c r="E168" s="471">
        <f>_xlfn.XLOOKUP(C168,$C$5:$C$54,$K$5:$K$54)</f>
        <v/>
      </c>
      <c r="F168" s="471">
        <f>_xlfn.XLOOKUP(C168,$C$5:$C$54,$L$5:$L$54)</f>
        <v/>
      </c>
      <c r="G168" s="472">
        <f>+F168/E168</f>
        <v/>
      </c>
      <c r="J168" s="73" t="inlineStr">
        <is>
          <t>COD 29</t>
        </is>
      </c>
    </row>
    <row r="169" ht="21" customHeight="1" s="568">
      <c r="C169" s="73" t="inlineStr">
        <is>
          <t>COD 12</t>
        </is>
      </c>
      <c r="D169" s="481">
        <f>_xlfn.XLOOKUP(C169,CODIGOS_Y_PAGOS[CODIGO],CODIGOS_Y_PAGOS[NOMBRE PARTICIPANTE],"")</f>
        <v/>
      </c>
      <c r="E169" s="471">
        <f>_xlfn.XLOOKUP(C169,$C$5:$C$54,$K$5:$K$54)</f>
        <v/>
      </c>
      <c r="F169" s="471">
        <f>_xlfn.XLOOKUP(C169,$C$5:$C$54,$L$5:$L$54)</f>
        <v/>
      </c>
      <c r="G169" s="472">
        <f>+F169/E169</f>
        <v/>
      </c>
      <c r="J169" s="73" t="inlineStr">
        <is>
          <t>COD 32</t>
        </is>
      </c>
    </row>
    <row r="170" ht="21" customHeight="1" s="568">
      <c r="C170" s="73" t="inlineStr">
        <is>
          <t>COD 38</t>
        </is>
      </c>
      <c r="D170" s="481">
        <f>_xlfn.XLOOKUP(C170,CODIGOS_Y_PAGOS[CODIGO],CODIGOS_Y_PAGOS[NOMBRE PARTICIPANTE],"")</f>
        <v/>
      </c>
      <c r="E170" s="471">
        <f>_xlfn.XLOOKUP(C170,$C$5:$C$54,$K$5:$K$54)</f>
        <v/>
      </c>
      <c r="F170" s="471">
        <f>_xlfn.XLOOKUP(C170,$C$5:$C$54,$L$5:$L$54)</f>
        <v/>
      </c>
      <c r="G170" s="472">
        <f>+F170/E170</f>
        <v/>
      </c>
      <c r="J170" s="73" t="inlineStr">
        <is>
          <t>COD 04</t>
        </is>
      </c>
    </row>
    <row r="171" ht="21" customHeight="1" s="568">
      <c r="C171" s="73" t="inlineStr">
        <is>
          <t>COD 30</t>
        </is>
      </c>
      <c r="D171" s="481">
        <f>_xlfn.XLOOKUP(C171,CODIGOS_Y_PAGOS[CODIGO],CODIGOS_Y_PAGOS[NOMBRE PARTICIPANTE],"")</f>
        <v/>
      </c>
      <c r="E171" s="471">
        <f>_xlfn.XLOOKUP(C171,$C$5:$C$54,$K$5:$K$54)</f>
        <v/>
      </c>
      <c r="F171" s="471">
        <f>_xlfn.XLOOKUP(C171,$C$5:$C$54,$L$5:$L$54)</f>
        <v/>
      </c>
      <c r="G171" s="472">
        <f>+F171/E171</f>
        <v/>
      </c>
      <c r="J171" s="73" t="inlineStr">
        <is>
          <t>COD 36</t>
        </is>
      </c>
    </row>
    <row r="172" ht="21" customHeight="1" s="568">
      <c r="C172" s="73" t="inlineStr">
        <is>
          <t>COD 08</t>
        </is>
      </c>
      <c r="D172" s="481">
        <f>_xlfn.XLOOKUP(C172,CODIGOS_Y_PAGOS[CODIGO],CODIGOS_Y_PAGOS[NOMBRE PARTICIPANTE],"")</f>
        <v/>
      </c>
      <c r="E172" s="471">
        <f>_xlfn.XLOOKUP(C172,$C$5:$C$54,$K$5:$K$54)</f>
        <v/>
      </c>
      <c r="F172" s="471">
        <f>_xlfn.XLOOKUP(C172,$C$5:$C$54,$L$5:$L$54)</f>
        <v/>
      </c>
      <c r="G172" s="472">
        <f>+F172/E172</f>
        <v/>
      </c>
      <c r="J172" s="73" t="inlineStr">
        <is>
          <t>COD 33</t>
        </is>
      </c>
    </row>
    <row r="173" ht="21" customHeight="1" s="568">
      <c r="C173" s="73" t="inlineStr">
        <is>
          <t>COD 04</t>
        </is>
      </c>
      <c r="D173" s="481">
        <f>_xlfn.XLOOKUP(C173,CODIGOS_Y_PAGOS[CODIGO],CODIGOS_Y_PAGOS[NOMBRE PARTICIPANTE],"")</f>
        <v/>
      </c>
      <c r="E173" s="471">
        <f>_xlfn.XLOOKUP(C173,$C$5:$C$54,$K$5:$K$54)</f>
        <v/>
      </c>
      <c r="F173" s="471">
        <f>_xlfn.XLOOKUP(C173,$C$5:$C$54,$L$5:$L$54)</f>
        <v/>
      </c>
      <c r="G173" s="472">
        <f>+F173/E173</f>
        <v/>
      </c>
      <c r="J173" s="73" t="inlineStr">
        <is>
          <t>COD 38</t>
        </is>
      </c>
    </row>
    <row r="174" ht="21" customHeight="1" s="568">
      <c r="C174" s="73" t="inlineStr">
        <is>
          <t>COD 06</t>
        </is>
      </c>
      <c r="D174" s="481">
        <f>_xlfn.XLOOKUP(C174,CODIGOS_Y_PAGOS[CODIGO],CODIGOS_Y_PAGOS[NOMBRE PARTICIPANTE],"")</f>
        <v/>
      </c>
      <c r="E174" s="471">
        <f>_xlfn.XLOOKUP(C174,$C$5:$C$54,$K$5:$K$54)</f>
        <v/>
      </c>
      <c r="F174" s="471">
        <f>_xlfn.XLOOKUP(C174,$C$5:$C$54,$L$5:$L$54)</f>
        <v/>
      </c>
      <c r="G174" s="472">
        <f>+F174/E174</f>
        <v/>
      </c>
      <c r="J174" s="73" t="inlineStr">
        <is>
          <t>COD 30</t>
        </is>
      </c>
    </row>
    <row r="175" ht="21" customHeight="1" s="568">
      <c r="C175" s="73" t="inlineStr">
        <is>
          <t>COD 36</t>
        </is>
      </c>
      <c r="D175" s="481">
        <f>_xlfn.XLOOKUP(C175,CODIGOS_Y_PAGOS[CODIGO],CODIGOS_Y_PAGOS[NOMBRE PARTICIPANTE],"")</f>
        <v/>
      </c>
      <c r="E175" s="471">
        <f>_xlfn.XLOOKUP(C175,$C$5:$C$54,$K$5:$K$54)</f>
        <v/>
      </c>
      <c r="F175" s="471">
        <f>_xlfn.XLOOKUP(C175,$C$5:$C$54,$L$5:$L$54)</f>
        <v/>
      </c>
      <c r="G175" s="472">
        <f>+F175/E175</f>
        <v/>
      </c>
      <c r="J175" s="73" t="inlineStr">
        <is>
          <t>COD 12</t>
        </is>
      </c>
    </row>
    <row r="176" ht="21" customHeight="1" s="568">
      <c r="C176" s="73" t="inlineStr">
        <is>
          <t>COD 33</t>
        </is>
      </c>
      <c r="D176" s="481">
        <f>_xlfn.XLOOKUP(C176,CODIGOS_Y_PAGOS[CODIGO],CODIGOS_Y_PAGOS[NOMBRE PARTICIPANTE],"")</f>
        <v/>
      </c>
      <c r="E176" s="471">
        <f>_xlfn.XLOOKUP(C176,$C$5:$C$54,$K$5:$K$54)</f>
        <v/>
      </c>
      <c r="F176" s="471">
        <f>_xlfn.XLOOKUP(C176,$C$5:$C$54,$L$5:$L$54)</f>
        <v/>
      </c>
      <c r="G176" s="472">
        <f>+F176/E176</f>
        <v/>
      </c>
      <c r="J176" s="73" t="inlineStr">
        <is>
          <t>COD 19</t>
        </is>
      </c>
    </row>
    <row r="177" ht="21" customHeight="1" s="568">
      <c r="C177" s="73" t="inlineStr">
        <is>
          <t>COD 13</t>
        </is>
      </c>
      <c r="D177" s="481">
        <f>_xlfn.XLOOKUP(C177,CODIGOS_Y_PAGOS[CODIGO],CODIGOS_Y_PAGOS[NOMBRE PARTICIPANTE],"")</f>
        <v/>
      </c>
      <c r="E177" s="471">
        <f>_xlfn.XLOOKUP(C177,$C$5:$C$54,$K$5:$K$54)</f>
        <v/>
      </c>
      <c r="F177" s="471">
        <f>_xlfn.XLOOKUP(C177,$C$5:$C$54,$L$5:$L$54)</f>
        <v/>
      </c>
      <c r="G177" s="472">
        <f>+F177/E177</f>
        <v/>
      </c>
      <c r="J177" s="73" t="inlineStr">
        <is>
          <t>COD 31</t>
        </is>
      </c>
    </row>
    <row r="178" ht="21" customHeight="1" s="568">
      <c r="C178" s="73" t="inlineStr">
        <is>
          <t>COD 17</t>
        </is>
      </c>
      <c r="D178" s="481">
        <f>_xlfn.XLOOKUP(C178,CODIGOS_Y_PAGOS[CODIGO],CODIGOS_Y_PAGOS[NOMBRE PARTICIPANTE],"")</f>
        <v/>
      </c>
      <c r="E178" s="471">
        <f>_xlfn.XLOOKUP(C178,$C$5:$C$54,$K$5:$K$54)</f>
        <v/>
      </c>
      <c r="F178" s="471">
        <f>_xlfn.XLOOKUP(C178,$C$5:$C$54,$L$5:$L$54)</f>
        <v/>
      </c>
      <c r="G178" s="472">
        <f>+F178/E178</f>
        <v/>
      </c>
      <c r="J178" s="73" t="inlineStr">
        <is>
          <t>COD 14</t>
        </is>
      </c>
    </row>
    <row r="179" ht="21" customHeight="1" s="568">
      <c r="C179" s="73" t="inlineStr">
        <is>
          <t>COD 24</t>
        </is>
      </c>
      <c r="D179" s="481">
        <f>_xlfn.XLOOKUP(C179,CODIGOS_Y_PAGOS[CODIGO],CODIGOS_Y_PAGOS[NOMBRE PARTICIPANTE],"")</f>
        <v/>
      </c>
      <c r="E179" s="471">
        <f>_xlfn.XLOOKUP(C179,$C$5:$C$54,$K$5:$K$54)</f>
        <v/>
      </c>
      <c r="F179" s="471">
        <f>_xlfn.XLOOKUP(C179,$C$5:$C$54,$L$5:$L$54)</f>
        <v/>
      </c>
      <c r="G179" s="472">
        <f>+F179/E179</f>
        <v/>
      </c>
      <c r="J179" s="73" t="inlineStr">
        <is>
          <t>COD 20</t>
        </is>
      </c>
    </row>
    <row r="180" ht="21" customHeight="1" s="568">
      <c r="C180" s="73" t="inlineStr">
        <is>
          <t>COD 39</t>
        </is>
      </c>
      <c r="D180" s="481">
        <f>_xlfn.XLOOKUP(C180,CODIGOS_Y_PAGOS[CODIGO],CODIGOS_Y_PAGOS[NOMBRE PARTICIPANTE],"")</f>
        <v/>
      </c>
      <c r="E180" s="471">
        <f>_xlfn.XLOOKUP(C180,$C$5:$C$54,$K$5:$K$54)</f>
        <v/>
      </c>
      <c r="F180" s="471">
        <f>_xlfn.XLOOKUP(C180,$C$5:$C$54,$L$5:$L$54)</f>
        <v/>
      </c>
      <c r="G180" s="472">
        <f>+F180/E180</f>
        <v/>
      </c>
      <c r="J180" s="73" t="inlineStr">
        <is>
          <t>COD 39</t>
        </is>
      </c>
    </row>
    <row r="181" ht="21" customHeight="1" s="568">
      <c r="C181" s="73" t="inlineStr">
        <is>
          <t>COD 40</t>
        </is>
      </c>
      <c r="D181" s="481">
        <f>_xlfn.XLOOKUP(C181,CODIGOS_Y_PAGOS[CODIGO],CODIGOS_Y_PAGOS[NOMBRE PARTICIPANTE],"")</f>
        <v/>
      </c>
      <c r="E181" s="471">
        <f>_xlfn.XLOOKUP(C181,$C$5:$C$54,$K$5:$K$54)</f>
        <v/>
      </c>
      <c r="F181" s="471">
        <f>_xlfn.XLOOKUP(C181,$C$5:$C$54,$L$5:$L$54)</f>
        <v/>
      </c>
      <c r="G181" s="472">
        <f>+F181/E181</f>
        <v/>
      </c>
      <c r="J181" s="73" t="inlineStr">
        <is>
          <t>COD 40</t>
        </is>
      </c>
    </row>
    <row r="182" ht="21" customHeight="1" s="568">
      <c r="C182" s="73" t="inlineStr">
        <is>
          <t>COD 41</t>
        </is>
      </c>
      <c r="D182" s="481">
        <f>_xlfn.XLOOKUP(C182,CODIGOS_Y_PAGOS[CODIGO],CODIGOS_Y_PAGOS[NOMBRE PARTICIPANTE],"")</f>
        <v/>
      </c>
      <c r="E182" s="471">
        <f>_xlfn.XLOOKUP(C182,$C$5:$C$54,$K$5:$K$54)</f>
        <v/>
      </c>
      <c r="F182" s="471">
        <f>_xlfn.XLOOKUP(C182,$C$5:$C$54,$L$5:$L$54)</f>
        <v/>
      </c>
      <c r="G182" s="472">
        <f>+F182/E182</f>
        <v/>
      </c>
      <c r="J182" s="73" t="inlineStr">
        <is>
          <t>COD 41</t>
        </is>
      </c>
    </row>
    <row r="183" ht="21" customHeight="1" s="568">
      <c r="C183" s="73" t="inlineStr">
        <is>
          <t>COD 42</t>
        </is>
      </c>
      <c r="D183" s="481">
        <f>_xlfn.XLOOKUP(C183,CODIGOS_Y_PAGOS[CODIGO],CODIGOS_Y_PAGOS[NOMBRE PARTICIPANTE],"")</f>
        <v/>
      </c>
      <c r="E183" s="471">
        <f>_xlfn.XLOOKUP(C183,$C$5:$C$54,$K$5:$K$54)</f>
        <v/>
      </c>
      <c r="F183" s="471">
        <f>_xlfn.XLOOKUP(C183,$C$5:$C$54,$L$5:$L$54)</f>
        <v/>
      </c>
      <c r="G183" s="472">
        <f>+F183/E183</f>
        <v/>
      </c>
      <c r="J183" s="73" t="inlineStr">
        <is>
          <t>COD 42</t>
        </is>
      </c>
    </row>
    <row r="184" ht="21" customHeight="1" s="568">
      <c r="C184" s="73" t="inlineStr">
        <is>
          <t>COD 43</t>
        </is>
      </c>
      <c r="D184" s="481">
        <f>_xlfn.XLOOKUP(C184,CODIGOS_Y_PAGOS[CODIGO],CODIGOS_Y_PAGOS[NOMBRE PARTICIPANTE],"")</f>
        <v/>
      </c>
      <c r="E184" s="471">
        <f>_xlfn.XLOOKUP(C184,$C$5:$C$54,$K$5:$K$54)</f>
        <v/>
      </c>
      <c r="F184" s="471">
        <f>_xlfn.XLOOKUP(C184,$C$5:$C$54,$L$5:$L$54)</f>
        <v/>
      </c>
      <c r="G184" s="472">
        <f>+F184/E184</f>
        <v/>
      </c>
      <c r="J184" t="inlineStr">
        <is>
          <t>COD 43</t>
        </is>
      </c>
    </row>
    <row r="185" ht="21" customHeight="1" s="568">
      <c r="C185" s="73" t="inlineStr">
        <is>
          <t>COD 44</t>
        </is>
      </c>
      <c r="D185" s="481">
        <f>_xlfn.XLOOKUP(C185,CODIGOS_Y_PAGOS[CODIGO],CODIGOS_Y_PAGOS[NOMBRE PARTICIPANTE],"")</f>
        <v/>
      </c>
      <c r="E185" s="471">
        <f>_xlfn.XLOOKUP(C185,$C$5:$C$54,$K$5:$K$54)</f>
        <v/>
      </c>
      <c r="F185" s="471">
        <f>_xlfn.XLOOKUP(C185,$C$5:$C$54,$L$5:$L$54)</f>
        <v/>
      </c>
      <c r="G185" s="472">
        <f>+F185/E185</f>
        <v/>
      </c>
      <c r="J185" t="inlineStr">
        <is>
          <t>COD 44</t>
        </is>
      </c>
    </row>
    <row r="186" ht="21" customHeight="1" s="568">
      <c r="C186" s="73" t="inlineStr">
        <is>
          <t>COD 45</t>
        </is>
      </c>
      <c r="D186" s="481">
        <f>_xlfn.XLOOKUP(C186,CODIGOS_Y_PAGOS[CODIGO],CODIGOS_Y_PAGOS[NOMBRE PARTICIPANTE],"")</f>
        <v/>
      </c>
      <c r="E186" s="471">
        <f>_xlfn.XLOOKUP(C186,$C$5:$C$54,$K$5:$K$54)</f>
        <v/>
      </c>
      <c r="F186" s="471">
        <f>_xlfn.XLOOKUP(C186,$C$5:$C$54,$L$5:$L$54)</f>
        <v/>
      </c>
      <c r="G186" s="472">
        <f>+F186/E186</f>
        <v/>
      </c>
      <c r="J186" t="inlineStr">
        <is>
          <t>COD 45</t>
        </is>
      </c>
    </row>
    <row r="187" ht="21" customHeight="1" s="568">
      <c r="C187" s="73" t="inlineStr">
        <is>
          <t>COD 46</t>
        </is>
      </c>
      <c r="D187" s="481">
        <f>_xlfn.XLOOKUP(C187,CODIGOS_Y_PAGOS[CODIGO],CODIGOS_Y_PAGOS[NOMBRE PARTICIPANTE],"")</f>
        <v/>
      </c>
      <c r="E187" s="471">
        <f>_xlfn.XLOOKUP(C187,$C$5:$C$54,$K$5:$K$54)</f>
        <v/>
      </c>
      <c r="F187" s="471">
        <f>_xlfn.XLOOKUP(C187,$C$5:$C$54,$L$5:$L$54)</f>
        <v/>
      </c>
      <c r="G187" s="472">
        <f>+F187/E187</f>
        <v/>
      </c>
      <c r="J187" t="inlineStr">
        <is>
          <t>COD 46</t>
        </is>
      </c>
    </row>
    <row r="188" ht="21" customHeight="1" s="568">
      <c r="C188" s="73" t="inlineStr">
        <is>
          <t>COD 47</t>
        </is>
      </c>
      <c r="D188" s="481">
        <f>_xlfn.XLOOKUP(C188,CODIGOS_Y_PAGOS[CODIGO],CODIGOS_Y_PAGOS[NOMBRE PARTICIPANTE],"")</f>
        <v/>
      </c>
      <c r="E188" s="471">
        <f>_xlfn.XLOOKUP(C188,$C$5:$C$54,$K$5:$K$54)</f>
        <v/>
      </c>
      <c r="F188" s="471">
        <f>_xlfn.XLOOKUP(C188,$C$5:$C$54,$L$5:$L$54)</f>
        <v/>
      </c>
      <c r="G188" s="472">
        <f>+F188/E188</f>
        <v/>
      </c>
      <c r="J188" t="inlineStr">
        <is>
          <t>COD 47</t>
        </is>
      </c>
    </row>
    <row r="189" ht="21" customHeight="1" s="568">
      <c r="C189" s="73" t="inlineStr">
        <is>
          <t>COD 48</t>
        </is>
      </c>
      <c r="D189" s="481">
        <f>_xlfn.XLOOKUP(C189,CODIGOS_Y_PAGOS[CODIGO],CODIGOS_Y_PAGOS[NOMBRE PARTICIPANTE],"")</f>
        <v/>
      </c>
      <c r="E189" s="471">
        <f>_xlfn.XLOOKUP(C189,$C$5:$C$54,$K$5:$K$54)</f>
        <v/>
      </c>
      <c r="F189" s="471">
        <f>_xlfn.XLOOKUP(C189,$C$5:$C$54,$L$5:$L$54)</f>
        <v/>
      </c>
      <c r="G189" s="472">
        <f>+F189/E189</f>
        <v/>
      </c>
      <c r="J189" t="inlineStr">
        <is>
          <t>COD 48</t>
        </is>
      </c>
    </row>
    <row r="190" ht="21" customHeight="1" s="568">
      <c r="C190" s="73" t="inlineStr">
        <is>
          <t>COD 49</t>
        </is>
      </c>
      <c r="D190" s="481">
        <f>_xlfn.XLOOKUP(C190,CODIGOS_Y_PAGOS[CODIGO],CODIGOS_Y_PAGOS[NOMBRE PARTICIPANTE],"")</f>
        <v/>
      </c>
      <c r="E190" s="471">
        <f>_xlfn.XLOOKUP(C190,$C$5:$C$54,$K$5:$K$54)</f>
        <v/>
      </c>
      <c r="F190" s="471">
        <f>_xlfn.XLOOKUP(C190,$C$5:$C$54,$L$5:$L$54)</f>
        <v/>
      </c>
      <c r="G190" s="472">
        <f>+F190/E190</f>
        <v/>
      </c>
      <c r="J190" t="inlineStr">
        <is>
          <t>COD 49</t>
        </is>
      </c>
    </row>
    <row r="191" ht="21" customHeight="1" s="568">
      <c r="C191" s="73" t="inlineStr">
        <is>
          <t>COD 50</t>
        </is>
      </c>
      <c r="D191" s="481">
        <f>_xlfn.XLOOKUP(C191,CODIGOS_Y_PAGOS[CODIGO],CODIGOS_Y_PAGOS[NOMBRE PARTICIPANTE],"")</f>
        <v/>
      </c>
      <c r="E191" s="471">
        <f>_xlfn.XLOOKUP(C191,$C$5:$C$54,$K$5:$K$54)</f>
        <v/>
      </c>
      <c r="F191" s="471">
        <f>_xlfn.XLOOKUP(C191,$C$5:$C$54,$L$5:$L$54)</f>
        <v/>
      </c>
      <c r="G191" s="472">
        <f>+F191/E191</f>
        <v/>
      </c>
      <c r="J191" t="inlineStr">
        <is>
          <t>COD 50</t>
        </is>
      </c>
    </row>
  </sheetData>
  <mergeCells count="17">
    <mergeCell ref="E136:J136"/>
    <mergeCell ref="E134:J134"/>
    <mergeCell ref="E129:J129"/>
    <mergeCell ref="E133:J133"/>
    <mergeCell ref="N58:Q58"/>
    <mergeCell ref="E137:J137"/>
    <mergeCell ref="M113:O113"/>
    <mergeCell ref="E127:J127"/>
    <mergeCell ref="E128:J128"/>
    <mergeCell ref="B57:Q57"/>
    <mergeCell ref="N3:Q3"/>
    <mergeCell ref="E132:J132"/>
    <mergeCell ref="E126:J126"/>
    <mergeCell ref="E135:J135"/>
    <mergeCell ref="E131:J131"/>
    <mergeCell ref="B2:Q2"/>
    <mergeCell ref="E130:J130"/>
  </mergeCells>
  <conditionalFormatting sqref="B4">
    <cfRule type="containsText" priority="2" operator="containsText" text="0">
      <formula>NOT(ISERROR(SEARCH("0",B4)))</formula>
    </cfRule>
  </conditionalFormatting>
  <conditionalFormatting sqref="B59">
    <cfRule type="containsText" priority="20" operator="containsText" text="0">
      <formula>NOT(ISERROR(SEARCH("0",B59)))</formula>
    </cfRule>
  </conditionalFormatting>
  <conditionalFormatting sqref="D5:D54">
    <cfRule type="expression" priority="1" dxfId="16">
      <formula>$K5=$L5</formula>
    </cfRule>
  </conditionalFormatting>
  <conditionalFormatting sqref="D60:D109">
    <cfRule type="expression" priority="17" dxfId="16">
      <formula>$K60=$L60</formula>
    </cfRule>
  </conditionalFormatting>
  <conditionalFormatting sqref="M126:M137">
    <cfRule type="cellIs" priority="18" operator="between" dxfId="14">
      <formula>1</formula>
      <formula>18</formula>
    </cfRule>
    <cfRule type="containsText" priority="19" operator="containsText" dxfId="14" text="V">
      <formula>NOT(ISERROR(SEARCH("V",M126)))</formula>
    </cfRule>
  </conditionalFormatting>
  <conditionalFormatting sqref="N126:N137">
    <cfRule type="cellIs" priority="3" operator="equal" dxfId="13">
      <formula>14</formula>
    </cfRule>
    <cfRule type="cellIs" priority="4" operator="equal" dxfId="12">
      <formula>13</formula>
    </cfRule>
    <cfRule type="cellIs" priority="5" operator="equal" dxfId="11">
      <formula>12</formula>
    </cfRule>
    <cfRule type="cellIs" priority="6" operator="equal" dxfId="10">
      <formula>11</formula>
    </cfRule>
    <cfRule type="cellIs" priority="7" operator="equal" dxfId="9">
      <formula>10</formula>
    </cfRule>
    <cfRule type="cellIs" priority="8" operator="equal" dxfId="8">
      <formula>9</formula>
    </cfRule>
    <cfRule type="cellIs" priority="9" operator="equal" dxfId="7">
      <formula>8</formula>
    </cfRule>
    <cfRule type="cellIs" priority="10" operator="equal" dxfId="6">
      <formula>7</formula>
    </cfRule>
    <cfRule type="cellIs" priority="11" operator="equal" dxfId="5">
      <formula>6</formula>
    </cfRule>
    <cfRule type="cellIs" priority="12" operator="equal" dxfId="4">
      <formula>5</formula>
    </cfRule>
    <cfRule type="cellIs" priority="13" operator="equal" dxfId="3">
      <formula>4</formula>
    </cfRule>
    <cfRule type="cellIs" priority="14" operator="equal" dxfId="2">
      <formula>3</formula>
    </cfRule>
    <cfRule type="cellIs" priority="15" operator="equal" dxfId="1">
      <formula>2</formula>
    </cfRule>
    <cfRule type="cellIs" priority="16" operator="equal" dxfId="0">
      <formula>1</formula>
    </cfRule>
  </conditionalFormatting>
  <pageMargins left="0.2362204724409449" right="0.2362204724409449" top="0.3543307086614174" bottom="0.3543307086614174" header="0" footer="0"/>
  <pageSetup orientation="portrait" paperSize="3" scale="72" fitToHeight="0"/>
  <rowBreaks count="1" manualBreakCount="1">
    <brk id="151" min="0" max="17" man="1"/>
  </rowBreaks>
  <colBreaks count="1" manualBreakCount="1">
    <brk id="18" min="0" max="1048575" man="1"/>
  </colBreaks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3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CÓDIGO</t>
        </is>
      </c>
      <c r="B1" t="inlineStr">
        <is>
          <t>NOMBRE PARTICIPANTE</t>
        </is>
      </c>
      <c r="C1" t="inlineStr">
        <is>
          <t>C-1</t>
        </is>
      </c>
      <c r="D1" t="inlineStr">
        <is>
          <t>C-2</t>
        </is>
      </c>
      <c r="E1" t="inlineStr">
        <is>
          <t>C-3</t>
        </is>
      </c>
      <c r="F1" t="inlineStr">
        <is>
          <t>C-4</t>
        </is>
      </c>
      <c r="G1" t="inlineStr">
        <is>
          <t>C-5</t>
        </is>
      </c>
      <c r="H1" t="inlineStr">
        <is>
          <t>C-6</t>
        </is>
      </c>
      <c r="I1" t="inlineStr">
        <is>
          <t>C-7</t>
        </is>
      </c>
      <c r="J1" t="inlineStr">
        <is>
          <t>C-8</t>
        </is>
      </c>
      <c r="K1" t="inlineStr">
        <is>
          <t>C-9</t>
        </is>
      </c>
      <c r="L1" t="inlineStr">
        <is>
          <t>C-10</t>
        </is>
      </c>
      <c r="M1" t="inlineStr">
        <is>
          <t>C-11</t>
        </is>
      </c>
      <c r="N1" t="inlineStr">
        <is>
          <t>C-12</t>
        </is>
      </c>
      <c r="O1" t="inlineStr">
        <is>
          <t>C-13</t>
        </is>
      </c>
      <c r="P1" t="inlineStr">
        <is>
          <t>C-14</t>
        </is>
      </c>
      <c r="Q1" t="inlineStr">
        <is>
          <t>C-15</t>
        </is>
      </c>
      <c r="R1" t="inlineStr">
        <is>
          <t>C-16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2</t>
        </is>
      </c>
      <c r="D2" t="inlineStr">
        <is>
          <t>3</t>
        </is>
      </c>
      <c r="E2" t="inlineStr">
        <is>
          <t>N</t>
        </is>
      </c>
      <c r="F2" t="inlineStr">
        <is>
          <t>3</t>
        </is>
      </c>
      <c r="G2" t="inlineStr">
        <is>
          <t>2</t>
        </is>
      </c>
      <c r="H2" t="inlineStr">
        <is>
          <t>1</t>
        </is>
      </c>
      <c r="I2" t="inlineStr">
        <is>
          <t>F</t>
        </is>
      </c>
      <c r="J2" t="inlineStr">
        <is>
          <t>2</t>
        </is>
      </c>
      <c r="M2" t="inlineStr">
        <is>
          <t>SF</t>
        </is>
      </c>
      <c r="Q2" t="inlineStr">
        <is>
          <t>N</t>
        </is>
      </c>
      <c r="U2" t="inlineStr">
        <is>
          <t>N</t>
        </is>
      </c>
      <c r="Y2" t="inlineStr">
        <is>
          <t>N</t>
        </is>
      </c>
      <c r="AC2" t="inlineStr">
        <is>
          <t>N</t>
        </is>
      </c>
      <c r="AG2" t="inlineStr">
        <is>
          <t>N</t>
        </is>
      </c>
      <c r="AK2" t="inlineStr">
        <is>
          <t>N</t>
        </is>
      </c>
      <c r="AO2" t="inlineStr">
        <is>
          <t>N</t>
        </is>
      </c>
      <c r="AS2" t="inlineStr">
        <is>
          <t>N</t>
        </is>
      </c>
      <c r="AW2" t="inlineStr">
        <is>
          <t>N</t>
        </is>
      </c>
      <c r="BA2" t="inlineStr">
        <is>
          <t>N</t>
        </is>
      </c>
      <c r="BE2" t="inlineStr">
        <is>
          <t>N</t>
        </is>
      </c>
    </row>
    <row r="3">
      <c r="A3" t="inlineStr">
        <is>
          <t>JESUS QUERALES</t>
        </is>
      </c>
      <c r="B3" t="inlineStr">
        <is>
          <t>1</t>
        </is>
      </c>
      <c r="C3" t="inlineStr">
        <is>
          <t>2</t>
        </is>
      </c>
      <c r="D3" t="inlineStr">
        <is>
          <t>3</t>
        </is>
      </c>
      <c r="E3" t="inlineStr">
        <is>
          <t>N</t>
        </is>
      </c>
      <c r="F3" t="inlineStr">
        <is>
          <t>1</t>
        </is>
      </c>
      <c r="G3" t="inlineStr">
        <is>
          <t>2</t>
        </is>
      </c>
      <c r="H3" t="inlineStr">
        <is>
          <t>3</t>
        </is>
      </c>
      <c r="I3" t="inlineStr">
        <is>
          <t>F</t>
        </is>
      </c>
      <c r="J3" t="inlineStr">
        <is>
          <t>2</t>
        </is>
      </c>
      <c r="K3" t="inlineStr"/>
      <c r="L3" t="inlineStr"/>
      <c r="M3" t="inlineStr">
        <is>
          <t>N</t>
        </is>
      </c>
      <c r="N3" t="inlineStr"/>
      <c r="O3" t="inlineStr"/>
      <c r="P3" t="inlineStr"/>
      <c r="Q3" t="inlineStr">
        <is>
          <t>N</t>
        </is>
      </c>
      <c r="R3" t="inlineStr"/>
      <c r="S3" t="inlineStr"/>
      <c r="T3" t="inlineStr"/>
      <c r="U3" t="inlineStr">
        <is>
          <t>N</t>
        </is>
      </c>
      <c r="V3" t="inlineStr"/>
      <c r="W3" t="inlineStr"/>
      <c r="X3" t="inlineStr"/>
      <c r="Y3" t="inlineStr">
        <is>
          <t>N</t>
        </is>
      </c>
      <c r="Z3" t="inlineStr"/>
      <c r="AA3" t="inlineStr"/>
      <c r="AB3" t="inlineStr"/>
      <c r="AC3" t="inlineStr">
        <is>
          <t>N</t>
        </is>
      </c>
      <c r="AD3" t="inlineStr"/>
      <c r="AE3" t="inlineStr"/>
      <c r="AF3" t="inlineStr"/>
      <c r="AG3" t="inlineStr">
        <is>
          <t>N</t>
        </is>
      </c>
      <c r="AH3" t="inlineStr"/>
      <c r="AI3" t="inlineStr"/>
      <c r="AJ3" t="inlineStr"/>
      <c r="AK3" t="inlineStr">
        <is>
          <t>N</t>
        </is>
      </c>
      <c r="AL3" t="inlineStr"/>
      <c r="AM3" t="inlineStr"/>
      <c r="AN3" t="inlineStr"/>
      <c r="AO3" t="inlineStr">
        <is>
          <t>N</t>
        </is>
      </c>
      <c r="AP3" t="inlineStr"/>
      <c r="AQ3" t="inlineStr"/>
      <c r="AR3" t="inlineStr"/>
      <c r="AS3" t="inlineStr">
        <is>
          <t>N</t>
        </is>
      </c>
      <c r="AT3" t="inlineStr"/>
      <c r="AU3" t="inlineStr"/>
      <c r="AV3" t="inlineStr"/>
      <c r="AW3" t="inlineStr">
        <is>
          <t>N</t>
        </is>
      </c>
      <c r="AX3" t="inlineStr"/>
      <c r="AY3" t="inlineStr"/>
      <c r="AZ3" t="inlineStr"/>
      <c r="BA3" t="inlineStr">
        <is>
          <t>N</t>
        </is>
      </c>
      <c r="BB3" t="inlineStr"/>
      <c r="BC3" t="inlineStr"/>
      <c r="BD3" t="inlineStr"/>
      <c r="BE3" t="inlineStr">
        <is>
          <t>N</t>
        </is>
      </c>
      <c r="BF3" t="inlineStr"/>
      <c r="BG3" t="inlineStr"/>
      <c r="BH3" t="inlineStr"/>
      <c r="BI3" t="inlineStr"/>
      <c r="BJ3" t="inlineStr"/>
      <c r="BK3" t="inlineStr"/>
      <c r="BL3" t="inlineStr"/>
      <c r="BM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venezuela maracay</dc:creator>
  <dcterms:created xsi:type="dcterms:W3CDTF">2026-09-11T01:37:01Z</dcterms:created>
  <dcterms:modified xsi:type="dcterms:W3CDTF">2026-09-19T21:02:52Z</dcterms:modified>
  <cp:lastModifiedBy>venezuela maracay</cp:lastModifiedBy>
  <cp:lastPrinted>2026-09-14T19:07:01Z</cp:lastPrinted>
</cp:coreProperties>
</file>